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hedrickbrotherscom.sharepoint.com/sites/2025Projects/Shared Documents/25-051-01 ERAU Residential Hall &amp; Garage/03 EstSummary/"/>
    </mc:Choice>
  </mc:AlternateContent>
  <xr:revisionPtr revIDLastSave="728" documentId="8_{431078A9-4FF3-4AAC-8D27-D90B8601827F}" xr6:coauthVersionLast="47" xr6:coauthVersionMax="47" xr10:uidLastSave="{8293BE9D-A4E0-4869-B5C8-5A5B793FC505}"/>
  <bookViews>
    <workbookView xWindow="-28920" yWindow="-960" windowWidth="29040" windowHeight="16440" tabRatio="783" firstSheet="3" activeTab="6" xr2:uid="{00000000-000D-0000-FFFF-FFFF00000000}"/>
  </bookViews>
  <sheets>
    <sheet name="Area Calculations" sheetId="21" r:id="rId1"/>
    <sheet name="Bond Calculator" sheetId="39" r:id="rId2"/>
    <sheet name="Allowances" sheetId="49" r:id="rId3"/>
    <sheet name="Alternate &amp; VE" sheetId="47" r:id="rId4"/>
    <sheet name="ERUA Cost Summary" sheetId="115" r:id="rId5"/>
    <sheet name="Cost Summary" sheetId="20" r:id="rId6"/>
    <sheet name="GCs &amp; GRs" sheetId="112" r:id="rId7"/>
    <sheet name="Labor Rates" sheetId="113" r:id="rId8"/>
    <sheet name="Staffing Schedule " sheetId="116" r:id="rId9"/>
    <sheet name="02 21 Survey " sheetId="2" r:id="rId10"/>
    <sheet name="02 41 Demolition" sheetId="50" state="hidden" r:id="rId11"/>
    <sheet name="02 50 Site Maint" sheetId="27" r:id="rId12"/>
    <sheet name="03 30 CIP Concrete" sheetId="3" r:id="rId13"/>
    <sheet name="03 41 Precast Hollow Core" sheetId="52" r:id="rId14"/>
    <sheet name="03 45 Architectural Precast" sheetId="54" state="hidden" r:id="rId15"/>
    <sheet name="03 47 Tilt Wall Concrete" sheetId="53" state="hidden" r:id="rId16"/>
    <sheet name="04 22 Concrete Unit Masonry" sheetId="55" r:id="rId17"/>
    <sheet name="05 10 Steel" sheetId="4" r:id="rId18"/>
    <sheet name="05 52 Misc. Metals" sheetId="57" r:id="rId19"/>
    <sheet name="06 10 Rough Carpentry" sheetId="58" r:id="rId20"/>
    <sheet name="06 17 Wood Trusses" sheetId="59" state="hidden" r:id="rId21"/>
    <sheet name="06 21 Millwork" sheetId="60" r:id="rId22"/>
    <sheet name="06 40 Arch Woodwork" sheetId="5" state="hidden" r:id="rId23"/>
    <sheet name="07 10 Waterproofing" sheetId="6" r:id="rId24"/>
    <sheet name="07 21 Insulation" sheetId="23" r:id="rId25"/>
    <sheet name="07 42 Metal Panel" sheetId="63" r:id="rId26"/>
    <sheet name="07 46 Siding" sheetId="64" state="hidden" r:id="rId27"/>
    <sheet name="07 50 Roofing" sheetId="7" r:id="rId28"/>
    <sheet name="07 81 Spray Fireproofing" sheetId="66" r:id="rId29"/>
    <sheet name="07 84 Firestopping" sheetId="38" r:id="rId30"/>
    <sheet name="07 92 Exp Joint" sheetId="67" r:id="rId31"/>
    <sheet name="08 10 DFH" sheetId="8" r:id="rId32"/>
    <sheet name="08 30 Retractable Screens" sheetId="68" state="hidden" r:id="rId33"/>
    <sheet name="08 32 Hangar Doors" sheetId="114" r:id="rId34"/>
    <sheet name="08 33 Overhead doors" sheetId="29" r:id="rId35"/>
    <sheet name="08 50 Storefront &amp; Windows" sheetId="9" r:id="rId36"/>
    <sheet name="09 29 Drywall &amp; Frame" sheetId="10" r:id="rId37"/>
    <sheet name="09 30 Tile" sheetId="75" r:id="rId38"/>
    <sheet name="09 51 ACT" sheetId="77" r:id="rId39"/>
    <sheet name="09 60 Flooring" sheetId="74" r:id="rId40"/>
    <sheet name="09 67 Fluid - Apply Fl" sheetId="73" state="hidden" r:id="rId41"/>
    <sheet name="09 90 Painting" sheetId="30" r:id="rId42"/>
    <sheet name="09 96 Fluid Applied Flooring" sheetId="76" r:id="rId43"/>
    <sheet name="10 14 Signage" sheetId="41" r:id="rId44"/>
    <sheet name="10 20 Toilet Partitions &amp; Bath" sheetId="81" r:id="rId45"/>
    <sheet name="10 22 Operable Partitions" sheetId="82" state="hidden" r:id="rId46"/>
    <sheet name="10 30 Fireplace" sheetId="79" state="hidden" r:id="rId47"/>
    <sheet name="10 44 Fire Extinguishers" sheetId="78" r:id="rId48"/>
    <sheet name="11 11 Laundry Equip." sheetId="85" state="hidden" r:id="rId49"/>
    <sheet name="11 30 Appliances" sheetId="84" r:id="rId50"/>
    <sheet name="12 30 Wall Protection" sheetId="92" state="hidden" r:id="rId51"/>
    <sheet name="12 20 Window Treatment" sheetId="110" r:id="rId52"/>
    <sheet name="12 34 Residential Casework" sheetId="111" r:id="rId53"/>
    <sheet name="12 36 Solid Surface" sheetId="91" r:id="rId54"/>
    <sheet name="13 30 Fab Eng Structures" sheetId="70" r:id="rId55"/>
    <sheet name="14 20 Elevators" sheetId="93" r:id="rId56"/>
    <sheet name="14 80 Scaffolding" sheetId="90" state="hidden" r:id="rId57"/>
    <sheet name="14 91 Trash Chutes" sheetId="35" r:id="rId58"/>
    <sheet name="21 13 Fire Protection" sheetId="46" r:id="rId59"/>
    <sheet name="22 00 Plumbing " sheetId="95" r:id="rId60"/>
    <sheet name="23 00 HVAC" sheetId="16" r:id="rId61"/>
    <sheet name="26 00 Electrical" sheetId="13" r:id="rId62"/>
    <sheet name="26 41 Lighting Protection" sheetId="96" r:id="rId63"/>
    <sheet name="27 00 Communications" sheetId="17" r:id="rId64"/>
    <sheet name="27 53 BDA" sheetId="97" r:id="rId65"/>
    <sheet name="28 10 Access Control" sheetId="98" state="hidden" r:id="rId66"/>
    <sheet name="28 46 Fire Alarm" sheetId="31" r:id="rId67"/>
    <sheet name="31 23 Dewatering" sheetId="99" state="hidden" r:id="rId68"/>
    <sheet name="31 30 Site Work" sheetId="14" r:id="rId69"/>
    <sheet name="31 32 Soil Stabilization" sheetId="100" r:id="rId70"/>
    <sheet name="31 63 Piles " sheetId="15" state="hidden" r:id="rId71"/>
    <sheet name="32 14 Pavers" sheetId="102" r:id="rId72"/>
    <sheet name="32 33 Site Furniture" sheetId="101" r:id="rId73"/>
    <sheet name="32 80 Landscape" sheetId="28" r:id="rId74"/>
    <sheet name="33 40 Wells" sheetId="36" state="hidden" r:id="rId75"/>
    <sheet name="41 22 Crane and Hoist" sheetId="109" state="hidden" r:id="rId76"/>
    <sheet name="SiteWorkPrices" sheetId="107" state="hidden" r:id="rId77"/>
    <sheet name="UnitPrices" sheetId="108" state="hidden" r:id="rId78"/>
  </sheets>
  <definedNames>
    <definedName name="FCP" localSheetId="1">'Bond Calculator'!$B$7</definedName>
    <definedName name="_xlnm.Print_Area" localSheetId="12">'03 30 CIP Concrete'!$A$2:$O$91</definedName>
    <definedName name="_xlnm.Print_Area" localSheetId="17">'05 10 Steel'!$A$2:$G$92</definedName>
    <definedName name="_xlnm.Print_Area" localSheetId="22">'06 40 Arch Woodwork'!$A$2:$G$81</definedName>
    <definedName name="_xlnm.Print_Area" localSheetId="23">'07 10 Waterproofing'!$A$2:$G$87</definedName>
    <definedName name="_xlnm.Print_Area" localSheetId="27">'07 50 Roofing'!$A$2:$G$84</definedName>
    <definedName name="_xlnm.Print_Area" localSheetId="35">'08 50 Storefront &amp; Windows'!$A$2:$G$151</definedName>
    <definedName name="_xlnm.Print_Area" localSheetId="36">'09 29 Drywall &amp; Frame'!$A$2:$G$84</definedName>
    <definedName name="_xlnm.Print_Area" localSheetId="60">'23 00 HVAC'!$A$2:$O$83</definedName>
    <definedName name="_xlnm.Print_Area" localSheetId="61">'26 00 Electrical'!$A$2:$O$106</definedName>
    <definedName name="_xlnm.Print_Area" localSheetId="63">'27 00 Communications'!$A$2:$G$132</definedName>
    <definedName name="_xlnm.Print_Area" localSheetId="68">'31 30 Site Work'!$A$2:$G$182</definedName>
    <definedName name="_xlnm.Print_Area" localSheetId="70">'31 63 Piles '!$A$2:$G$82</definedName>
    <definedName name="_xlnm.Print_Area" localSheetId="2">Allowances!$A$1:$C$31</definedName>
    <definedName name="_xlnm.Print_Area" localSheetId="5">'Cost Summary'!$A$1:$K$85</definedName>
    <definedName name="_xlnm.Print_Area" localSheetId="4">'ERUA Cost Summary'!$A$1:$E$163</definedName>
  </definedNames>
  <calcPr calcId="191028" iterate="1" iterateCount="1000"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76" l="1"/>
  <c r="D20" i="76"/>
  <c r="F31" i="74"/>
  <c r="D31" i="74"/>
  <c r="F32" i="74"/>
  <c r="L92" i="20"/>
  <c r="F30" i="58"/>
  <c r="I97" i="95"/>
  <c r="K97" i="95"/>
  <c r="M97" i="95"/>
  <c r="M104" i="95" s="1"/>
  <c r="O97" i="95"/>
  <c r="O104" i="95" s="1"/>
  <c r="I98" i="95"/>
  <c r="I104" i="95" s="1"/>
  <c r="K98" i="95"/>
  <c r="M98" i="95"/>
  <c r="O98" i="95"/>
  <c r="I99" i="95"/>
  <c r="K99" i="95"/>
  <c r="K104" i="95" s="1"/>
  <c r="M99" i="95"/>
  <c r="O99" i="95"/>
  <c r="I100" i="95"/>
  <c r="K100" i="95"/>
  <c r="M100" i="95"/>
  <c r="O100" i="95"/>
  <c r="C98" i="20"/>
  <c r="C99" i="20"/>
  <c r="C94" i="20"/>
  <c r="C27" i="47"/>
  <c r="AH39" i="111"/>
  <c r="AH38" i="111"/>
  <c r="AH37" i="111"/>
  <c r="B93" i="91"/>
  <c r="S100" i="95"/>
  <c r="S99" i="95"/>
  <c r="S98" i="95"/>
  <c r="S97" i="95"/>
  <c r="S104" i="95" s="1"/>
  <c r="Q100" i="95"/>
  <c r="Q99" i="95"/>
  <c r="Q104" i="95" s="1"/>
  <c r="Q98" i="95"/>
  <c r="Q97" i="95"/>
  <c r="E120" i="115"/>
  <c r="AC34" i="91"/>
  <c r="AC33" i="91"/>
  <c r="AC42" i="91"/>
  <c r="AC28" i="91"/>
  <c r="AC20" i="91"/>
  <c r="AC58" i="111"/>
  <c r="AC52" i="111"/>
  <c r="AC44" i="111"/>
  <c r="AC37" i="111"/>
  <c r="AC20" i="111"/>
  <c r="AC70" i="91"/>
  <c r="Q32" i="91"/>
  <c r="M32" i="91"/>
  <c r="S53" i="91"/>
  <c r="S57" i="91" s="1"/>
  <c r="S55" i="91"/>
  <c r="S63" i="111"/>
  <c r="S65" i="111"/>
  <c r="O20" i="111"/>
  <c r="K26" i="91"/>
  <c r="K58" i="111"/>
  <c r="K20" i="111"/>
  <c r="S67" i="111" l="1"/>
  <c r="AC63" i="111"/>
  <c r="AC53" i="91"/>
  <c r="AC55" i="91" s="1"/>
  <c r="AC57" i="91"/>
  <c r="AC59" i="91" s="1"/>
  <c r="AC65" i="111"/>
  <c r="AC67" i="111" s="1"/>
  <c r="S58" i="91"/>
  <c r="S59" i="91"/>
  <c r="R9" i="91"/>
  <c r="S69" i="111"/>
  <c r="R9" i="111"/>
  <c r="S68" i="111"/>
  <c r="AC58" i="91" l="1"/>
  <c r="AB9" i="91"/>
  <c r="AC68" i="111"/>
  <c r="AC69" i="111"/>
  <c r="AB9" i="111"/>
  <c r="D27" i="47" l="1"/>
  <c r="E123" i="115" s="1"/>
  <c r="A27" i="47"/>
  <c r="B147" i="13"/>
  <c r="L17" i="20"/>
  <c r="E113" i="115"/>
  <c r="D17" i="47"/>
  <c r="O51" i="6"/>
  <c r="M51" i="6"/>
  <c r="K51" i="6"/>
  <c r="I51" i="6"/>
  <c r="O50" i="6"/>
  <c r="M50" i="6"/>
  <c r="K50" i="6"/>
  <c r="I50" i="6"/>
  <c r="G51" i="6"/>
  <c r="G50" i="6"/>
  <c r="F50" i="6"/>
  <c r="E48" i="115"/>
  <c r="C48" i="115" s="1"/>
  <c r="H18" i="115"/>
  <c r="E21" i="115"/>
  <c r="H21" i="115" s="1"/>
  <c r="E10" i="115"/>
  <c r="H10" i="115" s="1"/>
  <c r="E16" i="115"/>
  <c r="H16" i="115"/>
  <c r="H9" i="115"/>
  <c r="H15" i="115"/>
  <c r="E15" i="115"/>
  <c r="C25" i="47"/>
  <c r="G25" i="47"/>
  <c r="H25" i="47" s="1"/>
  <c r="D24" i="47"/>
  <c r="B24" i="47"/>
  <c r="C22" i="47"/>
  <c r="I59" i="74"/>
  <c r="C9" i="115"/>
  <c r="C16" i="115"/>
  <c r="H48" i="115" l="1"/>
  <c r="C10" i="115"/>
  <c r="P30" i="47" l="1"/>
  <c r="P31" i="47"/>
  <c r="B26" i="47"/>
  <c r="I20" i="95"/>
  <c r="D25" i="47"/>
  <c r="E121" i="115" s="1"/>
  <c r="B23" i="47"/>
  <c r="B25" i="47"/>
  <c r="S24" i="13"/>
  <c r="M24" i="13" s="1"/>
  <c r="S75" i="13"/>
  <c r="S107" i="13" s="1"/>
  <c r="B160" i="115"/>
  <c r="C38" i="47"/>
  <c r="D38" i="47" s="1"/>
  <c r="E160" i="115" s="1"/>
  <c r="D36" i="47"/>
  <c r="E158" i="115" s="1"/>
  <c r="S28" i="13"/>
  <c r="Q100" i="13"/>
  <c r="S100" i="13" s="1"/>
  <c r="U100" i="13" s="1"/>
  <c r="U107" i="13" s="1"/>
  <c r="O100" i="13"/>
  <c r="M100" i="13"/>
  <c r="S90" i="13"/>
  <c r="U99" i="13"/>
  <c r="U104" i="13"/>
  <c r="S74" i="13"/>
  <c r="S99" i="13"/>
  <c r="S104" i="13"/>
  <c r="C16" i="47"/>
  <c r="P32" i="47" l="1"/>
  <c r="C26" i="47" s="1"/>
  <c r="D26" i="47" s="1"/>
  <c r="E122" i="115" s="1"/>
  <c r="U109" i="13"/>
  <c r="U111" i="13" s="1"/>
  <c r="I190" i="14"/>
  <c r="I189" i="14"/>
  <c r="U113" i="13" l="1"/>
  <c r="T9" i="13"/>
  <c r="U112" i="13"/>
  <c r="K129" i="3"/>
  <c r="M66" i="3"/>
  <c r="M20" i="3" s="1"/>
  <c r="O20" i="3"/>
  <c r="K20" i="3"/>
  <c r="K140" i="3"/>
  <c r="K142" i="3" s="1"/>
  <c r="G58" i="35"/>
  <c r="O58" i="35" s="1"/>
  <c r="I79" i="35"/>
  <c r="G51" i="101"/>
  <c r="K51" i="101" s="1"/>
  <c r="B19" i="47"/>
  <c r="B20" i="47"/>
  <c r="B21" i="47"/>
  <c r="B22" i="47"/>
  <c r="B18" i="47"/>
  <c r="D21" i="47"/>
  <c r="D22" i="47"/>
  <c r="E118" i="115" s="1"/>
  <c r="D23" i="47"/>
  <c r="D18" i="47"/>
  <c r="E114" i="115" s="1"/>
  <c r="D19" i="47"/>
  <c r="E115" i="115" s="1"/>
  <c r="K131" i="3"/>
  <c r="G85" i="3"/>
  <c r="T4" i="112"/>
  <c r="R4" i="112"/>
  <c r="Q5" i="112"/>
  <c r="S5" i="112"/>
  <c r="I4" i="112"/>
  <c r="I57" i="101"/>
  <c r="I56" i="101"/>
  <c r="F21" i="46"/>
  <c r="F8" i="46"/>
  <c r="F32" i="46" s="1"/>
  <c r="F42" i="35"/>
  <c r="F42" i="93"/>
  <c r="E117" i="115" l="1"/>
  <c r="I51" i="101"/>
  <c r="I58" i="35"/>
  <c r="K58" i="35"/>
  <c r="M58" i="35"/>
  <c r="E54" i="20"/>
  <c r="E53" i="115" s="1"/>
  <c r="C53" i="115" s="1"/>
  <c r="P27" i="115"/>
  <c r="O27" i="115" s="1"/>
  <c r="P13" i="115"/>
  <c r="O13" i="115" s="1"/>
  <c r="N13" i="115" s="1"/>
  <c r="S12" i="115"/>
  <c r="S11" i="115" s="1"/>
  <c r="R12" i="115"/>
  <c r="R11" i="115" s="1"/>
  <c r="P12" i="115"/>
  <c r="P54" i="20" l="1"/>
  <c r="N31" i="115"/>
  <c r="N32" i="115"/>
  <c r="N27" i="115"/>
  <c r="E28" i="115" s="1"/>
  <c r="P11" i="115"/>
  <c r="U11" i="115"/>
  <c r="Q49" i="9" l="1"/>
  <c r="G100" i="9"/>
  <c r="G107" i="9"/>
  <c r="G108" i="9"/>
  <c r="G109" i="9"/>
  <c r="G110" i="9"/>
  <c r="G111" i="9"/>
  <c r="G112" i="9"/>
  <c r="G113" i="9"/>
  <c r="G114" i="9"/>
  <c r="G115" i="9"/>
  <c r="G116" i="9"/>
  <c r="G117" i="9"/>
  <c r="E9" i="20"/>
  <c r="D37" i="47"/>
  <c r="E159" i="115" s="1"/>
  <c r="C15" i="47"/>
  <c r="C14" i="47"/>
  <c r="D14" i="47" s="1"/>
  <c r="E110" i="115" s="1"/>
  <c r="C13" i="47"/>
  <c r="D13" i="47" s="1"/>
  <c r="E109" i="115" s="1"/>
  <c r="C12" i="47"/>
  <c r="C10" i="47"/>
  <c r="D10" i="47" s="1"/>
  <c r="E106" i="115" s="1"/>
  <c r="I33" i="93"/>
  <c r="B98" i="57"/>
  <c r="B97" i="57"/>
  <c r="B96" i="57"/>
  <c r="B95" i="57"/>
  <c r="B101" i="4"/>
  <c r="B100" i="4"/>
  <c r="B99" i="4"/>
  <c r="B98" i="4"/>
  <c r="B141" i="17"/>
  <c r="B140" i="17"/>
  <c r="B139" i="17"/>
  <c r="B138" i="17"/>
  <c r="O20" i="17"/>
  <c r="I60" i="4"/>
  <c r="Q20" i="17"/>
  <c r="Q102" i="17" s="1"/>
  <c r="I20" i="57"/>
  <c r="I41" i="4"/>
  <c r="I36" i="4"/>
  <c r="I53" i="4"/>
  <c r="I29" i="4"/>
  <c r="B123" i="16"/>
  <c r="B122" i="16"/>
  <c r="B121" i="16"/>
  <c r="B120" i="16"/>
  <c r="M20" i="16"/>
  <c r="I76" i="16"/>
  <c r="I20" i="16"/>
  <c r="B129" i="3"/>
  <c r="B130" i="3"/>
  <c r="B131" i="3"/>
  <c r="B128" i="3"/>
  <c r="B137" i="28"/>
  <c r="B136" i="28"/>
  <c r="B135" i="28"/>
  <c r="B134" i="28"/>
  <c r="B97" i="101"/>
  <c r="B96" i="101"/>
  <c r="B95" i="101"/>
  <c r="D20" i="47"/>
  <c r="E116" i="115" s="1"/>
  <c r="D16" i="47"/>
  <c r="E112" i="115" s="1"/>
  <c r="B120" i="93"/>
  <c r="B119" i="93"/>
  <c r="B118" i="93"/>
  <c r="B117" i="93"/>
  <c r="B93" i="2"/>
  <c r="B92" i="2"/>
  <c r="B91" i="2"/>
  <c r="B90" i="2"/>
  <c r="F30" i="6"/>
  <c r="F29" i="6"/>
  <c r="F28" i="6"/>
  <c r="F25" i="6"/>
  <c r="I42" i="10"/>
  <c r="B93" i="10"/>
  <c r="B92" i="10"/>
  <c r="B91" i="10"/>
  <c r="B90" i="10"/>
  <c r="O38" i="6"/>
  <c r="E84" i="115"/>
  <c r="C36" i="20" s="1"/>
  <c r="E81" i="115"/>
  <c r="E83" i="115"/>
  <c r="E82" i="115"/>
  <c r="B101" i="111"/>
  <c r="B100" i="111"/>
  <c r="B99" i="111"/>
  <c r="B98" i="111"/>
  <c r="O32" i="57"/>
  <c r="I32" i="57" s="1"/>
  <c r="B79" i="74"/>
  <c r="B78" i="74"/>
  <c r="B77" i="74"/>
  <c r="B76" i="77"/>
  <c r="B75" i="77"/>
  <c r="B74" i="77"/>
  <c r="B73" i="77"/>
  <c r="B73" i="76"/>
  <c r="B72" i="76"/>
  <c r="B71" i="76"/>
  <c r="B70" i="76"/>
  <c r="S56" i="6"/>
  <c r="Q56" i="6"/>
  <c r="G38" i="6"/>
  <c r="I38" i="6" s="1"/>
  <c r="B89" i="30"/>
  <c r="B88" i="30"/>
  <c r="B87" i="30"/>
  <c r="B86" i="30"/>
  <c r="G54" i="60"/>
  <c r="I54" i="60" s="1"/>
  <c r="K43" i="30"/>
  <c r="B90" i="100"/>
  <c r="B91" i="100"/>
  <c r="B92" i="100"/>
  <c r="B89" i="100"/>
  <c r="M37" i="60"/>
  <c r="D148" i="8"/>
  <c r="B204" i="8"/>
  <c r="B205" i="8"/>
  <c r="B206" i="8"/>
  <c r="B203" i="8"/>
  <c r="W167" i="8"/>
  <c r="W169" i="8" s="1"/>
  <c r="W171" i="8" s="1"/>
  <c r="U167" i="8"/>
  <c r="U169" i="8" s="1"/>
  <c r="U171" i="8" s="1"/>
  <c r="S167" i="8"/>
  <c r="S169" i="8" s="1"/>
  <c r="S171" i="8" s="1"/>
  <c r="Q167" i="8"/>
  <c r="Q169" i="8" s="1"/>
  <c r="Q171" i="8" s="1"/>
  <c r="O167" i="8"/>
  <c r="O169" i="8" s="1"/>
  <c r="O171" i="8" s="1"/>
  <c r="K167" i="8"/>
  <c r="K169" i="8" s="1"/>
  <c r="K171" i="8" s="1"/>
  <c r="I161" i="8"/>
  <c r="D151" i="8"/>
  <c r="D79" i="8"/>
  <c r="D78" i="8"/>
  <c r="D77" i="8"/>
  <c r="D74" i="8"/>
  <c r="D150" i="8" s="1"/>
  <c r="D73" i="8"/>
  <c r="D149" i="8" s="1"/>
  <c r="D72" i="8"/>
  <c r="D147" i="8" s="1"/>
  <c r="Y66" i="8"/>
  <c r="Y167" i="8" s="1"/>
  <c r="Y169" i="8" s="1"/>
  <c r="Y171" i="8" s="1"/>
  <c r="D64" i="8"/>
  <c r="G64" i="8" s="1"/>
  <c r="D63" i="8"/>
  <c r="G63" i="8" s="1"/>
  <c r="G62" i="8"/>
  <c r="I62" i="8" s="1"/>
  <c r="D59" i="8"/>
  <c r="D58" i="8"/>
  <c r="D55" i="8"/>
  <c r="D54" i="8"/>
  <c r="D53" i="8"/>
  <c r="D52" i="8"/>
  <c r="D51" i="8"/>
  <c r="D50" i="8"/>
  <c r="E103" i="115" l="1"/>
  <c r="M54" i="60"/>
  <c r="K54" i="60"/>
  <c r="D97" i="8"/>
  <c r="C39" i="20"/>
  <c r="E39" i="20" s="1"/>
  <c r="P39" i="20" s="1"/>
  <c r="E36" i="20"/>
  <c r="P36" i="20" s="1"/>
  <c r="E38" i="115"/>
  <c r="D12" i="47"/>
  <c r="E108" i="115" s="1"/>
  <c r="D15" i="47"/>
  <c r="E111" i="115" s="1"/>
  <c r="Q104" i="17"/>
  <c r="Q106" i="17" s="1"/>
  <c r="I62" i="4"/>
  <c r="K38" i="6"/>
  <c r="M38" i="6"/>
  <c r="D156" i="8"/>
  <c r="D157" i="8"/>
  <c r="I64" i="8"/>
  <c r="M64" i="8"/>
  <c r="I63" i="8"/>
  <c r="I167" i="8" s="1"/>
  <c r="M63" i="8"/>
  <c r="P9" i="8"/>
  <c r="J9" i="8"/>
  <c r="N9" i="8"/>
  <c r="R9" i="8"/>
  <c r="T9" i="8"/>
  <c r="V9" i="8"/>
  <c r="X9" i="8"/>
  <c r="M62" i="8"/>
  <c r="Q107" i="17" l="1"/>
  <c r="P9" i="17"/>
  <c r="M167" i="8"/>
  <c r="M169" i="8" s="1"/>
  <c r="I169" i="8"/>
  <c r="I171" i="8" s="1"/>
  <c r="B207" i="8" s="1"/>
  <c r="C30" i="20" s="1"/>
  <c r="L30" i="20" l="1"/>
  <c r="D30" i="20"/>
  <c r="E30" i="20"/>
  <c r="M171" i="8"/>
  <c r="L9" i="8" s="1"/>
  <c r="H9" i="8"/>
  <c r="K27" i="115" l="1"/>
  <c r="P30" i="20"/>
  <c r="E27" i="115"/>
  <c r="J27" i="115" s="1"/>
  <c r="I142" i="17"/>
  <c r="I28" i="60"/>
  <c r="I25" i="60"/>
  <c r="U54" i="10"/>
  <c r="K54" i="10"/>
  <c r="B91" i="97"/>
  <c r="B90" i="97"/>
  <c r="B89" i="97"/>
  <c r="B88" i="97"/>
  <c r="B71" i="96"/>
  <c r="B70" i="96"/>
  <c r="B69" i="96"/>
  <c r="B68" i="96"/>
  <c r="U22" i="17"/>
  <c r="B91" i="7"/>
  <c r="B92" i="7"/>
  <c r="B93" i="7"/>
  <c r="B90" i="7"/>
  <c r="G41" i="7"/>
  <c r="G40" i="7"/>
  <c r="G37" i="7"/>
  <c r="B88" i="63"/>
  <c r="B89" i="63"/>
  <c r="B90" i="63"/>
  <c r="B87" i="63"/>
  <c r="O44" i="63"/>
  <c r="O23" i="63"/>
  <c r="B158" i="9"/>
  <c r="B159" i="9"/>
  <c r="B160" i="9"/>
  <c r="B157" i="9"/>
  <c r="O109" i="9"/>
  <c r="O111" i="9"/>
  <c r="L27" i="115" l="1"/>
  <c r="C60" i="20"/>
  <c r="E60" i="20" s="1"/>
  <c r="K56" i="10"/>
  <c r="K58" i="10" s="1"/>
  <c r="J9" i="10" s="1"/>
  <c r="U56" i="10"/>
  <c r="U58" i="10" s="1"/>
  <c r="T9" i="10" s="1"/>
  <c r="B189" i="14"/>
  <c r="B190" i="14"/>
  <c r="B191" i="14"/>
  <c r="B188" i="14"/>
  <c r="M48" i="14"/>
  <c r="M49" i="14" s="1"/>
  <c r="G144" i="14"/>
  <c r="G143" i="14"/>
  <c r="G142" i="14"/>
  <c r="E63" i="115" l="1"/>
  <c r="P60" i="20"/>
  <c r="L60" i="20"/>
  <c r="I143" i="14"/>
  <c r="O143" i="14"/>
  <c r="I144" i="14"/>
  <c r="O144" i="14"/>
  <c r="I142" i="14"/>
  <c r="O142" i="14"/>
  <c r="K59" i="10"/>
  <c r="U59" i="10"/>
  <c r="M142" i="14"/>
  <c r="M144" i="14"/>
  <c r="M143" i="14"/>
  <c r="S152" i="14"/>
  <c r="Q152" i="14"/>
  <c r="M29" i="14"/>
  <c r="M88" i="14"/>
  <c r="G46" i="14"/>
  <c r="I46" i="14" s="1"/>
  <c r="M27" i="14"/>
  <c r="M25" i="14"/>
  <c r="I25" i="14"/>
  <c r="I24" i="14"/>
  <c r="I27" i="14"/>
  <c r="G147" i="14"/>
  <c r="D78" i="14"/>
  <c r="D79" i="14" s="1"/>
  <c r="I48" i="14"/>
  <c r="B146" i="13"/>
  <c r="B145" i="13"/>
  <c r="B144" i="13"/>
  <c r="B143" i="13"/>
  <c r="M48" i="46"/>
  <c r="O102" i="17"/>
  <c r="B141" i="95"/>
  <c r="B142" i="95"/>
  <c r="B143" i="95"/>
  <c r="B140" i="95"/>
  <c r="U31" i="17"/>
  <c r="U102" i="17" s="1"/>
  <c r="G102" i="9"/>
  <c r="G103" i="9"/>
  <c r="G106" i="9"/>
  <c r="D104" i="9"/>
  <c r="G104" i="9" s="1"/>
  <c r="D105" i="9"/>
  <c r="G105" i="9" s="1"/>
  <c r="D65" i="9"/>
  <c r="G65" i="9" s="1"/>
  <c r="O65" i="9" s="1"/>
  <c r="B88" i="67"/>
  <c r="B89" i="67"/>
  <c r="B90" i="67"/>
  <c r="B87" i="67"/>
  <c r="S31" i="17"/>
  <c r="I68" i="52"/>
  <c r="I67" i="52"/>
  <c r="B123" i="52"/>
  <c r="B122" i="52"/>
  <c r="B121" i="52"/>
  <c r="B120" i="52"/>
  <c r="I20" i="7"/>
  <c r="G45" i="41"/>
  <c r="F26" i="58"/>
  <c r="F27" i="58"/>
  <c r="O28" i="70"/>
  <c r="AE25" i="116"/>
  <c r="D19" i="112" s="1"/>
  <c r="AE26" i="116"/>
  <c r="D22" i="112" s="1"/>
  <c r="AE27" i="116"/>
  <c r="D10" i="112" s="1"/>
  <c r="AE28" i="116"/>
  <c r="D11" i="112" s="1"/>
  <c r="AE29" i="116"/>
  <c r="D17" i="112" s="1"/>
  <c r="AE30" i="116"/>
  <c r="D16" i="112" s="1"/>
  <c r="AE31" i="116"/>
  <c r="D15" i="112" s="1"/>
  <c r="AE32" i="116"/>
  <c r="AE33" i="116"/>
  <c r="G44" i="27"/>
  <c r="I44" i="27" s="1"/>
  <c r="B95" i="60"/>
  <c r="B94" i="60"/>
  <c r="B93" i="60"/>
  <c r="B92" i="60"/>
  <c r="M102" i="17"/>
  <c r="L9" i="17" s="1"/>
  <c r="AD25" i="116"/>
  <c r="AD26" i="116"/>
  <c r="AD27" i="116"/>
  <c r="AD28" i="116"/>
  <c r="AD29" i="116"/>
  <c r="AD30" i="116"/>
  <c r="AD31" i="116"/>
  <c r="AD32" i="116"/>
  <c r="AD33" i="116"/>
  <c r="AD34" i="116"/>
  <c r="AE34" i="116" s="1"/>
  <c r="AD35" i="116"/>
  <c r="AE35" i="116" s="1"/>
  <c r="AD24" i="116"/>
  <c r="AE24" i="116" s="1"/>
  <c r="D21" i="112" s="1"/>
  <c r="AD23" i="116"/>
  <c r="AE23" i="116" s="1"/>
  <c r="D18" i="112" s="1"/>
  <c r="M35" i="60"/>
  <c r="K35" i="60" s="1"/>
  <c r="I35" i="60" s="1"/>
  <c r="S121" i="9"/>
  <c r="Q121" i="9"/>
  <c r="I121" i="9"/>
  <c r="K121" i="9"/>
  <c r="G48" i="9"/>
  <c r="G67" i="9"/>
  <c r="G68" i="9"/>
  <c r="G69" i="9"/>
  <c r="G99" i="9"/>
  <c r="G101" i="9"/>
  <c r="G118" i="9"/>
  <c r="G119" i="9"/>
  <c r="K28" i="60"/>
  <c r="K25" i="60"/>
  <c r="K107" i="13"/>
  <c r="M28" i="13"/>
  <c r="D46" i="7"/>
  <c r="D45" i="7"/>
  <c r="D44" i="7"/>
  <c r="M29" i="111"/>
  <c r="I28" i="13"/>
  <c r="M20" i="111"/>
  <c r="U35" i="57"/>
  <c r="O20" i="4"/>
  <c r="AA83" i="95"/>
  <c r="B77" i="75"/>
  <c r="B76" i="75"/>
  <c r="B75" i="75"/>
  <c r="B74" i="75"/>
  <c r="B80" i="74"/>
  <c r="G33" i="100"/>
  <c r="F31" i="100"/>
  <c r="G31" i="100" s="1"/>
  <c r="B85" i="81"/>
  <c r="B84" i="81"/>
  <c r="B86" i="81"/>
  <c r="B87" i="81"/>
  <c r="D34" i="100"/>
  <c r="G34" i="100" s="1"/>
  <c r="G27" i="100"/>
  <c r="G28" i="100"/>
  <c r="G32" i="100"/>
  <c r="G30" i="100"/>
  <c r="B65" i="78"/>
  <c r="B66" i="78"/>
  <c r="B67" i="78"/>
  <c r="B68" i="78"/>
  <c r="B87" i="46"/>
  <c r="B86" i="46"/>
  <c r="B85" i="46"/>
  <c r="B84" i="46"/>
  <c r="M22" i="102"/>
  <c r="F35" i="27"/>
  <c r="F34" i="27"/>
  <c r="F33" i="27"/>
  <c r="F36" i="27"/>
  <c r="D12" i="112" l="1"/>
  <c r="I147" i="14"/>
  <c r="O147" i="14"/>
  <c r="K147" i="14"/>
  <c r="K152" i="14" s="1"/>
  <c r="M32" i="100"/>
  <c r="I32" i="100"/>
  <c r="M27" i="100"/>
  <c r="I27" i="100"/>
  <c r="M30" i="100"/>
  <c r="I30" i="100"/>
  <c r="M28" i="100"/>
  <c r="I28" i="100"/>
  <c r="M31" i="100"/>
  <c r="I31" i="100"/>
  <c r="M34" i="100"/>
  <c r="I34" i="100"/>
  <c r="M33" i="100"/>
  <c r="I33" i="100"/>
  <c r="O105" i="9"/>
  <c r="M105" i="9"/>
  <c r="O104" i="9"/>
  <c r="M104" i="9"/>
  <c r="O103" i="9"/>
  <c r="M103" i="9"/>
  <c r="M147" i="14"/>
  <c r="M50" i="46"/>
  <c r="M52" i="46" s="1"/>
  <c r="O104" i="17"/>
  <c r="O106" i="17" s="1"/>
  <c r="U104" i="17"/>
  <c r="U106" i="17" s="1"/>
  <c r="K27" i="100"/>
  <c r="K34" i="100"/>
  <c r="K33" i="100"/>
  <c r="K32" i="100"/>
  <c r="K31" i="100"/>
  <c r="K28" i="100"/>
  <c r="K30" i="100"/>
  <c r="K109" i="13"/>
  <c r="K111" i="13" s="1"/>
  <c r="O30" i="100"/>
  <c r="O34" i="100"/>
  <c r="O33" i="100"/>
  <c r="O32" i="100"/>
  <c r="O31" i="100"/>
  <c r="O27" i="100"/>
  <c r="F47" i="63"/>
  <c r="F48" i="63"/>
  <c r="F46" i="63"/>
  <c r="D46" i="63"/>
  <c r="D48" i="63"/>
  <c r="D47" i="63"/>
  <c r="K135" i="28"/>
  <c r="D39" i="114"/>
  <c r="D132" i="112"/>
  <c r="M27" i="27"/>
  <c r="K127" i="112"/>
  <c r="L127" i="112" s="1"/>
  <c r="J91" i="112"/>
  <c r="G46" i="63" l="1"/>
  <c r="G47" i="63"/>
  <c r="K46" i="63"/>
  <c r="Q46" i="63"/>
  <c r="G48" i="63"/>
  <c r="O121" i="9"/>
  <c r="M121" i="9"/>
  <c r="M53" i="46"/>
  <c r="L9" i="46"/>
  <c r="O107" i="17"/>
  <c r="N9" i="17"/>
  <c r="B142" i="17" s="1"/>
  <c r="U107" i="17"/>
  <c r="T9" i="17"/>
  <c r="K112" i="13"/>
  <c r="J9" i="13"/>
  <c r="G78" i="3"/>
  <c r="Q135" i="28"/>
  <c r="S54" i="29"/>
  <c r="Q54" i="29"/>
  <c r="O54" i="29"/>
  <c r="M54" i="29"/>
  <c r="K54" i="29"/>
  <c r="I54" i="29"/>
  <c r="G28" i="29"/>
  <c r="S52" i="114"/>
  <c r="Q52" i="114"/>
  <c r="O52" i="114"/>
  <c r="M52" i="114"/>
  <c r="K52" i="114"/>
  <c r="D34" i="114"/>
  <c r="G27" i="114"/>
  <c r="I27" i="114" s="1"/>
  <c r="D44" i="63"/>
  <c r="D25" i="6" s="1"/>
  <c r="Q51" i="4"/>
  <c r="Q53" i="4"/>
  <c r="Q54" i="4"/>
  <c r="K43" i="4"/>
  <c r="K44" i="4"/>
  <c r="K36" i="4"/>
  <c r="M36" i="4"/>
  <c r="M54" i="4"/>
  <c r="M53" i="4"/>
  <c r="G59" i="4"/>
  <c r="O59" i="4" s="1"/>
  <c r="F58" i="4"/>
  <c r="G58" i="4" s="1"/>
  <c r="F56" i="4"/>
  <c r="G56" i="4" s="1"/>
  <c r="F57" i="4"/>
  <c r="G57" i="4" s="1"/>
  <c r="F55" i="4"/>
  <c r="G55" i="4" s="1"/>
  <c r="D76" i="28"/>
  <c r="F53" i="4"/>
  <c r="G53" i="4" s="1"/>
  <c r="O53" i="4" s="1"/>
  <c r="D88" i="28"/>
  <c r="D82" i="28"/>
  <c r="G54" i="4"/>
  <c r="O54" i="4" s="1"/>
  <c r="D51" i="4"/>
  <c r="G51" i="4" s="1"/>
  <c r="O51" i="4" s="1"/>
  <c r="F50" i="4"/>
  <c r="G50" i="4" s="1"/>
  <c r="O50" i="4" s="1"/>
  <c r="D49" i="4"/>
  <c r="G49" i="4" s="1"/>
  <c r="O49" i="4" s="1"/>
  <c r="F48" i="4"/>
  <c r="G48" i="4" s="1"/>
  <c r="O48" i="4" s="1"/>
  <c r="F47" i="4"/>
  <c r="G47" i="4" s="1"/>
  <c r="O47" i="4" s="1"/>
  <c r="F45" i="4"/>
  <c r="G45" i="4" s="1"/>
  <c r="O45" i="4" s="1"/>
  <c r="D46" i="4"/>
  <c r="G46" i="4" s="1"/>
  <c r="O46" i="4" s="1"/>
  <c r="D37" i="4"/>
  <c r="G37" i="4" s="1"/>
  <c r="D44" i="4"/>
  <c r="G44" i="4" s="1"/>
  <c r="O44" i="4" s="1"/>
  <c r="F43" i="4"/>
  <c r="G43" i="4" s="1"/>
  <c r="O43" i="4" s="1"/>
  <c r="F36" i="4"/>
  <c r="G36" i="4" s="1"/>
  <c r="O36" i="4" s="1"/>
  <c r="F42" i="4"/>
  <c r="G42" i="4" s="1"/>
  <c r="O42" i="4" s="1"/>
  <c r="O35" i="57"/>
  <c r="Q35" i="57" s="1"/>
  <c r="O46" i="57"/>
  <c r="K49" i="57"/>
  <c r="K41" i="57"/>
  <c r="O41" i="57" s="1"/>
  <c r="M41" i="57" s="1"/>
  <c r="K34" i="57"/>
  <c r="O34" i="57" s="1"/>
  <c r="M34" i="57" s="1"/>
  <c r="K117" i="93"/>
  <c r="G37" i="6"/>
  <c r="G24" i="58"/>
  <c r="I24" i="58" s="1"/>
  <c r="K54" i="7"/>
  <c r="I37" i="60"/>
  <c r="I43" i="60"/>
  <c r="M46" i="57" l="1"/>
  <c r="Q46" i="57" s="1"/>
  <c r="I46" i="57"/>
  <c r="I59" i="57" s="1"/>
  <c r="M44" i="4"/>
  <c r="M43" i="4"/>
  <c r="O37" i="6"/>
  <c r="K37" i="6"/>
  <c r="I37" i="6"/>
  <c r="M37" i="6"/>
  <c r="Q48" i="63"/>
  <c r="K48" i="63"/>
  <c r="Q47" i="63"/>
  <c r="K47" i="63"/>
  <c r="D40" i="114"/>
  <c r="D38" i="114"/>
  <c r="G34" i="114"/>
  <c r="I34" i="114" s="1"/>
  <c r="I52" i="114" s="1"/>
  <c r="K59" i="4"/>
  <c r="M59" i="4"/>
  <c r="K42" i="4"/>
  <c r="Q36" i="4"/>
  <c r="Q44" i="4"/>
  <c r="Q43" i="4"/>
  <c r="Q42" i="4"/>
  <c r="M42" i="4"/>
  <c r="O37" i="4"/>
  <c r="M37" i="4"/>
  <c r="K37" i="4"/>
  <c r="Q37" i="4"/>
  <c r="O55" i="4"/>
  <c r="M55" i="4"/>
  <c r="Q55" i="4"/>
  <c r="K55" i="4"/>
  <c r="O56" i="4"/>
  <c r="M56" i="4"/>
  <c r="Q56" i="4"/>
  <c r="K56" i="4"/>
  <c r="O57" i="4"/>
  <c r="M57" i="4"/>
  <c r="K57" i="4"/>
  <c r="Q57" i="4"/>
  <c r="O58" i="4"/>
  <c r="Q58" i="4"/>
  <c r="M58" i="4"/>
  <c r="K58" i="4"/>
  <c r="Q50" i="4"/>
  <c r="Q47" i="4"/>
  <c r="K50" i="4"/>
  <c r="Q49" i="4"/>
  <c r="K54" i="4"/>
  <c r="Q46" i="4"/>
  <c r="K53" i="4"/>
  <c r="K46" i="4"/>
  <c r="K45" i="4"/>
  <c r="Q45" i="4"/>
  <c r="K49" i="4"/>
  <c r="K48" i="4"/>
  <c r="M45" i="4"/>
  <c r="M47" i="4"/>
  <c r="M50" i="4"/>
  <c r="Q59" i="4"/>
  <c r="Q48" i="4"/>
  <c r="K51" i="4"/>
  <c r="K47" i="4"/>
  <c r="M46" i="4"/>
  <c r="M48" i="4"/>
  <c r="M49" i="4"/>
  <c r="M51" i="4"/>
  <c r="D32" i="91"/>
  <c r="G32" i="91" s="1"/>
  <c r="G69" i="3"/>
  <c r="G74" i="3"/>
  <c r="G75" i="3"/>
  <c r="G76" i="3"/>
  <c r="G77" i="3"/>
  <c r="G79" i="3"/>
  <c r="G80" i="3"/>
  <c r="G81" i="3"/>
  <c r="G82" i="3"/>
  <c r="G83" i="3"/>
  <c r="G84" i="3"/>
  <c r="M20" i="13"/>
  <c r="B92" i="91"/>
  <c r="B91" i="91"/>
  <c r="B90" i="91"/>
  <c r="B89" i="91"/>
  <c r="S20" i="3"/>
  <c r="S127" i="3"/>
  <c r="S131" i="3"/>
  <c r="M26" i="91"/>
  <c r="I26" i="91"/>
  <c r="L28" i="91"/>
  <c r="H28" i="91" s="1"/>
  <c r="G28" i="91"/>
  <c r="I28" i="91" s="1"/>
  <c r="I74" i="91" s="1"/>
  <c r="U32" i="91" l="1"/>
  <c r="S83" i="3"/>
  <c r="K83" i="3"/>
  <c r="Q83" i="3"/>
  <c r="M83" i="3"/>
  <c r="O83" i="3"/>
  <c r="I83" i="3"/>
  <c r="I61" i="57"/>
  <c r="I63" i="57"/>
  <c r="I32" i="91"/>
  <c r="Q62" i="4"/>
  <c r="M28" i="91"/>
  <c r="Q28" i="91"/>
  <c r="I64" i="57" l="1"/>
  <c r="H9" i="57"/>
  <c r="B99" i="57" s="1"/>
  <c r="I20" i="3"/>
  <c r="G58" i="111"/>
  <c r="D49" i="111"/>
  <c r="G49" i="111"/>
  <c r="D41" i="111"/>
  <c r="G41" i="111" s="1"/>
  <c r="D34" i="111"/>
  <c r="G34" i="111" s="1"/>
  <c r="D52" i="111"/>
  <c r="G52" i="111" s="1"/>
  <c r="D44" i="111"/>
  <c r="G44" i="111" s="1"/>
  <c r="O44" i="111" s="1"/>
  <c r="D37" i="111"/>
  <c r="G37" i="111" s="1"/>
  <c r="C63" i="115"/>
  <c r="C43" i="115"/>
  <c r="C42" i="115"/>
  <c r="C38" i="115"/>
  <c r="C28" i="115"/>
  <c r="C19" i="115"/>
  <c r="K37" i="111" l="1"/>
  <c r="O37" i="111"/>
  <c r="K52" i="111"/>
  <c r="O52" i="111"/>
  <c r="W44" i="111"/>
  <c r="K44" i="111"/>
  <c r="Q58" i="111"/>
  <c r="M58" i="111" s="1"/>
  <c r="Y37" i="111"/>
  <c r="W37" i="111"/>
  <c r="U37" i="111"/>
  <c r="Q37" i="111"/>
  <c r="M37" i="111"/>
  <c r="I37" i="111"/>
  <c r="Y52" i="111"/>
  <c r="W52" i="111"/>
  <c r="U52" i="111"/>
  <c r="Q52" i="111"/>
  <c r="M52" i="111"/>
  <c r="I52" i="111"/>
  <c r="I44" i="111"/>
  <c r="M44" i="111"/>
  <c r="Q44" i="111"/>
  <c r="Y44" i="111"/>
  <c r="U44" i="111"/>
  <c r="K63" i="111" l="1"/>
  <c r="O63" i="111"/>
  <c r="O65" i="111" s="1"/>
  <c r="O67" i="111" s="1"/>
  <c r="K65" i="111"/>
  <c r="K67" i="111" s="1"/>
  <c r="Q63" i="111"/>
  <c r="F22" i="58"/>
  <c r="G22" i="58" s="1"/>
  <c r="I22" i="58" s="1"/>
  <c r="N9" i="111" l="1"/>
  <c r="O68" i="111"/>
  <c r="O69" i="111"/>
  <c r="K68" i="111"/>
  <c r="K69" i="111"/>
  <c r="J9" i="111"/>
  <c r="D23" i="58"/>
  <c r="G23" i="58" s="1"/>
  <c r="I23" i="58" s="1"/>
  <c r="G51" i="67"/>
  <c r="AC46" i="67"/>
  <c r="AC43" i="67"/>
  <c r="AC40" i="67"/>
  <c r="AC27" i="67"/>
  <c r="Z47" i="67"/>
  <c r="AA47" i="67"/>
  <c r="O20" i="91"/>
  <c r="Y47" i="67"/>
  <c r="G100" i="95"/>
  <c r="G99" i="95"/>
  <c r="G97" i="95"/>
  <c r="Y20" i="91"/>
  <c r="D50" i="91"/>
  <c r="D39" i="91"/>
  <c r="D38" i="91"/>
  <c r="D37" i="91"/>
  <c r="D36" i="91"/>
  <c r="AA70" i="91" s="1"/>
  <c r="F98" i="95" l="1"/>
  <c r="G98" i="95" s="1"/>
  <c r="AC47" i="67"/>
  <c r="U34" i="91"/>
  <c r="M47" i="57"/>
  <c r="D40" i="6"/>
  <c r="G40" i="6" s="1"/>
  <c r="I40" i="6" l="1"/>
  <c r="K40" i="6"/>
  <c r="O34" i="91"/>
  <c r="K34" i="91" s="1"/>
  <c r="G44" i="6" l="1"/>
  <c r="I44" i="6" s="1"/>
  <c r="D94" i="95" l="1"/>
  <c r="D81" i="95"/>
  <c r="D80" i="95"/>
  <c r="D79" i="95"/>
  <c r="D78" i="95"/>
  <c r="D77" i="95"/>
  <c r="D75" i="95"/>
  <c r="D74" i="95"/>
  <c r="D73" i="95"/>
  <c r="D67" i="95"/>
  <c r="D66" i="95"/>
  <c r="D65" i="95"/>
  <c r="D62" i="95"/>
  <c r="D61" i="95"/>
  <c r="D60" i="95"/>
  <c r="D58" i="95"/>
  <c r="D57" i="95"/>
  <c r="D55" i="95"/>
  <c r="D54" i="95"/>
  <c r="D53" i="95"/>
  <c r="D52" i="95"/>
  <c r="D40" i="95"/>
  <c r="D41" i="95"/>
  <c r="D45" i="95"/>
  <c r="D46" i="95"/>
  <c r="D47" i="95"/>
  <c r="D48" i="95"/>
  <c r="D49" i="95"/>
  <c r="D39" i="95"/>
  <c r="AA85" i="95"/>
  <c r="D85" i="95" s="1"/>
  <c r="AA86" i="95"/>
  <c r="D86" i="95" s="1"/>
  <c r="AA87" i="95"/>
  <c r="D87" i="95" s="1"/>
  <c r="AA88" i="95"/>
  <c r="D88" i="95" s="1"/>
  <c r="AA89" i="95"/>
  <c r="D89" i="95" s="1"/>
  <c r="AA90" i="95"/>
  <c r="D90" i="95" s="1"/>
  <c r="AA91" i="95"/>
  <c r="D91" i="95" s="1"/>
  <c r="AA92" i="95"/>
  <c r="D92" i="95" s="1"/>
  <c r="AA93" i="95"/>
  <c r="D93" i="95" s="1"/>
  <c r="AA84" i="95"/>
  <c r="D84" i="95" s="1"/>
  <c r="X85" i="95"/>
  <c r="X86" i="95"/>
  <c r="X87" i="95"/>
  <c r="X88" i="95"/>
  <c r="X89" i="95"/>
  <c r="X90" i="95"/>
  <c r="X91" i="95"/>
  <c r="X92" i="95"/>
  <c r="X93" i="95"/>
  <c r="X94" i="95"/>
  <c r="X84" i="95"/>
  <c r="G22" i="21"/>
  <c r="G21" i="21"/>
  <c r="K26" i="78"/>
  <c r="B91" i="70"/>
  <c r="B90" i="70"/>
  <c r="B89" i="70"/>
  <c r="B88" i="70"/>
  <c r="G47" i="3"/>
  <c r="Y132" i="3"/>
  <c r="W132" i="3"/>
  <c r="U132" i="3"/>
  <c r="Q132" i="3"/>
  <c r="O132" i="3"/>
  <c r="I132" i="3"/>
  <c r="M132" i="3"/>
  <c r="A10" i="47"/>
  <c r="A11" i="47" s="1"/>
  <c r="A12" i="47" s="1"/>
  <c r="A13" i="47" s="1"/>
  <c r="A14" i="47" s="1"/>
  <c r="A15" i="47" s="1"/>
  <c r="A16" i="47" s="1"/>
  <c r="A17" i="47" s="1"/>
  <c r="I28" i="93"/>
  <c r="I116" i="93" s="1"/>
  <c r="I117" i="93" s="1"/>
  <c r="I38" i="81"/>
  <c r="I48" i="81" s="1"/>
  <c r="D49" i="57"/>
  <c r="G49" i="57" s="1"/>
  <c r="G47" i="57"/>
  <c r="G35" i="57"/>
  <c r="G46" i="78"/>
  <c r="G45" i="57"/>
  <c r="G44" i="57"/>
  <c r="G42" i="57"/>
  <c r="K29" i="81"/>
  <c r="D33" i="57"/>
  <c r="G33" i="57" s="1"/>
  <c r="O33" i="57" s="1"/>
  <c r="D29" i="57"/>
  <c r="G29" i="57" s="1"/>
  <c r="D26" i="57"/>
  <c r="G26" i="57" s="1"/>
  <c r="D34" i="57"/>
  <c r="G34" i="57" s="1"/>
  <c r="K62" i="4"/>
  <c r="G24" i="102"/>
  <c r="G86" i="3"/>
  <c r="G87" i="3"/>
  <c r="G88" i="3"/>
  <c r="G89" i="3"/>
  <c r="O79" i="3"/>
  <c r="AE90" i="3"/>
  <c r="AC90" i="3"/>
  <c r="G50" i="101"/>
  <c r="D60" i="3"/>
  <c r="D39" i="101"/>
  <c r="D46" i="101"/>
  <c r="G54" i="101"/>
  <c r="K45" i="101"/>
  <c r="G52" i="101"/>
  <c r="K25" i="101"/>
  <c r="F35" i="101" s="1"/>
  <c r="G35" i="101" s="1"/>
  <c r="K35" i="101" s="1"/>
  <c r="G55" i="101"/>
  <c r="I55" i="101" s="1"/>
  <c r="F67" i="28"/>
  <c r="G67" i="28" s="1"/>
  <c r="G66" i="28"/>
  <c r="B99" i="35"/>
  <c r="B100" i="35"/>
  <c r="B101" i="35"/>
  <c r="B98" i="35"/>
  <c r="G54" i="35"/>
  <c r="K54" i="35" s="1"/>
  <c r="G56" i="35"/>
  <c r="M56" i="35" s="1"/>
  <c r="G55" i="35"/>
  <c r="M55" i="35" s="1"/>
  <c r="G53" i="35"/>
  <c r="I53" i="35" s="1"/>
  <c r="AD72" i="9"/>
  <c r="AA72" i="9"/>
  <c r="AB72" i="9" s="1"/>
  <c r="Z72" i="9"/>
  <c r="Y72" i="9"/>
  <c r="AC72" i="9" s="1"/>
  <c r="D72" i="9" s="1"/>
  <c r="G72" i="9" s="1"/>
  <c r="Y96" i="9"/>
  <c r="AC96" i="9" s="1"/>
  <c r="D96" i="9" s="1"/>
  <c r="G96" i="9" s="1"/>
  <c r="Z96" i="9"/>
  <c r="AA96" i="9"/>
  <c r="AB96" i="9" s="1"/>
  <c r="AD96" i="9"/>
  <c r="AD95" i="9"/>
  <c r="Y92" i="9"/>
  <c r="AC92" i="9" s="1"/>
  <c r="D92" i="9" s="1"/>
  <c r="G92" i="9" s="1"/>
  <c r="Z92" i="9"/>
  <c r="AA92" i="9"/>
  <c r="AB92" i="9" s="1"/>
  <c r="AD92" i="9"/>
  <c r="AD91" i="9"/>
  <c r="AD89" i="9"/>
  <c r="Y88" i="9"/>
  <c r="AC88" i="9" s="1"/>
  <c r="D88" i="9" s="1"/>
  <c r="G88" i="9" s="1"/>
  <c r="Z88" i="9"/>
  <c r="AA88" i="9"/>
  <c r="AB88" i="9" s="1"/>
  <c r="AD88" i="9"/>
  <c r="AD87" i="9"/>
  <c r="Y94" i="9"/>
  <c r="AC94" i="9" s="1"/>
  <c r="D94" i="9" s="1"/>
  <c r="G94" i="9" s="1"/>
  <c r="Z94" i="9"/>
  <c r="AA94" i="9"/>
  <c r="AB94" i="9" s="1"/>
  <c r="Y84" i="9"/>
  <c r="AC84" i="9" s="1"/>
  <c r="D84" i="9" s="1"/>
  <c r="G84" i="9" s="1"/>
  <c r="Z84" i="9"/>
  <c r="AA84" i="9"/>
  <c r="AB84" i="9" s="1"/>
  <c r="AD84" i="9"/>
  <c r="AD83" i="9"/>
  <c r="Y82" i="9"/>
  <c r="AC82" i="9" s="1"/>
  <c r="D82" i="9" s="1"/>
  <c r="G82" i="9" s="1"/>
  <c r="Z82" i="9"/>
  <c r="AA82" i="9"/>
  <c r="AB82" i="9" s="1"/>
  <c r="AD82" i="9"/>
  <c r="AD81" i="9"/>
  <c r="Y80" i="9"/>
  <c r="AC80" i="9" s="1"/>
  <c r="D80" i="9" s="1"/>
  <c r="G80" i="9" s="1"/>
  <c r="Z80" i="9"/>
  <c r="AA80" i="9"/>
  <c r="AB80" i="9" s="1"/>
  <c r="AD80" i="9"/>
  <c r="AD79" i="9"/>
  <c r="Y78" i="9"/>
  <c r="Z78" i="9"/>
  <c r="AA78" i="9"/>
  <c r="AB78" i="9" s="1"/>
  <c r="AC78" i="9"/>
  <c r="D78" i="9" s="1"/>
  <c r="G78" i="9" s="1"/>
  <c r="AD78" i="9"/>
  <c r="AD77" i="9"/>
  <c r="AD76" i="9"/>
  <c r="AD75" i="9"/>
  <c r="AD73" i="9"/>
  <c r="AD70" i="9"/>
  <c r="B64" i="9"/>
  <c r="B50" i="9"/>
  <c r="B51" i="9"/>
  <c r="B52" i="9"/>
  <c r="B53" i="9"/>
  <c r="B54" i="9"/>
  <c r="B55" i="9"/>
  <c r="B56" i="9"/>
  <c r="B57" i="9"/>
  <c r="B58" i="9"/>
  <c r="B59" i="9"/>
  <c r="B60" i="9"/>
  <c r="B61" i="9"/>
  <c r="B62" i="9"/>
  <c r="B63" i="9"/>
  <c r="B49" i="9"/>
  <c r="B45" i="9"/>
  <c r="B46" i="9"/>
  <c r="B47" i="9"/>
  <c r="B44" i="9"/>
  <c r="X47" i="9"/>
  <c r="AA47" i="9" s="1"/>
  <c r="AB47" i="9" s="1"/>
  <c r="Y45" i="9"/>
  <c r="AC45" i="9" s="1"/>
  <c r="D45" i="9" s="1"/>
  <c r="G45" i="9" s="1"/>
  <c r="Z45" i="9"/>
  <c r="AA45" i="9"/>
  <c r="AB45" i="9" s="1"/>
  <c r="X44" i="9"/>
  <c r="Y44" i="9" s="1"/>
  <c r="AC44" i="9" s="1"/>
  <c r="AD61" i="9"/>
  <c r="W61" i="9"/>
  <c r="Z61" i="9" s="1"/>
  <c r="AD58" i="9"/>
  <c r="W63" i="9"/>
  <c r="Z63" i="9" s="1"/>
  <c r="W62" i="9"/>
  <c r="AA62" i="9" s="1"/>
  <c r="AB62" i="9" s="1"/>
  <c r="AD60" i="9"/>
  <c r="W60" i="9"/>
  <c r="Y60" i="9" s="1"/>
  <c r="AC60" i="9" s="1"/>
  <c r="D60" i="9" s="1"/>
  <c r="G60" i="9" s="1"/>
  <c r="AD59" i="9"/>
  <c r="AD57" i="9"/>
  <c r="U29" i="111"/>
  <c r="Y74" i="9"/>
  <c r="AC74" i="9" s="1"/>
  <c r="D74" i="9" s="1"/>
  <c r="G74" i="9" s="1"/>
  <c r="Z74" i="9"/>
  <c r="AA74" i="9"/>
  <c r="AB74" i="9" s="1"/>
  <c r="Y75" i="9"/>
  <c r="AC75" i="9" s="1"/>
  <c r="D75" i="9" s="1"/>
  <c r="G75" i="9" s="1"/>
  <c r="Z75" i="9"/>
  <c r="AA75" i="9"/>
  <c r="AB75" i="9" s="1"/>
  <c r="Y76" i="9"/>
  <c r="AC76" i="9" s="1"/>
  <c r="D76" i="9" s="1"/>
  <c r="G76" i="9" s="1"/>
  <c r="Z76" i="9"/>
  <c r="AA76" i="9"/>
  <c r="AB76" i="9" s="1"/>
  <c r="Y77" i="9"/>
  <c r="AC77" i="9" s="1"/>
  <c r="D77" i="9" s="1"/>
  <c r="G77" i="9" s="1"/>
  <c r="Z77" i="9"/>
  <c r="AA77" i="9"/>
  <c r="AB77" i="9" s="1"/>
  <c r="Y79" i="9"/>
  <c r="AC79" i="9" s="1"/>
  <c r="D79" i="9" s="1"/>
  <c r="G79" i="9" s="1"/>
  <c r="Z79" i="9"/>
  <c r="AA79" i="9"/>
  <c r="AB79" i="9" s="1"/>
  <c r="Y81" i="9"/>
  <c r="AC81" i="9" s="1"/>
  <c r="D81" i="9" s="1"/>
  <c r="G81" i="9" s="1"/>
  <c r="Z81" i="9"/>
  <c r="AA81" i="9"/>
  <c r="AB81" i="9" s="1"/>
  <c r="Y83" i="9"/>
  <c r="AC83" i="9" s="1"/>
  <c r="D83" i="9" s="1"/>
  <c r="G83" i="9" s="1"/>
  <c r="Z83" i="9"/>
  <c r="AA83" i="9"/>
  <c r="AB83" i="9" s="1"/>
  <c r="Y85" i="9"/>
  <c r="AC85" i="9" s="1"/>
  <c r="D85" i="9" s="1"/>
  <c r="G85" i="9" s="1"/>
  <c r="Z85" i="9"/>
  <c r="AA85" i="9"/>
  <c r="AB85" i="9" s="1"/>
  <c r="Y86" i="9"/>
  <c r="AC86" i="9" s="1"/>
  <c r="D86" i="9" s="1"/>
  <c r="G86" i="9" s="1"/>
  <c r="Z86" i="9"/>
  <c r="AA86" i="9"/>
  <c r="AB86" i="9" s="1"/>
  <c r="Y87" i="9"/>
  <c r="AC87" i="9" s="1"/>
  <c r="D87" i="9" s="1"/>
  <c r="G87" i="9" s="1"/>
  <c r="Z87" i="9"/>
  <c r="AA87" i="9"/>
  <c r="AB87" i="9" s="1"/>
  <c r="Y89" i="9"/>
  <c r="AC89" i="9" s="1"/>
  <c r="D89" i="9" s="1"/>
  <c r="G89" i="9" s="1"/>
  <c r="Z89" i="9"/>
  <c r="AA89" i="9"/>
  <c r="AB89" i="9" s="1"/>
  <c r="Y90" i="9"/>
  <c r="AC90" i="9" s="1"/>
  <c r="D90" i="9" s="1"/>
  <c r="G90" i="9" s="1"/>
  <c r="Z90" i="9"/>
  <c r="AA90" i="9"/>
  <c r="AB90" i="9" s="1"/>
  <c r="Y91" i="9"/>
  <c r="AC91" i="9" s="1"/>
  <c r="D91" i="9" s="1"/>
  <c r="G91" i="9" s="1"/>
  <c r="Z91" i="9"/>
  <c r="AA91" i="9"/>
  <c r="AB91" i="9" s="1"/>
  <c r="Y93" i="9"/>
  <c r="AC93" i="9" s="1"/>
  <c r="D93" i="9" s="1"/>
  <c r="G93" i="9" s="1"/>
  <c r="Z93" i="9"/>
  <c r="AA93" i="9"/>
  <c r="AB93" i="9" s="1"/>
  <c r="Y95" i="9"/>
  <c r="AC95" i="9" s="1"/>
  <c r="D95" i="9" s="1"/>
  <c r="G95" i="9" s="1"/>
  <c r="Z95" i="9"/>
  <c r="AA95" i="9"/>
  <c r="AB95" i="9" s="1"/>
  <c r="Y97" i="9"/>
  <c r="AC97" i="9" s="1"/>
  <c r="D97" i="9" s="1"/>
  <c r="G97" i="9" s="1"/>
  <c r="Z97" i="9"/>
  <c r="AA97" i="9"/>
  <c r="AB97" i="9" s="1"/>
  <c r="AA73" i="9"/>
  <c r="AB73" i="9" s="1"/>
  <c r="Z73" i="9"/>
  <c r="Y73" i="9"/>
  <c r="AC73" i="9" s="1"/>
  <c r="D73" i="9" s="1"/>
  <c r="G73" i="9" s="1"/>
  <c r="AA71" i="9"/>
  <c r="AB71" i="9" s="1"/>
  <c r="Z71" i="9"/>
  <c r="Y71" i="9"/>
  <c r="AC71" i="9" s="1"/>
  <c r="D71" i="9" s="1"/>
  <c r="G71" i="9" s="1"/>
  <c r="AA70" i="9"/>
  <c r="AB70" i="9" s="1"/>
  <c r="Z70" i="9"/>
  <c r="Y70" i="9"/>
  <c r="AC70" i="9" s="1"/>
  <c r="Y54" i="9"/>
  <c r="AC54" i="9" s="1"/>
  <c r="D54" i="9" s="1"/>
  <c r="G54" i="9" s="1"/>
  <c r="Z54" i="9"/>
  <c r="AA54" i="9"/>
  <c r="AB54" i="9" s="1"/>
  <c r="Y55" i="9"/>
  <c r="AC55" i="9" s="1"/>
  <c r="D55" i="9" s="1"/>
  <c r="G55" i="9" s="1"/>
  <c r="Z55" i="9"/>
  <c r="AA55" i="9"/>
  <c r="AB55" i="9" s="1"/>
  <c r="Y56" i="9"/>
  <c r="AC56" i="9" s="1"/>
  <c r="D56" i="9" s="1"/>
  <c r="G56" i="9" s="1"/>
  <c r="Z56" i="9"/>
  <c r="AA56" i="9"/>
  <c r="AB56" i="9" s="1"/>
  <c r="Y57" i="9"/>
  <c r="AC57" i="9" s="1"/>
  <c r="D57" i="9" s="1"/>
  <c r="G57" i="9" s="1"/>
  <c r="Z57" i="9"/>
  <c r="AA57" i="9"/>
  <c r="AB57" i="9"/>
  <c r="Y58" i="9"/>
  <c r="AC58" i="9" s="1"/>
  <c r="D58" i="9" s="1"/>
  <c r="G58" i="9" s="1"/>
  <c r="Z58" i="9"/>
  <c r="AA58" i="9"/>
  <c r="AB58" i="9" s="1"/>
  <c r="Y59" i="9"/>
  <c r="AC59" i="9" s="1"/>
  <c r="D59" i="9" s="1"/>
  <c r="G59" i="9" s="1"/>
  <c r="Z59" i="9"/>
  <c r="AA59" i="9"/>
  <c r="AB59" i="9" s="1"/>
  <c r="Y64" i="9"/>
  <c r="AC64" i="9" s="1"/>
  <c r="D64" i="9" s="1"/>
  <c r="G64" i="9" s="1"/>
  <c r="Z64" i="9"/>
  <c r="AA64" i="9"/>
  <c r="AB64" i="9" s="1"/>
  <c r="D34" i="6" s="1"/>
  <c r="G34" i="6" s="1"/>
  <c r="AA53" i="9"/>
  <c r="AB53" i="9" s="1"/>
  <c r="Z53" i="9"/>
  <c r="Y53" i="9"/>
  <c r="AC53" i="9" s="1"/>
  <c r="D53" i="9" s="1"/>
  <c r="G53" i="9" s="1"/>
  <c r="AA52" i="9"/>
  <c r="AB52" i="9" s="1"/>
  <c r="Z52" i="9"/>
  <c r="Y52" i="9"/>
  <c r="AC52" i="9" s="1"/>
  <c r="D52" i="9" s="1"/>
  <c r="G52" i="9" s="1"/>
  <c r="AA51" i="9"/>
  <c r="AB51" i="9" s="1"/>
  <c r="Z51" i="9"/>
  <c r="Y51" i="9"/>
  <c r="AC51" i="9" s="1"/>
  <c r="D51" i="9" s="1"/>
  <c r="G51" i="9" s="1"/>
  <c r="AA50" i="9"/>
  <c r="AB50" i="9" s="1"/>
  <c r="Z50" i="9"/>
  <c r="Y50" i="9"/>
  <c r="AC50" i="9" s="1"/>
  <c r="D50" i="9" s="1"/>
  <c r="G50" i="9" s="1"/>
  <c r="AA49" i="9"/>
  <c r="AB49" i="9" s="1"/>
  <c r="Z49" i="9"/>
  <c r="Y49" i="9"/>
  <c r="AC49" i="9" s="1"/>
  <c r="D49" i="9" s="1"/>
  <c r="G49" i="9" s="1"/>
  <c r="Z47" i="9"/>
  <c r="AA46" i="9"/>
  <c r="AB46" i="9" s="1"/>
  <c r="Z46" i="9"/>
  <c r="Y46" i="9"/>
  <c r="AC46" i="9" s="1"/>
  <c r="D46" i="9" s="1"/>
  <c r="G46" i="9" s="1"/>
  <c r="Z44" i="9"/>
  <c r="I54" i="101" l="1"/>
  <c r="K54" i="101"/>
  <c r="I52" i="101"/>
  <c r="K52" i="101"/>
  <c r="F53" i="101"/>
  <c r="G53" i="101" s="1"/>
  <c r="K50" i="101"/>
  <c r="A18" i="47"/>
  <c r="A19" i="47" s="1"/>
  <c r="A20" i="47" s="1"/>
  <c r="A21" i="47" s="1"/>
  <c r="A22" i="47" s="1"/>
  <c r="A23" i="47" s="1"/>
  <c r="A25" i="47" s="1"/>
  <c r="A26" i="47" s="1"/>
  <c r="K34" i="6"/>
  <c r="O34" i="6"/>
  <c r="I34" i="6"/>
  <c r="M34" i="6"/>
  <c r="AD66" i="9"/>
  <c r="D66" i="9" s="1"/>
  <c r="G66" i="9" s="1"/>
  <c r="AD98" i="9"/>
  <c r="D98" i="9" s="1"/>
  <c r="G98" i="9" s="1"/>
  <c r="O53" i="35"/>
  <c r="M53" i="35"/>
  <c r="K55" i="35"/>
  <c r="O56" i="35"/>
  <c r="K53" i="35"/>
  <c r="I55" i="35"/>
  <c r="I56" i="35"/>
  <c r="O55" i="35"/>
  <c r="O54" i="35"/>
  <c r="I54" i="35"/>
  <c r="I62" i="35" s="1"/>
  <c r="K56" i="35"/>
  <c r="M54" i="35"/>
  <c r="D70" i="9"/>
  <c r="G70" i="9" s="1"/>
  <c r="AC98" i="9"/>
  <c r="D28" i="6"/>
  <c r="G28" i="6" s="1"/>
  <c r="I28" i="6" s="1"/>
  <c r="D44" i="9"/>
  <c r="G44" i="9" s="1"/>
  <c r="I50" i="81"/>
  <c r="I52" i="81" s="1"/>
  <c r="G59" i="57"/>
  <c r="AG90" i="3"/>
  <c r="D71" i="3" s="1"/>
  <c r="I79" i="3"/>
  <c r="K55" i="101"/>
  <c r="I50" i="101"/>
  <c r="Y63" i="9"/>
  <c r="AC63" i="9" s="1"/>
  <c r="D63" i="9" s="1"/>
  <c r="G63" i="9" s="1"/>
  <c r="Z62" i="9"/>
  <c r="Y62" i="9"/>
  <c r="AC62" i="9" s="1"/>
  <c r="D62" i="9" s="1"/>
  <c r="G62" i="9" s="1"/>
  <c r="AA63" i="9"/>
  <c r="AB63" i="9" s="1"/>
  <c r="Y47" i="9"/>
  <c r="AC47" i="9" s="1"/>
  <c r="D47" i="9" s="1"/>
  <c r="G47" i="9" s="1"/>
  <c r="AA44" i="9"/>
  <c r="AB44" i="9" s="1"/>
  <c r="Y61" i="9"/>
  <c r="AC61" i="9" s="1"/>
  <c r="D61" i="9" s="1"/>
  <c r="G61" i="9" s="1"/>
  <c r="AA61" i="9"/>
  <c r="AB61" i="9" s="1"/>
  <c r="AA60" i="9"/>
  <c r="AB60" i="9" s="1"/>
  <c r="Z60" i="9"/>
  <c r="P33" i="115" l="1"/>
  <c r="O33" i="115" s="1"/>
  <c r="N33" i="115" s="1"/>
  <c r="E33" i="115" s="1"/>
  <c r="G71" i="3"/>
  <c r="D36" i="6"/>
  <c r="G36" i="6" s="1"/>
  <c r="D30" i="6"/>
  <c r="G30" i="6" s="1"/>
  <c r="I30" i="6" s="1"/>
  <c r="D35" i="6"/>
  <c r="G35" i="6" s="1"/>
  <c r="D29" i="6"/>
  <c r="G29" i="6" s="1"/>
  <c r="I29" i="6" s="1"/>
  <c r="AC66" i="9"/>
  <c r="D28" i="27" s="1"/>
  <c r="G28" i="27" s="1"/>
  <c r="G121" i="9"/>
  <c r="I53" i="81"/>
  <c r="H9" i="81"/>
  <c r="K53" i="101"/>
  <c r="I53" i="101"/>
  <c r="M26" i="57"/>
  <c r="M59" i="57" s="1"/>
  <c r="M29" i="4"/>
  <c r="M62" i="4" s="1"/>
  <c r="D24" i="6"/>
  <c r="G24" i="6" s="1"/>
  <c r="G25" i="6"/>
  <c r="I25" i="6" s="1"/>
  <c r="G66" i="3"/>
  <c r="G67" i="3"/>
  <c r="G90" i="3"/>
  <c r="A60" i="3"/>
  <c r="A56" i="3"/>
  <c r="A46" i="3"/>
  <c r="A44" i="3"/>
  <c r="A42" i="3"/>
  <c r="A24" i="3"/>
  <c r="A25" i="3"/>
  <c r="A26" i="3"/>
  <c r="A27" i="3"/>
  <c r="A28" i="3"/>
  <c r="A29" i="3"/>
  <c r="A30" i="3"/>
  <c r="A31" i="3"/>
  <c r="A32" i="3"/>
  <c r="A33" i="3"/>
  <c r="A34" i="3"/>
  <c r="A23" i="3"/>
  <c r="A38" i="3"/>
  <c r="A37" i="3"/>
  <c r="I30" i="2"/>
  <c r="I38" i="2"/>
  <c r="I23" i="2"/>
  <c r="Q34" i="91"/>
  <c r="M37" i="77"/>
  <c r="M39" i="77" s="1"/>
  <c r="G65" i="3"/>
  <c r="I34" i="91"/>
  <c r="I70" i="91" s="1"/>
  <c r="C11" i="47" s="1"/>
  <c r="I20" i="111"/>
  <c r="M33" i="91"/>
  <c r="K38" i="75"/>
  <c r="I38" i="75"/>
  <c r="I40" i="75" s="1"/>
  <c r="W29" i="111"/>
  <c r="O59" i="57"/>
  <c r="O61" i="57" s="1"/>
  <c r="M63" i="111"/>
  <c r="D33" i="91"/>
  <c r="D45" i="91"/>
  <c r="D49" i="91"/>
  <c r="M42" i="74"/>
  <c r="O42" i="74"/>
  <c r="O44" i="74" s="1"/>
  <c r="I42" i="74"/>
  <c r="I44" i="74" s="1"/>
  <c r="K42" i="74"/>
  <c r="Q42" i="74"/>
  <c r="Q44" i="74" s="1"/>
  <c r="S42" i="74"/>
  <c r="S44" i="74" s="1"/>
  <c r="D47" i="91"/>
  <c r="B89" i="84"/>
  <c r="B88" i="84"/>
  <c r="B87" i="84"/>
  <c r="B86" i="84"/>
  <c r="K62" i="35"/>
  <c r="S59" i="101"/>
  <c r="Q59" i="101"/>
  <c r="O59" i="101"/>
  <c r="M59" i="101"/>
  <c r="D11" i="47" l="1"/>
  <c r="E107" i="115" s="1"/>
  <c r="O35" i="6"/>
  <c r="K35" i="6"/>
  <c r="I35" i="6"/>
  <c r="I24" i="6"/>
  <c r="K23" i="6"/>
  <c r="O36" i="6"/>
  <c r="I36" i="6"/>
  <c r="I56" i="6" s="1"/>
  <c r="B96" i="6" s="1"/>
  <c r="K36" i="6"/>
  <c r="M36" i="6"/>
  <c r="M35" i="6"/>
  <c r="M56" i="6"/>
  <c r="K44" i="74"/>
  <c r="K46" i="74" s="1"/>
  <c r="J9" i="74" s="1"/>
  <c r="I42" i="75"/>
  <c r="H9" i="75" s="1"/>
  <c r="B78" i="75" s="1"/>
  <c r="C35" i="20" s="1"/>
  <c r="M28" i="27"/>
  <c r="I28" i="27"/>
  <c r="K64" i="4"/>
  <c r="K66" i="4" s="1"/>
  <c r="M64" i="4"/>
  <c r="M66" i="4" s="1"/>
  <c r="G56" i="6"/>
  <c r="K40" i="75"/>
  <c r="K42" i="75" s="1"/>
  <c r="O63" i="57"/>
  <c r="N9" i="57" s="1"/>
  <c r="M61" i="57"/>
  <c r="M63" i="57" s="1"/>
  <c r="M41" i="77"/>
  <c r="L9" i="77" s="1"/>
  <c r="M65" i="111"/>
  <c r="M67" i="111" s="1"/>
  <c r="B81" i="74"/>
  <c r="C38" i="20" s="1"/>
  <c r="O46" i="74"/>
  <c r="M44" i="74"/>
  <c r="M46" i="74" s="1"/>
  <c r="L9" i="74" s="1"/>
  <c r="I46" i="74"/>
  <c r="H9" i="74" s="1"/>
  <c r="S46" i="74"/>
  <c r="Q46" i="74"/>
  <c r="P9" i="74" s="1"/>
  <c r="G69" i="28"/>
  <c r="I69" i="28" s="1"/>
  <c r="I43" i="75" l="1"/>
  <c r="O56" i="6"/>
  <c r="O47" i="74"/>
  <c r="N9" i="74"/>
  <c r="E35" i="20"/>
  <c r="D35" i="20"/>
  <c r="E38" i="20"/>
  <c r="D38" i="20"/>
  <c r="L38" i="20"/>
  <c r="L35" i="20"/>
  <c r="K56" i="6"/>
  <c r="M67" i="4"/>
  <c r="K67" i="4"/>
  <c r="Q69" i="28"/>
  <c r="Q134" i="28" s="1"/>
  <c r="K43" i="75"/>
  <c r="J9" i="75"/>
  <c r="O64" i="57"/>
  <c r="M64" i="57"/>
  <c r="L9" i="57"/>
  <c r="M42" i="77"/>
  <c r="S69" i="28"/>
  <c r="O69" i="28"/>
  <c r="O134" i="28" s="1"/>
  <c r="O137" i="28" s="1"/>
  <c r="K69" i="28"/>
  <c r="K134" i="28" s="1"/>
  <c r="K137" i="28" s="1"/>
  <c r="M68" i="111"/>
  <c r="L9" i="111"/>
  <c r="M47" i="74"/>
  <c r="K47" i="74"/>
  <c r="Q47" i="74"/>
  <c r="S47" i="74"/>
  <c r="I47" i="74"/>
  <c r="G73" i="28"/>
  <c r="S73" i="28" s="1"/>
  <c r="G65" i="28"/>
  <c r="U69" i="28"/>
  <c r="U134" i="28" s="1"/>
  <c r="M69" i="28"/>
  <c r="P38" i="20" l="1"/>
  <c r="P35" i="20"/>
  <c r="E37" i="115"/>
  <c r="C37" i="115" s="1"/>
  <c r="M65" i="28"/>
  <c r="G79" i="28"/>
  <c r="G29" i="102"/>
  <c r="G30" i="102"/>
  <c r="G31" i="102"/>
  <c r="G32" i="102"/>
  <c r="G33" i="102"/>
  <c r="G34" i="102"/>
  <c r="G35" i="102"/>
  <c r="G36" i="102"/>
  <c r="G37" i="102"/>
  <c r="G38" i="102"/>
  <c r="G39" i="102"/>
  <c r="G40" i="102"/>
  <c r="G41" i="102"/>
  <c r="G42" i="102"/>
  <c r="G43" i="102"/>
  <c r="G44" i="102"/>
  <c r="G76" i="28"/>
  <c r="D77" i="28"/>
  <c r="G77" i="28" s="1"/>
  <c r="G78" i="28"/>
  <c r="G80" i="28"/>
  <c r="G81" i="28"/>
  <c r="G82" i="28"/>
  <c r="D83" i="28"/>
  <c r="G83" i="28" s="1"/>
  <c r="G84" i="28"/>
  <c r="G85" i="28"/>
  <c r="G86" i="28"/>
  <c r="G87" i="28"/>
  <c r="G88" i="28"/>
  <c r="D89" i="28"/>
  <c r="G89" i="28" s="1"/>
  <c r="G90" i="28"/>
  <c r="G91" i="28"/>
  <c r="U65" i="28"/>
  <c r="U135" i="28" s="1"/>
  <c r="U73" i="28"/>
  <c r="G71" i="28"/>
  <c r="I71" i="28" s="1"/>
  <c r="I134" i="28" s="1"/>
  <c r="I137" i="28" s="1"/>
  <c r="U33" i="28"/>
  <c r="M73" i="28"/>
  <c r="G46" i="102"/>
  <c r="G25" i="102"/>
  <c r="G28" i="102"/>
  <c r="G45" i="102"/>
  <c r="G47" i="102"/>
  <c r="G48" i="102"/>
  <c r="G49" i="102"/>
  <c r="G50" i="102"/>
  <c r="G23" i="102"/>
  <c r="D26" i="102"/>
  <c r="D37" i="101"/>
  <c r="G37" i="101" s="1"/>
  <c r="G44" i="101"/>
  <c r="G43" i="101"/>
  <c r="I43" i="101" s="1"/>
  <c r="G46" i="101"/>
  <c r="G47" i="101"/>
  <c r="D40" i="101"/>
  <c r="G40" i="101" s="1"/>
  <c r="F38" i="101"/>
  <c r="G38" i="101" s="1"/>
  <c r="G39" i="101"/>
  <c r="I35" i="101"/>
  <c r="I34" i="101"/>
  <c r="I25" i="101"/>
  <c r="G26" i="102" l="1"/>
  <c r="M26" i="102" s="1"/>
  <c r="D27" i="102"/>
  <c r="G27" i="102" s="1"/>
  <c r="M25" i="102"/>
  <c r="I25" i="102"/>
  <c r="K25" i="102"/>
  <c r="I98" i="28"/>
  <c r="S82" i="28"/>
  <c r="S84" i="28"/>
  <c r="S85" i="28"/>
  <c r="K26" i="102"/>
  <c r="I26" i="102"/>
  <c r="K39" i="101"/>
  <c r="I39" i="101"/>
  <c r="K38" i="101"/>
  <c r="I38" i="101"/>
  <c r="K40" i="101"/>
  <c r="I40" i="101"/>
  <c r="K47" i="101"/>
  <c r="I47" i="101"/>
  <c r="K46" i="101"/>
  <c r="I46" i="101"/>
  <c r="K37" i="101"/>
  <c r="I37" i="101"/>
  <c r="M82" i="28"/>
  <c r="M77" i="28"/>
  <c r="S71" i="28"/>
  <c r="S90" i="28"/>
  <c r="S78" i="28"/>
  <c r="S76" i="28"/>
  <c r="S91" i="28"/>
  <c r="S88" i="28"/>
  <c r="S79" i="28"/>
  <c r="M91" i="28"/>
  <c r="M76" i="28"/>
  <c r="M71" i="28"/>
  <c r="F45" i="101"/>
  <c r="G45" i="101" s="1"/>
  <c r="I45" i="101" s="1"/>
  <c r="M84" i="28"/>
  <c r="M79" i="28"/>
  <c r="M90" i="28"/>
  <c r="M78" i="28"/>
  <c r="M85" i="28"/>
  <c r="M88" i="28"/>
  <c r="S77" i="28"/>
  <c r="O98" i="28"/>
  <c r="G52" i="102"/>
  <c r="G56" i="102" s="1"/>
  <c r="Q137" i="28" l="1"/>
  <c r="M134" i="28"/>
  <c r="I100" i="28"/>
  <c r="I102" i="28" s="1"/>
  <c r="Q98" i="28"/>
  <c r="I59" i="101"/>
  <c r="K59" i="101"/>
  <c r="S134" i="28"/>
  <c r="S137" i="28" s="1"/>
  <c r="S98" i="28"/>
  <c r="K98" i="28"/>
  <c r="M98" i="28"/>
  <c r="M137" i="28"/>
  <c r="U137" i="28"/>
  <c r="U98" i="28"/>
  <c r="I138" i="28" l="1"/>
  <c r="I139" i="28" s="1"/>
  <c r="B138" i="28"/>
  <c r="I103" i="28"/>
  <c r="H9" i="28"/>
  <c r="D48" i="111"/>
  <c r="D47" i="111"/>
  <c r="D46" i="111"/>
  <c r="D40" i="111"/>
  <c r="D39" i="111"/>
  <c r="D33" i="111"/>
  <c r="D32" i="111"/>
  <c r="F37" i="27"/>
  <c r="G37" i="27" s="1"/>
  <c r="D73" i="14"/>
  <c r="I102" i="17"/>
  <c r="D145" i="14" l="1"/>
  <c r="G145" i="14" s="1"/>
  <c r="O145" i="14" s="1"/>
  <c r="O152" i="14" s="1"/>
  <c r="D139" i="14"/>
  <c r="D41" i="14"/>
  <c r="D86" i="14"/>
  <c r="D69" i="14"/>
  <c r="D71" i="14" s="1"/>
  <c r="D74" i="14"/>
  <c r="G74" i="14" s="1"/>
  <c r="I74" i="14" s="1"/>
  <c r="Q12" i="115" s="1"/>
  <c r="Q11" i="115" l="1"/>
  <c r="I145" i="14"/>
  <c r="M145" i="14"/>
  <c r="D70" i="14"/>
  <c r="I152" i="14" l="1"/>
  <c r="T12" i="115"/>
  <c r="M152" i="14"/>
  <c r="M188" i="14"/>
  <c r="M191" i="14" s="1"/>
  <c r="I188" i="14"/>
  <c r="I191" i="14" s="1"/>
  <c r="K20" i="46"/>
  <c r="G6" i="21"/>
  <c r="AC84" i="16"/>
  <c r="AC88" i="16" s="1"/>
  <c r="AB9" i="16" s="1"/>
  <c r="D29" i="76"/>
  <c r="T11" i="115" l="1"/>
  <c r="O11" i="115" s="1"/>
  <c r="N11" i="115" s="1"/>
  <c r="O12" i="115"/>
  <c r="N12" i="115" s="1"/>
  <c r="E12" i="115" s="1"/>
  <c r="C12" i="115" s="1"/>
  <c r="AC89" i="16"/>
  <c r="AG22" i="3"/>
  <c r="AG32" i="3" s="1"/>
  <c r="AG23" i="3" l="1"/>
  <c r="AG24" i="3"/>
  <c r="AG28" i="3"/>
  <c r="AG30" i="3"/>
  <c r="AG33" i="3"/>
  <c r="AG25" i="3"/>
  <c r="AG26" i="3"/>
  <c r="AG27" i="3"/>
  <c r="AG31" i="3"/>
  <c r="AG35" i="3"/>
  <c r="AG29" i="3"/>
  <c r="D72" i="3"/>
  <c r="G36" i="3"/>
  <c r="G37" i="3"/>
  <c r="G38" i="3"/>
  <c r="G39" i="3"/>
  <c r="G23" i="3"/>
  <c r="G24" i="3"/>
  <c r="G25" i="3"/>
  <c r="G26" i="3"/>
  <c r="G27" i="3"/>
  <c r="G28" i="3"/>
  <c r="G29" i="3"/>
  <c r="G30" i="3"/>
  <c r="G31" i="3"/>
  <c r="G32" i="3"/>
  <c r="G33" i="3"/>
  <c r="G34" i="3"/>
  <c r="G35" i="3"/>
  <c r="G44" i="3"/>
  <c r="G45" i="3"/>
  <c r="G46" i="3"/>
  <c r="G48" i="3"/>
  <c r="C46" i="3"/>
  <c r="G40" i="3"/>
  <c r="G41" i="3"/>
  <c r="G42" i="3"/>
  <c r="G43" i="3"/>
  <c r="G49" i="3"/>
  <c r="G54" i="3"/>
  <c r="G55" i="3"/>
  <c r="G56" i="3"/>
  <c r="G57" i="3"/>
  <c r="G59" i="3"/>
  <c r="G60" i="3"/>
  <c r="G61" i="3"/>
  <c r="G63" i="3"/>
  <c r="G64" i="3"/>
  <c r="C51" i="3"/>
  <c r="C52" i="3"/>
  <c r="C53" i="3"/>
  <c r="C58" i="3"/>
  <c r="D58" i="3"/>
  <c r="C42" i="3"/>
  <c r="C44" i="3"/>
  <c r="W38" i="91"/>
  <c r="AA45" i="111"/>
  <c r="D53" i="3"/>
  <c r="D52" i="3"/>
  <c r="D51" i="3"/>
  <c r="D50" i="3"/>
  <c r="C50" i="3"/>
  <c r="AA84" i="16"/>
  <c r="AA88" i="16" s="1"/>
  <c r="Y84" i="16"/>
  <c r="Y88" i="16" s="1"/>
  <c r="W84" i="16"/>
  <c r="W88" i="16" s="1"/>
  <c r="U84" i="16"/>
  <c r="U88" i="16" s="1"/>
  <c r="U89" i="16" s="1"/>
  <c r="S84" i="16"/>
  <c r="S88" i="16" s="1"/>
  <c r="D23" i="78"/>
  <c r="D25" i="78"/>
  <c r="D24" i="78"/>
  <c r="G72" i="3" l="1"/>
  <c r="D70" i="3"/>
  <c r="G70" i="3" s="1"/>
  <c r="G50" i="3"/>
  <c r="A50" i="3"/>
  <c r="G51" i="3"/>
  <c r="A51" i="3"/>
  <c r="G52" i="3"/>
  <c r="A52" i="3"/>
  <c r="G53" i="3"/>
  <c r="A53" i="3"/>
  <c r="G58" i="3"/>
  <c r="A58" i="3"/>
  <c r="AG34" i="3"/>
  <c r="AG36" i="3" s="1"/>
  <c r="AA89" i="16"/>
  <c r="Z9" i="16"/>
  <c r="Y89" i="16"/>
  <c r="X9" i="16"/>
  <c r="W89" i="16"/>
  <c r="V9" i="16"/>
  <c r="T9" i="16"/>
  <c r="S89" i="16"/>
  <c r="R9" i="16"/>
  <c r="D73" i="3" l="1"/>
  <c r="A61" i="3"/>
  <c r="AA63" i="111"/>
  <c r="D28" i="81"/>
  <c r="B5" i="114"/>
  <c r="G71" i="93"/>
  <c r="G72" i="93"/>
  <c r="K72" i="93" s="1"/>
  <c r="G73" i="93"/>
  <c r="K73" i="93" s="1"/>
  <c r="G74" i="93"/>
  <c r="G75" i="93"/>
  <c r="G70" i="93"/>
  <c r="M72" i="93"/>
  <c r="M71" i="93"/>
  <c r="M70" i="93"/>
  <c r="K71" i="93"/>
  <c r="G73" i="3" l="1"/>
  <c r="S73" i="3" s="1"/>
  <c r="Y92" i="3"/>
  <c r="Y94" i="3" s="1"/>
  <c r="Y96" i="3" s="1"/>
  <c r="Y133" i="3" s="1"/>
  <c r="Y134" i="3" s="1"/>
  <c r="W92" i="3"/>
  <c r="W94" i="3" s="1"/>
  <c r="W96" i="3" s="1"/>
  <c r="W133" i="3" s="1"/>
  <c r="W134" i="3" s="1"/>
  <c r="U92" i="3"/>
  <c r="AA65" i="111"/>
  <c r="AA67" i="111" s="1"/>
  <c r="K54" i="114"/>
  <c r="K56" i="114" s="1"/>
  <c r="M54" i="114"/>
  <c r="M56" i="114" s="1"/>
  <c r="I54" i="114"/>
  <c r="I56" i="114" s="1"/>
  <c r="B92" i="114" s="1"/>
  <c r="C31" i="20" s="1"/>
  <c r="O54" i="114"/>
  <c r="O56" i="114" s="1"/>
  <c r="Q54" i="114"/>
  <c r="Q56" i="114" s="1"/>
  <c r="S54" i="114"/>
  <c r="S56" i="114" s="1"/>
  <c r="M73" i="93"/>
  <c r="M74" i="93"/>
  <c r="M75" i="93"/>
  <c r="I71" i="93"/>
  <c r="I72" i="93"/>
  <c r="I73" i="93"/>
  <c r="I74" i="93"/>
  <c r="I75" i="93"/>
  <c r="K75" i="93"/>
  <c r="K74" i="93"/>
  <c r="I70" i="93"/>
  <c r="K70" i="93"/>
  <c r="Y97" i="3" l="1"/>
  <c r="Q73" i="3"/>
  <c r="Q92" i="3" s="1"/>
  <c r="G92" i="3"/>
  <c r="I73" i="3"/>
  <c r="I92" i="3" s="1"/>
  <c r="K73" i="3"/>
  <c r="O73" i="3"/>
  <c r="O92" i="3" s="1"/>
  <c r="M73" i="3"/>
  <c r="M92" i="3" s="1"/>
  <c r="E31" i="20"/>
  <c r="D31" i="20"/>
  <c r="J31" i="20"/>
  <c r="L31" i="20"/>
  <c r="X9" i="3"/>
  <c r="S128" i="3"/>
  <c r="S132" i="3" s="1"/>
  <c r="S92" i="3"/>
  <c r="W97" i="3"/>
  <c r="V9" i="3"/>
  <c r="Z9" i="111"/>
  <c r="AA68" i="111"/>
  <c r="R9" i="114"/>
  <c r="S57" i="114"/>
  <c r="P9" i="114"/>
  <c r="Q57" i="114"/>
  <c r="H9" i="114"/>
  <c r="F38" i="114" s="1"/>
  <c r="I57" i="114"/>
  <c r="L9" i="114"/>
  <c r="M57" i="114"/>
  <c r="J9" i="114"/>
  <c r="K57" i="114"/>
  <c r="N9" i="114"/>
  <c r="O57" i="114"/>
  <c r="F38" i="27"/>
  <c r="N31" i="20" l="1"/>
  <c r="O31" i="20" s="1"/>
  <c r="P31" i="20"/>
  <c r="Q31" i="20" s="1"/>
  <c r="K31" i="115"/>
  <c r="K92" i="3"/>
  <c r="K94" i="3" s="1"/>
  <c r="K96" i="3" s="1"/>
  <c r="K128" i="3"/>
  <c r="K132" i="3" s="1"/>
  <c r="F40" i="114"/>
  <c r="F39" i="114"/>
  <c r="G38" i="114"/>
  <c r="F38" i="113"/>
  <c r="G38" i="113" s="1"/>
  <c r="F37" i="113"/>
  <c r="G37" i="113" s="1"/>
  <c r="F36" i="113"/>
  <c r="G36" i="113" s="1"/>
  <c r="F35" i="113"/>
  <c r="G35" i="113" s="1"/>
  <c r="F34" i="113"/>
  <c r="G34" i="113" s="1"/>
  <c r="F33" i="113"/>
  <c r="G33" i="113" s="1"/>
  <c r="F32" i="113"/>
  <c r="G32" i="113" s="1"/>
  <c r="F31" i="113"/>
  <c r="G31" i="113" s="1"/>
  <c r="F30" i="113"/>
  <c r="G30" i="113" s="1"/>
  <c r="F29" i="113"/>
  <c r="G29" i="113" s="1"/>
  <c r="F28" i="113"/>
  <c r="G28" i="113" s="1"/>
  <c r="F27" i="113"/>
  <c r="G27" i="113" s="1"/>
  <c r="F26" i="113"/>
  <c r="G26" i="113" s="1"/>
  <c r="F25" i="113"/>
  <c r="G25" i="113" s="1"/>
  <c r="F24" i="113"/>
  <c r="G24" i="113" s="1"/>
  <c r="O27" i="112" s="1"/>
  <c r="O45" i="112" s="1"/>
  <c r="F23" i="113"/>
  <c r="G23" i="113" s="1"/>
  <c r="O26" i="112" s="1"/>
  <c r="O44" i="112" s="1"/>
  <c r="F22" i="113"/>
  <c r="G22" i="113" s="1"/>
  <c r="O25" i="112" s="1"/>
  <c r="O43" i="112" s="1"/>
  <c r="F21" i="113"/>
  <c r="G21" i="113" s="1"/>
  <c r="O24" i="112" s="1"/>
  <c r="O42" i="112" s="1"/>
  <c r="F20" i="113"/>
  <c r="G20" i="113" s="1"/>
  <c r="O23" i="112" s="1"/>
  <c r="O41" i="112" s="1"/>
  <c r="F19" i="113"/>
  <c r="G19" i="113" s="1"/>
  <c r="O21" i="112" s="1"/>
  <c r="F18" i="113"/>
  <c r="G18" i="113" s="1"/>
  <c r="O20" i="112" s="1"/>
  <c r="O39" i="112" s="1"/>
  <c r="F17" i="113"/>
  <c r="G17" i="113" s="1"/>
  <c r="O19" i="112" s="1"/>
  <c r="O38" i="112" s="1"/>
  <c r="F16" i="113"/>
  <c r="G16" i="113" s="1"/>
  <c r="O18" i="112" s="1"/>
  <c r="O37" i="112" s="1"/>
  <c r="F15" i="113"/>
  <c r="G15" i="113" s="1"/>
  <c r="O17" i="112" s="1"/>
  <c r="O36" i="112" s="1"/>
  <c r="F14" i="113"/>
  <c r="G14" i="113" s="1"/>
  <c r="O16" i="112" s="1"/>
  <c r="O35" i="112" s="1"/>
  <c r="F13" i="113"/>
  <c r="G13" i="113" s="1"/>
  <c r="O15" i="112" s="1"/>
  <c r="O34" i="112" s="1"/>
  <c r="F12" i="113"/>
  <c r="G12" i="113" s="1"/>
  <c r="O14" i="112" s="1"/>
  <c r="O33" i="112" s="1"/>
  <c r="F11" i="113"/>
  <c r="G11" i="113" s="1"/>
  <c r="O13" i="112" s="1"/>
  <c r="O32" i="112" s="1"/>
  <c r="F10" i="113"/>
  <c r="G10" i="113" s="1"/>
  <c r="O12" i="112" s="1"/>
  <c r="O31" i="112" s="1"/>
  <c r="F9" i="113"/>
  <c r="G9" i="113" s="1"/>
  <c r="O11" i="112" s="1"/>
  <c r="O30" i="112" s="1"/>
  <c r="F8" i="113"/>
  <c r="G8" i="113" s="1"/>
  <c r="O10" i="112" s="1"/>
  <c r="A30" i="112"/>
  <c r="A31" i="112" s="1"/>
  <c r="A32" i="112" s="1"/>
  <c r="A33" i="112" s="1"/>
  <c r="A34" i="112" s="1"/>
  <c r="A35" i="112" s="1"/>
  <c r="A36" i="112" s="1"/>
  <c r="A37" i="112" s="1"/>
  <c r="A38" i="112" s="1"/>
  <c r="A39" i="112" s="1"/>
  <c r="A40" i="112" s="1"/>
  <c r="A41" i="112" s="1"/>
  <c r="A42" i="112" s="1"/>
  <c r="A43" i="112" s="1"/>
  <c r="A44" i="112" s="1"/>
  <c r="A45" i="112" s="1"/>
  <c r="A11" i="112"/>
  <c r="A12" i="112" s="1"/>
  <c r="A13" i="112" s="1"/>
  <c r="A14" i="112" s="1"/>
  <c r="A15" i="112" s="1"/>
  <c r="A16" i="112" s="1"/>
  <c r="A17" i="112" s="1"/>
  <c r="A18" i="112" s="1"/>
  <c r="A19" i="112" s="1"/>
  <c r="A20" i="112" s="1"/>
  <c r="A21" i="112" s="1"/>
  <c r="A22" i="112" l="1"/>
  <c r="A23" i="112" s="1"/>
  <c r="A24" i="112" s="1"/>
  <c r="A25" i="112" s="1"/>
  <c r="A26" i="112" s="1"/>
  <c r="A27" i="112" s="1"/>
  <c r="G40" i="114"/>
  <c r="P31" i="115" s="1"/>
  <c r="R31" i="115" s="1"/>
  <c r="S31" i="115" s="1"/>
  <c r="E31" i="115" s="1"/>
  <c r="C31" i="115" s="1"/>
  <c r="G39" i="114"/>
  <c r="P32" i="115" s="1"/>
  <c r="R32" i="115" s="1"/>
  <c r="S32" i="115" s="1"/>
  <c r="E32" i="115" s="1"/>
  <c r="C32" i="115" s="1"/>
  <c r="K138" i="3"/>
  <c r="K97" i="3"/>
  <c r="K133" i="3"/>
  <c r="K134" i="3" s="1"/>
  <c r="B132" i="3"/>
  <c r="J9" i="3"/>
  <c r="O40" i="112"/>
  <c r="O22" i="112"/>
  <c r="F22" i="112" s="1"/>
  <c r="G22" i="112" s="1"/>
  <c r="L22" i="112" s="1"/>
  <c r="J5" i="112"/>
  <c r="K5" i="112"/>
  <c r="D42" i="112" s="1"/>
  <c r="G31" i="27"/>
  <c r="I31" i="27" s="1"/>
  <c r="D26" i="27"/>
  <c r="D27" i="27" s="1"/>
  <c r="J31" i="115" l="1"/>
  <c r="L31" i="115" s="1"/>
  <c r="G27" i="27"/>
  <c r="I27" i="27" s="1"/>
  <c r="D39" i="27"/>
  <c r="I43" i="27"/>
  <c r="I45" i="27"/>
  <c r="I46" i="27"/>
  <c r="I47" i="27"/>
  <c r="I48" i="27"/>
  <c r="I49" i="27"/>
  <c r="I50" i="27"/>
  <c r="I51" i="27"/>
  <c r="I52" i="27"/>
  <c r="I53" i="27"/>
  <c r="I54" i="27"/>
  <c r="I55" i="27"/>
  <c r="G42" i="27" l="1"/>
  <c r="I42" i="27" s="1"/>
  <c r="A3" i="47"/>
  <c r="A3" i="49"/>
  <c r="A1" i="113"/>
  <c r="C14" i="20"/>
  <c r="H7" i="20"/>
  <c r="H6" i="20"/>
  <c r="H5" i="20"/>
  <c r="F7" i="20"/>
  <c r="B5" i="66"/>
  <c r="I51" i="66"/>
  <c r="I53" i="66" s="1"/>
  <c r="K51" i="66"/>
  <c r="K53" i="66" s="1"/>
  <c r="M51" i="66"/>
  <c r="M53" i="66" s="1"/>
  <c r="O51" i="66"/>
  <c r="Q51" i="66"/>
  <c r="S51" i="66"/>
  <c r="O53" i="66"/>
  <c r="Q53" i="66"/>
  <c r="S53" i="66"/>
  <c r="O55" i="66"/>
  <c r="O56" i="66" s="1"/>
  <c r="Q55" i="66"/>
  <c r="Q56" i="66" s="1"/>
  <c r="S55" i="66"/>
  <c r="S56" i="66" s="1"/>
  <c r="S51" i="23"/>
  <c r="Q51" i="23"/>
  <c r="O51" i="23"/>
  <c r="M51" i="23"/>
  <c r="K51" i="23"/>
  <c r="I51" i="23"/>
  <c r="I53" i="23" s="1"/>
  <c r="B5" i="23"/>
  <c r="B5" i="27"/>
  <c r="A6" i="20"/>
  <c r="A6" i="47"/>
  <c r="C27" i="49"/>
  <c r="A10" i="49"/>
  <c r="A11" i="49" s="1"/>
  <c r="A12" i="49" s="1"/>
  <c r="A13" i="49" s="1"/>
  <c r="A14" i="49" s="1"/>
  <c r="A15" i="49" s="1"/>
  <c r="A16" i="49" s="1"/>
  <c r="A17" i="49" s="1"/>
  <c r="A18" i="49" s="1"/>
  <c r="A19" i="49" s="1"/>
  <c r="A20" i="49" s="1"/>
  <c r="A21" i="49" s="1"/>
  <c r="A22" i="49" s="1"/>
  <c r="A23" i="49" s="1"/>
  <c r="A24" i="49" s="1"/>
  <c r="A25" i="49" s="1"/>
  <c r="A26" i="49" s="1"/>
  <c r="A27" i="49" s="1"/>
  <c r="A6" i="49"/>
  <c r="L14" i="20" l="1"/>
  <c r="P14" i="20"/>
  <c r="M55" i="66"/>
  <c r="K55" i="66"/>
  <c r="I55" i="66"/>
  <c r="B91" i="66" s="1"/>
  <c r="N9" i="66"/>
  <c r="R9" i="66"/>
  <c r="P9" i="66"/>
  <c r="I55" i="23"/>
  <c r="K53" i="23"/>
  <c r="K55" i="23" s="1"/>
  <c r="M53" i="23"/>
  <c r="M55" i="23" s="1"/>
  <c r="O53" i="23"/>
  <c r="O55" i="23" s="1"/>
  <c r="Q53" i="23"/>
  <c r="Q55" i="23" s="1"/>
  <c r="S53" i="23"/>
  <c r="S55" i="23" s="1"/>
  <c r="K161" i="112"/>
  <c r="L161" i="112" s="1"/>
  <c r="K160" i="112"/>
  <c r="L160" i="112" s="1"/>
  <c r="K159" i="112"/>
  <c r="L159" i="112" s="1"/>
  <c r="K157" i="112"/>
  <c r="L157" i="112" s="1"/>
  <c r="K156" i="112"/>
  <c r="L156" i="112" s="1"/>
  <c r="K155" i="112"/>
  <c r="L155" i="112" s="1"/>
  <c r="K154" i="112"/>
  <c r="L154" i="112" s="1"/>
  <c r="K152" i="112"/>
  <c r="L152" i="112" s="1"/>
  <c r="K151" i="112"/>
  <c r="L151" i="112" s="1"/>
  <c r="K150" i="112"/>
  <c r="L150" i="112" s="1"/>
  <c r="K149" i="112"/>
  <c r="L149" i="112" s="1"/>
  <c r="K147" i="112"/>
  <c r="L147" i="112" s="1"/>
  <c r="K146" i="112"/>
  <c r="L146" i="112" s="1"/>
  <c r="K145" i="112"/>
  <c r="L145" i="112" s="1"/>
  <c r="I141" i="112"/>
  <c r="L141" i="112" s="1"/>
  <c r="K140" i="112"/>
  <c r="L140" i="112" s="1"/>
  <c r="K139" i="112"/>
  <c r="L139" i="112" s="1"/>
  <c r="K137" i="112"/>
  <c r="L137" i="112" s="1"/>
  <c r="K136" i="112"/>
  <c r="L136" i="112" s="1"/>
  <c r="K135" i="112"/>
  <c r="L135" i="112" s="1"/>
  <c r="K132" i="112"/>
  <c r="L132" i="112" s="1"/>
  <c r="K130" i="112"/>
  <c r="L130" i="112" s="1"/>
  <c r="K128" i="112"/>
  <c r="L128" i="112" s="1"/>
  <c r="K120" i="112"/>
  <c r="L120" i="112" s="1"/>
  <c r="K117" i="112"/>
  <c r="L117" i="112" s="1"/>
  <c r="K116" i="112"/>
  <c r="L116" i="112" s="1"/>
  <c r="K115" i="112"/>
  <c r="L115" i="112" s="1"/>
  <c r="K114" i="112"/>
  <c r="L114" i="112" s="1"/>
  <c r="K113" i="112"/>
  <c r="L113" i="112" s="1"/>
  <c r="K112" i="112"/>
  <c r="L112" i="112" s="1"/>
  <c r="K111" i="112"/>
  <c r="L111" i="112" s="1"/>
  <c r="K110" i="112"/>
  <c r="L110" i="112" s="1"/>
  <c r="K107" i="112"/>
  <c r="L107" i="112" s="1"/>
  <c r="K106" i="112"/>
  <c r="L106" i="112" s="1"/>
  <c r="K105" i="112"/>
  <c r="L105" i="112" s="1"/>
  <c r="K104" i="112"/>
  <c r="L104" i="112" s="1"/>
  <c r="K103" i="112"/>
  <c r="L103" i="112" s="1"/>
  <c r="K101" i="112"/>
  <c r="L101" i="112" s="1"/>
  <c r="K96" i="112"/>
  <c r="L96" i="112" s="1"/>
  <c r="K94" i="112"/>
  <c r="L94" i="112" s="1"/>
  <c r="K92" i="112"/>
  <c r="L92" i="112" s="1"/>
  <c r="K89" i="112"/>
  <c r="L89" i="112" s="1"/>
  <c r="K88" i="112"/>
  <c r="L88" i="112" s="1"/>
  <c r="K85" i="112"/>
  <c r="L85" i="112" s="1"/>
  <c r="K83" i="112"/>
  <c r="L83" i="112" s="1"/>
  <c r="K81" i="112"/>
  <c r="L81" i="112" s="1"/>
  <c r="K79" i="112"/>
  <c r="L79" i="112" s="1"/>
  <c r="K78" i="112"/>
  <c r="L78" i="112" s="1"/>
  <c r="K74" i="112"/>
  <c r="L74" i="112" s="1"/>
  <c r="K71" i="112"/>
  <c r="L71" i="112" s="1"/>
  <c r="K69" i="112"/>
  <c r="L69" i="112" s="1"/>
  <c r="I67" i="112"/>
  <c r="L67" i="112" s="1"/>
  <c r="I66" i="112"/>
  <c r="L66" i="112" s="1"/>
  <c r="I65" i="112"/>
  <c r="L65" i="112" s="1"/>
  <c r="I62" i="112"/>
  <c r="L62" i="112" s="1"/>
  <c r="I61" i="112"/>
  <c r="L61" i="112" s="1"/>
  <c r="I60" i="112"/>
  <c r="L60" i="112" s="1"/>
  <c r="I56" i="112"/>
  <c r="L56" i="112" s="1"/>
  <c r="I53" i="112"/>
  <c r="L53" i="112" s="1"/>
  <c r="I47" i="112"/>
  <c r="M43" i="112"/>
  <c r="M41" i="112"/>
  <c r="M38" i="112"/>
  <c r="M37" i="112"/>
  <c r="M35" i="112"/>
  <c r="M34" i="112"/>
  <c r="M33" i="112"/>
  <c r="M32" i="112"/>
  <c r="M31" i="112"/>
  <c r="M30" i="112"/>
  <c r="L4" i="112" l="1"/>
  <c r="L158" i="112"/>
  <c r="I56" i="66"/>
  <c r="J9" i="66"/>
  <c r="K56" i="66"/>
  <c r="M56" i="66"/>
  <c r="H9" i="66"/>
  <c r="L9" i="66"/>
  <c r="L9" i="23"/>
  <c r="M56" i="23"/>
  <c r="J9" i="23"/>
  <c r="K56" i="23"/>
  <c r="S56" i="23"/>
  <c r="R9" i="23"/>
  <c r="Q56" i="23"/>
  <c r="P9" i="23"/>
  <c r="O56" i="23"/>
  <c r="N9" i="23"/>
  <c r="H9" i="23"/>
  <c r="I56" i="23"/>
  <c r="I49" i="112"/>
  <c r="L49" i="112" s="1"/>
  <c r="I50" i="112"/>
  <c r="L50" i="112" s="1"/>
  <c r="D77" i="112"/>
  <c r="K77" i="112" s="1"/>
  <c r="L77" i="112" s="1"/>
  <c r="D72" i="112"/>
  <c r="K72" i="112" s="1"/>
  <c r="L72" i="112" s="1"/>
  <c r="D70" i="112"/>
  <c r="K70" i="112" s="1"/>
  <c r="L70" i="112" s="1"/>
  <c r="D59" i="112"/>
  <c r="I59" i="112" s="1"/>
  <c r="L59" i="112" s="1"/>
  <c r="D58" i="112"/>
  <c r="I58" i="112" s="1"/>
  <c r="L58" i="112" s="1"/>
  <c r="D95" i="112"/>
  <c r="K95" i="112" s="1"/>
  <c r="L95" i="112" s="1"/>
  <c r="I51" i="112"/>
  <c r="L51" i="112" s="1"/>
  <c r="L153" i="112"/>
  <c r="L148" i="112"/>
  <c r="K4" i="112"/>
  <c r="L144" i="112"/>
  <c r="D80" i="112"/>
  <c r="K80" i="112" s="1"/>
  <c r="L80" i="112" s="1"/>
  <c r="D73" i="112"/>
  <c r="K73" i="112" s="1"/>
  <c r="L73" i="112" s="1"/>
  <c r="D133" i="112"/>
  <c r="K133" i="112" s="1"/>
  <c r="L133" i="112" s="1"/>
  <c r="L47" i="112"/>
  <c r="I52" i="112"/>
  <c r="L52" i="112" s="1"/>
  <c r="I63" i="112"/>
  <c r="L63" i="112" s="1"/>
  <c r="D124" i="112" l="1"/>
  <c r="K124" i="112" s="1"/>
  <c r="L124" i="112" s="1"/>
  <c r="D34" i="27"/>
  <c r="G34" i="27" s="1"/>
  <c r="I34" i="27" s="1"/>
  <c r="D35" i="27"/>
  <c r="G35" i="27" s="1"/>
  <c r="I35" i="27" s="1"/>
  <c r="D33" i="27"/>
  <c r="G33" i="27" s="1"/>
  <c r="I33" i="27" s="1"/>
  <c r="D93" i="112"/>
  <c r="K93" i="112" s="1"/>
  <c r="L93" i="112" s="1"/>
  <c r="D131" i="112"/>
  <c r="K131" i="112" s="1"/>
  <c r="L131" i="112" s="1"/>
  <c r="K108" i="112"/>
  <c r="L108" i="112" s="1"/>
  <c r="D143" i="112"/>
  <c r="I143" i="112" s="1"/>
  <c r="L143" i="112" s="1"/>
  <c r="D76" i="112"/>
  <c r="K76" i="112" s="1"/>
  <c r="L76" i="112" s="1"/>
  <c r="D134" i="112"/>
  <c r="K134" i="112" s="1"/>
  <c r="L134" i="112" s="1"/>
  <c r="D142" i="112"/>
  <c r="I142" i="112" s="1"/>
  <c r="L142" i="112" s="1"/>
  <c r="D55" i="112"/>
  <c r="I55" i="112" s="1"/>
  <c r="L55" i="112" s="1"/>
  <c r="D100" i="112"/>
  <c r="K100" i="112" s="1"/>
  <c r="L100" i="112" s="1"/>
  <c r="D54" i="112"/>
  <c r="I54" i="112" s="1"/>
  <c r="L54" i="112" s="1"/>
  <c r="D91" i="112"/>
  <c r="K91" i="112" s="1"/>
  <c r="L91" i="112" s="1"/>
  <c r="D82" i="112"/>
  <c r="K82" i="112" s="1"/>
  <c r="L82" i="112" s="1"/>
  <c r="D64" i="112"/>
  <c r="I64" i="112" s="1"/>
  <c r="L64" i="112" s="1"/>
  <c r="D118" i="112"/>
  <c r="K118" i="112" s="1"/>
  <c r="L118" i="112" s="1"/>
  <c r="D99" i="112"/>
  <c r="K99" i="112" s="1"/>
  <c r="L99" i="112" s="1"/>
  <c r="L98" i="112" s="1"/>
  <c r="D57" i="112"/>
  <c r="I57" i="112" s="1"/>
  <c r="L57" i="112" s="1"/>
  <c r="D87" i="112"/>
  <c r="K87" i="112" s="1"/>
  <c r="L87" i="112" s="1"/>
  <c r="D75" i="112"/>
  <c r="K75" i="112" s="1"/>
  <c r="L75" i="112" s="1"/>
  <c r="D90" i="112"/>
  <c r="K90" i="112" s="1"/>
  <c r="L90" i="112" s="1"/>
  <c r="D119" i="112"/>
  <c r="K119" i="112" s="1"/>
  <c r="L119" i="112" s="1"/>
  <c r="D86" i="112"/>
  <c r="K86" i="112" s="1"/>
  <c r="L86" i="112" s="1"/>
  <c r="D48" i="112"/>
  <c r="I48" i="112" s="1"/>
  <c r="L48" i="112" s="1"/>
  <c r="D97" i="112"/>
  <c r="K97" i="112" s="1"/>
  <c r="L97" i="112" s="1"/>
  <c r="G27" i="58"/>
  <c r="I27" i="58" s="1"/>
  <c r="G26" i="58"/>
  <c r="I26" i="58" s="1"/>
  <c r="G32" i="27"/>
  <c r="I32" i="27" s="1"/>
  <c r="D27" i="112"/>
  <c r="D38" i="27"/>
  <c r="G38" i="27" s="1"/>
  <c r="I38" i="27" s="1"/>
  <c r="D36" i="27"/>
  <c r="G36" i="27" s="1"/>
  <c r="I36" i="27" s="1"/>
  <c r="D125" i="112"/>
  <c r="K125" i="112" s="1"/>
  <c r="L125" i="112" s="1"/>
  <c r="D13" i="112"/>
  <c r="D14" i="112"/>
  <c r="D109" i="112"/>
  <c r="K109" i="112" s="1"/>
  <c r="L109" i="112" s="1"/>
  <c r="K122" i="112"/>
  <c r="L122" i="112" s="1"/>
  <c r="D24" i="112"/>
  <c r="D25" i="112"/>
  <c r="D23" i="112"/>
  <c r="D126" i="112"/>
  <c r="K126" i="112" s="1"/>
  <c r="L126" i="112" s="1"/>
  <c r="D35" i="112"/>
  <c r="D44" i="112"/>
  <c r="D43" i="112"/>
  <c r="D32" i="112"/>
  <c r="D38" i="112"/>
  <c r="D41" i="112"/>
  <c r="D45" i="112"/>
  <c r="D31" i="112"/>
  <c r="K123" i="112"/>
  <c r="L123" i="112" s="1"/>
  <c r="D34" i="112"/>
  <c r="D37" i="112"/>
  <c r="D40" i="112"/>
  <c r="D30" i="112"/>
  <c r="D33" i="112"/>
  <c r="D36" i="112"/>
  <c r="D39" i="112"/>
  <c r="D29" i="112"/>
  <c r="L138" i="112" l="1"/>
  <c r="N68" i="112"/>
  <c r="L129" i="112"/>
  <c r="L46" i="112"/>
  <c r="I162" i="112"/>
  <c r="L102" i="112"/>
  <c r="L84" i="112"/>
  <c r="L121" i="112"/>
  <c r="K162" i="112"/>
  <c r="L165" i="112" l="1"/>
  <c r="M165" i="112" s="1"/>
  <c r="C12" i="20"/>
  <c r="L12" i="20" l="1"/>
  <c r="E12" i="20"/>
  <c r="P12" i="20" s="1"/>
  <c r="C77" i="20"/>
  <c r="A3" i="20"/>
  <c r="A4" i="20"/>
  <c r="C30" i="21"/>
  <c r="G9" i="21" s="1"/>
  <c r="D30" i="21"/>
  <c r="E30" i="21"/>
  <c r="F30" i="21"/>
  <c r="Q108" i="17" l="1"/>
  <c r="K60" i="10"/>
  <c r="U60" i="10"/>
  <c r="O108" i="17"/>
  <c r="U108" i="17"/>
  <c r="K113" i="13"/>
  <c r="M54" i="46"/>
  <c r="I65" i="57"/>
  <c r="I54" i="81"/>
  <c r="M69" i="111"/>
  <c r="O48" i="74"/>
  <c r="M48" i="74"/>
  <c r="Q48" i="74"/>
  <c r="M68" i="4"/>
  <c r="K68" i="4"/>
  <c r="M43" i="77"/>
  <c r="I44" i="75"/>
  <c r="K48" i="74"/>
  <c r="S48" i="74"/>
  <c r="K44" i="75"/>
  <c r="O65" i="57"/>
  <c r="M65" i="57"/>
  <c r="I48" i="74"/>
  <c r="I104" i="28"/>
  <c r="AC90" i="16"/>
  <c r="Y90" i="16"/>
  <c r="W90" i="16"/>
  <c r="AA90" i="16"/>
  <c r="U90" i="16"/>
  <c r="S90" i="16"/>
  <c r="S58" i="114"/>
  <c r="Q58" i="114"/>
  <c r="Y98" i="3"/>
  <c r="W98" i="3"/>
  <c r="M58" i="114"/>
  <c r="K58" i="114"/>
  <c r="I58" i="114"/>
  <c r="O58" i="114"/>
  <c r="AA69" i="111"/>
  <c r="K98" i="3"/>
  <c r="F6" i="20"/>
  <c r="S57" i="66"/>
  <c r="O57" i="66"/>
  <c r="Q57" i="66"/>
  <c r="M57" i="66"/>
  <c r="S57" i="23"/>
  <c r="O57" i="23"/>
  <c r="K57" i="66"/>
  <c r="K57" i="23"/>
  <c r="Q57" i="23"/>
  <c r="I57" i="23"/>
  <c r="I57" i="66"/>
  <c r="M57" i="23"/>
  <c r="G77" i="20"/>
  <c r="G16" i="21"/>
  <c r="C58" i="20"/>
  <c r="C27" i="20"/>
  <c r="C24" i="20"/>
  <c r="C18" i="20"/>
  <c r="P18" i="20" s="1"/>
  <c r="S66" i="82"/>
  <c r="Q68" i="82"/>
  <c r="Q66" i="82"/>
  <c r="Q70" i="82" s="1"/>
  <c r="B4" i="109"/>
  <c r="B5" i="36"/>
  <c r="B5" i="15"/>
  <c r="B5" i="31"/>
  <c r="B5" i="102"/>
  <c r="B5" i="100"/>
  <c r="B5" i="99"/>
  <c r="B4" i="90"/>
  <c r="B4" i="92"/>
  <c r="B5" i="91"/>
  <c r="B4" i="85"/>
  <c r="B4" i="79"/>
  <c r="B4" i="82"/>
  <c r="B5" i="73"/>
  <c r="B5" i="77"/>
  <c r="B4" i="68"/>
  <c r="B5" i="64"/>
  <c r="B5" i="63"/>
  <c r="B5" i="59"/>
  <c r="B5" i="4"/>
  <c r="B5" i="55"/>
  <c r="B5" i="53"/>
  <c r="B5" i="54"/>
  <c r="B5" i="52"/>
  <c r="B5" i="50"/>
  <c r="G23" i="27"/>
  <c r="I23" i="27" s="1"/>
  <c r="G24" i="27"/>
  <c r="I24" i="27" s="1"/>
  <c r="G25" i="27"/>
  <c r="I25" i="27" s="1"/>
  <c r="G26" i="27"/>
  <c r="I26" i="27" s="1"/>
  <c r="G29" i="27"/>
  <c r="I29" i="27" s="1"/>
  <c r="G30" i="27"/>
  <c r="I30" i="27" s="1"/>
  <c r="G39" i="27"/>
  <c r="I39" i="27" s="1"/>
  <c r="G40" i="27"/>
  <c r="I40" i="27" s="1"/>
  <c r="G41" i="27"/>
  <c r="I41" i="27" s="1"/>
  <c r="G22" i="27"/>
  <c r="I22" i="27" s="1"/>
  <c r="B5" i="28"/>
  <c r="B5" i="14"/>
  <c r="B5" i="98"/>
  <c r="B5" i="13"/>
  <c r="B5" i="16"/>
  <c r="B5" i="95"/>
  <c r="B5" i="46"/>
  <c r="B5" i="35"/>
  <c r="B5" i="93"/>
  <c r="B5" i="111"/>
  <c r="B5" i="84"/>
  <c r="B5" i="110"/>
  <c r="B5" i="78"/>
  <c r="B5" i="81"/>
  <c r="B5" i="41"/>
  <c r="B5" i="30"/>
  <c r="B5" i="74"/>
  <c r="B5" i="75"/>
  <c r="B5" i="76"/>
  <c r="B5" i="10"/>
  <c r="B5" i="70"/>
  <c r="B5" i="9"/>
  <c r="B5" i="29"/>
  <c r="B5" i="7"/>
  <c r="P8" i="82" l="1"/>
  <c r="Q72" i="82"/>
  <c r="G31" i="20"/>
  <c r="G14" i="20"/>
  <c r="E27" i="20"/>
  <c r="D27" i="20"/>
  <c r="E24" i="20"/>
  <c r="P24" i="20" s="1"/>
  <c r="D24" i="20"/>
  <c r="E58" i="20"/>
  <c r="P58" i="20" s="1"/>
  <c r="D58" i="20"/>
  <c r="J18" i="20"/>
  <c r="L18" i="20"/>
  <c r="L24" i="20"/>
  <c r="J27" i="20"/>
  <c r="L27" i="20"/>
  <c r="L58" i="20"/>
  <c r="J24" i="20"/>
  <c r="S68" i="82"/>
  <c r="S70" i="82" s="1"/>
  <c r="Q71" i="82"/>
  <c r="B5" i="5"/>
  <c r="R60" i="2"/>
  <c r="R59" i="2"/>
  <c r="F5" i="20"/>
  <c r="H4" i="20"/>
  <c r="F4" i="20"/>
  <c r="B5" i="60"/>
  <c r="B5" i="58"/>
  <c r="B5" i="57"/>
  <c r="B5" i="3"/>
  <c r="B5" i="2"/>
  <c r="B5" i="38"/>
  <c r="K84" i="16"/>
  <c r="P27" i="20" l="1"/>
  <c r="E26" i="115"/>
  <c r="C26" i="115" s="1"/>
  <c r="F31" i="20"/>
  <c r="F77" i="20"/>
  <c r="F14" i="20"/>
  <c r="F18" i="20"/>
  <c r="G27" i="20"/>
  <c r="F27" i="20"/>
  <c r="G18" i="20"/>
  <c r="F24" i="20"/>
  <c r="G24" i="20"/>
  <c r="S72" i="82"/>
  <c r="S71" i="82"/>
  <c r="K86" i="16"/>
  <c r="K88" i="16" s="1"/>
  <c r="J9" i="16" l="1"/>
  <c r="K90" i="16"/>
  <c r="K89" i="16"/>
  <c r="I106" i="95" l="1"/>
  <c r="I108" i="95" s="1"/>
  <c r="B144" i="95" s="1"/>
  <c r="C53" i="20" s="1"/>
  <c r="I110" i="95" l="1"/>
  <c r="I109" i="95"/>
  <c r="H9" i="95"/>
  <c r="Q84" i="16" l="1"/>
  <c r="Q88" i="16" s="1"/>
  <c r="K106" i="95"/>
  <c r="K108" i="95" s="1"/>
  <c r="K109" i="95" l="1"/>
  <c r="K110" i="95"/>
  <c r="P9" i="16"/>
  <c r="Q89" i="16"/>
  <c r="Q90" i="16"/>
  <c r="J9" i="95"/>
  <c r="C66" i="20"/>
  <c r="E66" i="20" l="1"/>
  <c r="D66" i="20"/>
  <c r="E53" i="20"/>
  <c r="D53" i="20"/>
  <c r="L66" i="20"/>
  <c r="C51" i="115"/>
  <c r="L53" i="20"/>
  <c r="G66" i="20"/>
  <c r="F66" i="20"/>
  <c r="I71" i="20"/>
  <c r="I74" i="20" s="1"/>
  <c r="I82" i="20" s="1"/>
  <c r="I84" i="20" s="1"/>
  <c r="J35" i="20"/>
  <c r="J38" i="20"/>
  <c r="J53" i="20"/>
  <c r="J58" i="20"/>
  <c r="J60" i="20"/>
  <c r="J66" i="20"/>
  <c r="J68" i="20"/>
  <c r="J69" i="20"/>
  <c r="E54" i="115" l="1"/>
  <c r="C54" i="115" s="1"/>
  <c r="P53" i="20"/>
  <c r="E13" i="115"/>
  <c r="C13" i="115" s="1"/>
  <c r="P66" i="20"/>
  <c r="G69" i="20"/>
  <c r="G53" i="20"/>
  <c r="G58" i="20"/>
  <c r="G35" i="20"/>
  <c r="F60" i="20"/>
  <c r="F69" i="20"/>
  <c r="G60" i="20"/>
  <c r="G38" i="20"/>
  <c r="F35" i="20"/>
  <c r="F38" i="20"/>
  <c r="F53" i="20"/>
  <c r="F58" i="20"/>
  <c r="J12" i="20" l="1"/>
  <c r="F12" i="20"/>
  <c r="G12" i="20"/>
  <c r="Y63" i="111" l="1"/>
  <c r="Y65" i="111" s="1"/>
  <c r="Y67" i="111" s="1"/>
  <c r="Q65" i="111"/>
  <c r="W63" i="111"/>
  <c r="W65" i="111" s="1"/>
  <c r="W67" i="111" s="1"/>
  <c r="I63" i="111"/>
  <c r="U63" i="111"/>
  <c r="S32" i="110"/>
  <c r="S34" i="110" s="1"/>
  <c r="S36" i="110" s="1"/>
  <c r="Q32" i="110"/>
  <c r="Q34" i="110" s="1"/>
  <c r="Q36" i="110" s="1"/>
  <c r="O32" i="110"/>
  <c r="O34" i="110" s="1"/>
  <c r="O36" i="110" s="1"/>
  <c r="M32" i="110"/>
  <c r="M34" i="110" s="1"/>
  <c r="M36" i="110" s="1"/>
  <c r="K32" i="110"/>
  <c r="I32" i="110"/>
  <c r="K48" i="30"/>
  <c r="C27" i="115"/>
  <c r="S69" i="109"/>
  <c r="S71" i="109" s="1"/>
  <c r="S73" i="109" s="1"/>
  <c r="Q69" i="109"/>
  <c r="Q71" i="109" s="1"/>
  <c r="Q73" i="109" s="1"/>
  <c r="O69" i="109"/>
  <c r="M69" i="109"/>
  <c r="M71" i="109" s="1"/>
  <c r="M73" i="109" s="1"/>
  <c r="K69" i="109"/>
  <c r="I69" i="109"/>
  <c r="B19" i="109"/>
  <c r="B18" i="109"/>
  <c r="B17" i="109"/>
  <c r="B16" i="109"/>
  <c r="B15" i="109"/>
  <c r="B14" i="109"/>
  <c r="B13" i="109"/>
  <c r="B12" i="109"/>
  <c r="B11" i="109"/>
  <c r="S75" i="109" l="1"/>
  <c r="S74" i="109"/>
  <c r="Q74" i="109"/>
  <c r="Q75" i="109"/>
  <c r="M75" i="109"/>
  <c r="M74" i="109"/>
  <c r="W68" i="111"/>
  <c r="W69" i="111"/>
  <c r="Y69" i="111"/>
  <c r="Y68" i="111"/>
  <c r="M38" i="110"/>
  <c r="M37" i="110"/>
  <c r="O38" i="110"/>
  <c r="O37" i="110"/>
  <c r="S37" i="110"/>
  <c r="S38" i="110"/>
  <c r="Q38" i="110"/>
  <c r="Q37" i="110"/>
  <c r="J30" i="20"/>
  <c r="F30" i="20"/>
  <c r="G30" i="20"/>
  <c r="Q54" i="10"/>
  <c r="V9" i="111"/>
  <c r="X9" i="111"/>
  <c r="Q67" i="111"/>
  <c r="U65" i="111"/>
  <c r="U67" i="111" s="1"/>
  <c r="I65" i="111"/>
  <c r="I67" i="111" s="1"/>
  <c r="L9" i="110"/>
  <c r="N9" i="110"/>
  <c r="P9" i="110"/>
  <c r="R9" i="110"/>
  <c r="I34" i="110"/>
  <c r="I36" i="110" s="1"/>
  <c r="K34" i="110"/>
  <c r="K36" i="110" s="1"/>
  <c r="B72" i="110" s="1"/>
  <c r="C46" i="20" s="1"/>
  <c r="O71" i="109"/>
  <c r="O73" i="109" s="1"/>
  <c r="P8" i="109"/>
  <c r="L8" i="109"/>
  <c r="R8" i="109"/>
  <c r="I71" i="109"/>
  <c r="I73" i="109" s="1"/>
  <c r="K71" i="109"/>
  <c r="K73" i="109" s="1"/>
  <c r="K74" i="109" l="1"/>
  <c r="K75" i="109"/>
  <c r="O75" i="109"/>
  <c r="O74" i="109"/>
  <c r="I75" i="109"/>
  <c r="I74" i="109"/>
  <c r="E46" i="20"/>
  <c r="D46" i="20"/>
  <c r="L46" i="20"/>
  <c r="F46" i="20"/>
  <c r="G46" i="20"/>
  <c r="J46" i="20"/>
  <c r="I68" i="111"/>
  <c r="I69" i="111"/>
  <c r="U68" i="111"/>
  <c r="U69" i="111"/>
  <c r="Q69" i="111"/>
  <c r="Q68" i="111"/>
  <c r="K37" i="110"/>
  <c r="K38" i="110"/>
  <c r="I37" i="110"/>
  <c r="I38" i="110"/>
  <c r="H9" i="111"/>
  <c r="T9" i="111"/>
  <c r="P9" i="111"/>
  <c r="B102" i="111" s="1"/>
  <c r="J9" i="110"/>
  <c r="H9" i="110"/>
  <c r="N8" i="109"/>
  <c r="J8" i="109"/>
  <c r="H8" i="109"/>
  <c r="S154" i="14"/>
  <c r="S156" i="14" s="1"/>
  <c r="Q154" i="14"/>
  <c r="Q156" i="14" s="1"/>
  <c r="O154" i="14"/>
  <c r="O156" i="14" s="1"/>
  <c r="I156" i="14"/>
  <c r="M154" i="14"/>
  <c r="M156" i="14" s="1"/>
  <c r="M192" i="14" s="1"/>
  <c r="M193" i="14" s="1"/>
  <c r="S51" i="63"/>
  <c r="CR46" i="108"/>
  <c r="CJ46" i="108"/>
  <c r="CB46" i="108"/>
  <c r="BT46" i="108"/>
  <c r="BL46" i="108"/>
  <c r="BD46" i="108"/>
  <c r="AV46" i="108"/>
  <c r="AN46" i="108"/>
  <c r="AF46" i="108"/>
  <c r="X46" i="108"/>
  <c r="P46" i="108"/>
  <c r="H46" i="108"/>
  <c r="CU46" i="108" s="1"/>
  <c r="CR45" i="108"/>
  <c r="CJ45" i="108"/>
  <c r="CB45" i="108"/>
  <c r="BT45" i="108"/>
  <c r="BL45" i="108"/>
  <c r="BD45" i="108"/>
  <c r="AV45" i="108"/>
  <c r="AN45" i="108"/>
  <c r="AF45" i="108"/>
  <c r="X45" i="108"/>
  <c r="P45" i="108"/>
  <c r="H45" i="108"/>
  <c r="CR44" i="108"/>
  <c r="CJ44" i="108"/>
  <c r="CB44" i="108"/>
  <c r="BT44" i="108"/>
  <c r="BL44" i="108"/>
  <c r="BD44" i="108"/>
  <c r="AV44" i="108"/>
  <c r="AN44" i="108"/>
  <c r="AF44" i="108"/>
  <c r="X44" i="108"/>
  <c r="P44" i="108"/>
  <c r="H44" i="108"/>
  <c r="CR43" i="108"/>
  <c r="CJ43" i="108"/>
  <c r="CB43" i="108"/>
  <c r="BT43" i="108"/>
  <c r="BL43" i="108"/>
  <c r="BD43" i="108"/>
  <c r="AV43" i="108"/>
  <c r="AN43" i="108"/>
  <c r="AF43" i="108"/>
  <c r="X43" i="108"/>
  <c r="P43" i="108"/>
  <c r="H43" i="108"/>
  <c r="CR41" i="108"/>
  <c r="CJ41" i="108"/>
  <c r="CB41" i="108"/>
  <c r="BT41" i="108"/>
  <c r="BL41" i="108"/>
  <c r="BD41" i="108"/>
  <c r="AV41" i="108"/>
  <c r="AN41" i="108"/>
  <c r="AF41" i="108"/>
  <c r="X41" i="108"/>
  <c r="P41" i="108"/>
  <c r="H41" i="108"/>
  <c r="CR40" i="108"/>
  <c r="CJ40" i="108"/>
  <c r="CB40" i="108"/>
  <c r="BT40" i="108"/>
  <c r="BL40" i="108"/>
  <c r="BD40" i="108"/>
  <c r="AV40" i="108"/>
  <c r="AN40" i="108"/>
  <c r="AF40" i="108"/>
  <c r="X40" i="108"/>
  <c r="P40" i="108"/>
  <c r="H40" i="108"/>
  <c r="CU40" i="108" s="1"/>
  <c r="CR38" i="108"/>
  <c r="CJ38" i="108"/>
  <c r="CB38" i="108"/>
  <c r="BT38" i="108"/>
  <c r="BL38" i="108"/>
  <c r="BD38" i="108"/>
  <c r="AV38" i="108"/>
  <c r="AN38" i="108"/>
  <c r="AF38" i="108"/>
  <c r="X38" i="108"/>
  <c r="P38" i="108"/>
  <c r="H38" i="108"/>
  <c r="CR36" i="108"/>
  <c r="CJ36" i="108"/>
  <c r="CB36" i="108"/>
  <c r="BT36" i="108"/>
  <c r="BL36" i="108"/>
  <c r="BD36" i="108"/>
  <c r="AV36" i="108"/>
  <c r="AN36" i="108"/>
  <c r="AF36" i="108"/>
  <c r="X36" i="108"/>
  <c r="P36" i="108"/>
  <c r="H36" i="108"/>
  <c r="CR35" i="108"/>
  <c r="CJ35" i="108"/>
  <c r="CB35" i="108"/>
  <c r="BT35" i="108"/>
  <c r="BL35" i="108"/>
  <c r="BD35" i="108"/>
  <c r="AV35" i="108"/>
  <c r="CU35" i="108" s="1"/>
  <c r="AN35" i="108"/>
  <c r="AF35" i="108"/>
  <c r="X35" i="108"/>
  <c r="P35" i="108"/>
  <c r="H35" i="108"/>
  <c r="CR34" i="108"/>
  <c r="CJ34" i="108"/>
  <c r="CB34" i="108"/>
  <c r="BT34" i="108"/>
  <c r="BL34" i="108"/>
  <c r="BD34" i="108"/>
  <c r="AV34" i="108"/>
  <c r="AN34" i="108"/>
  <c r="AF34" i="108"/>
  <c r="X34" i="108"/>
  <c r="P34" i="108"/>
  <c r="H34" i="108"/>
  <c r="CR33" i="108"/>
  <c r="CJ33" i="108"/>
  <c r="CB33" i="108"/>
  <c r="BT33" i="108"/>
  <c r="BL33" i="108"/>
  <c r="BD33" i="108"/>
  <c r="AV33" i="108"/>
  <c r="AN33" i="108"/>
  <c r="AF33" i="108"/>
  <c r="X33" i="108"/>
  <c r="P33" i="108"/>
  <c r="H33" i="108"/>
  <c r="CP31" i="108"/>
  <c r="CR31" i="108" s="1"/>
  <c r="CH31" i="108"/>
  <c r="CJ31" i="108" s="1"/>
  <c r="BZ31" i="108"/>
  <c r="CB31" i="108" s="1"/>
  <c r="BR31" i="108"/>
  <c r="BT31" i="108" s="1"/>
  <c r="BJ31" i="108"/>
  <c r="BL31" i="108" s="1"/>
  <c r="BB31" i="108"/>
  <c r="BD31" i="108" s="1"/>
  <c r="AT31" i="108"/>
  <c r="AV31" i="108" s="1"/>
  <c r="AL31" i="108"/>
  <c r="AN31" i="108" s="1"/>
  <c r="AD31" i="108"/>
  <c r="AF31" i="108" s="1"/>
  <c r="V31" i="108"/>
  <c r="X31" i="108" s="1"/>
  <c r="N31" i="108"/>
  <c r="P31" i="108" s="1"/>
  <c r="F31" i="108"/>
  <c r="H31" i="108" s="1"/>
  <c r="CP30" i="108"/>
  <c r="CR30" i="108" s="1"/>
  <c r="CH30" i="108"/>
  <c r="CJ30" i="108" s="1"/>
  <c r="BZ30" i="108"/>
  <c r="CB30" i="108" s="1"/>
  <c r="BR30" i="108"/>
  <c r="BT30" i="108" s="1"/>
  <c r="BJ30" i="108"/>
  <c r="BL30" i="108" s="1"/>
  <c r="BB30" i="108"/>
  <c r="BD30" i="108" s="1"/>
  <c r="AT30" i="108"/>
  <c r="AV30" i="108" s="1"/>
  <c r="AL30" i="108"/>
  <c r="AN30" i="108" s="1"/>
  <c r="AD30" i="108"/>
  <c r="AF30" i="108" s="1"/>
  <c r="V30" i="108"/>
  <c r="X30" i="108" s="1"/>
  <c r="N30" i="108"/>
  <c r="P30" i="108" s="1"/>
  <c r="H30" i="108"/>
  <c r="F30" i="108"/>
  <c r="CP29" i="108"/>
  <c r="CR29" i="108" s="1"/>
  <c r="CH29" i="108"/>
  <c r="CJ29" i="108" s="1"/>
  <c r="BZ29" i="108"/>
  <c r="CB29" i="108" s="1"/>
  <c r="BR29" i="108"/>
  <c r="BT29" i="108" s="1"/>
  <c r="BJ29" i="108"/>
  <c r="BL29" i="108" s="1"/>
  <c r="BB29" i="108"/>
  <c r="BD29" i="108" s="1"/>
  <c r="AT29" i="108"/>
  <c r="AV29" i="108" s="1"/>
  <c r="AL29" i="108"/>
  <c r="AN29" i="108" s="1"/>
  <c r="AD29" i="108"/>
  <c r="AF29" i="108" s="1"/>
  <c r="V29" i="108"/>
  <c r="X29" i="108" s="1"/>
  <c r="N29" i="108"/>
  <c r="P29" i="108" s="1"/>
  <c r="F29" i="108"/>
  <c r="H29" i="108" s="1"/>
  <c r="CP28" i="108"/>
  <c r="CR28" i="108" s="1"/>
  <c r="CH28" i="108"/>
  <c r="CJ28" i="108" s="1"/>
  <c r="BZ28" i="108"/>
  <c r="CB28" i="108" s="1"/>
  <c r="BR28" i="108"/>
  <c r="BT28" i="108" s="1"/>
  <c r="BJ28" i="108"/>
  <c r="BL28" i="108" s="1"/>
  <c r="BB28" i="108"/>
  <c r="BD28" i="108" s="1"/>
  <c r="AT28" i="108"/>
  <c r="AV28" i="108" s="1"/>
  <c r="AL28" i="108"/>
  <c r="AN28" i="108" s="1"/>
  <c r="AD28" i="108"/>
  <c r="AF28" i="108" s="1"/>
  <c r="V28" i="108"/>
  <c r="X28" i="108" s="1"/>
  <c r="P28" i="108"/>
  <c r="N28" i="108"/>
  <c r="H28" i="108"/>
  <c r="F28" i="108"/>
  <c r="CP27" i="108"/>
  <c r="CR27" i="108" s="1"/>
  <c r="CH27" i="108"/>
  <c r="CJ27" i="108" s="1"/>
  <c r="BZ27" i="108"/>
  <c r="CB27" i="108" s="1"/>
  <c r="BR27" i="108"/>
  <c r="BR7" i="108" s="1"/>
  <c r="BT7" i="108" s="1"/>
  <c r="BJ27" i="108"/>
  <c r="BJ7" i="108" s="1"/>
  <c r="BL7" i="108" s="1"/>
  <c r="BB27" i="108"/>
  <c r="BD27" i="108" s="1"/>
  <c r="AT27" i="108"/>
  <c r="AV27" i="108" s="1"/>
  <c r="AL27" i="108"/>
  <c r="AN27" i="108" s="1"/>
  <c r="AD27" i="108"/>
  <c r="AF27" i="108" s="1"/>
  <c r="V27" i="108"/>
  <c r="V7" i="108" s="1"/>
  <c r="X7" i="108" s="1"/>
  <c r="N27" i="108"/>
  <c r="P27" i="108" s="1"/>
  <c r="F27" i="108"/>
  <c r="H27" i="108" s="1"/>
  <c r="CP26" i="108"/>
  <c r="CR26" i="108" s="1"/>
  <c r="CH26" i="108"/>
  <c r="CJ26" i="108" s="1"/>
  <c r="BZ26" i="108"/>
  <c r="CB26" i="108" s="1"/>
  <c r="BR26" i="108"/>
  <c r="BT26" i="108" s="1"/>
  <c r="BJ26" i="108"/>
  <c r="BL26" i="108" s="1"/>
  <c r="BB26" i="108"/>
  <c r="BD26" i="108" s="1"/>
  <c r="AT26" i="108"/>
  <c r="AV26" i="108" s="1"/>
  <c r="AL26" i="108"/>
  <c r="AN26" i="108" s="1"/>
  <c r="AD26" i="108"/>
  <c r="AF26" i="108" s="1"/>
  <c r="X26" i="108"/>
  <c r="V26" i="108"/>
  <c r="N26" i="108"/>
  <c r="P26" i="108" s="1"/>
  <c r="F26" i="108"/>
  <c r="H26" i="108" s="1"/>
  <c r="CR25" i="108"/>
  <c r="CJ25" i="108"/>
  <c r="CB25" i="108"/>
  <c r="BT25" i="108"/>
  <c r="BL25" i="108"/>
  <c r="BD25" i="108"/>
  <c r="AV25" i="108"/>
  <c r="AN25" i="108"/>
  <c r="AF25" i="108"/>
  <c r="X25" i="108"/>
  <c r="P25" i="108"/>
  <c r="H25" i="108"/>
  <c r="CR24" i="108"/>
  <c r="CJ24" i="108"/>
  <c r="CB24" i="108"/>
  <c r="BT24" i="108"/>
  <c r="BL24" i="108"/>
  <c r="BD24" i="108"/>
  <c r="AV24" i="108"/>
  <c r="AN24" i="108"/>
  <c r="AF24" i="108"/>
  <c r="X24" i="108"/>
  <c r="P24" i="108"/>
  <c r="H24" i="108"/>
  <c r="CR23" i="108"/>
  <c r="CJ23" i="108"/>
  <c r="CB23" i="108"/>
  <c r="BT23" i="108"/>
  <c r="BL23" i="108"/>
  <c r="BD23" i="108"/>
  <c r="AV23" i="108"/>
  <c r="AN23" i="108"/>
  <c r="AF23" i="108"/>
  <c r="X23" i="108"/>
  <c r="P23" i="108"/>
  <c r="H23" i="108"/>
  <c r="CU23" i="108" s="1"/>
  <c r="CR21" i="108"/>
  <c r="CJ21" i="108"/>
  <c r="CB21" i="108"/>
  <c r="BT21" i="108"/>
  <c r="BL21" i="108"/>
  <c r="BD21" i="108"/>
  <c r="AV21" i="108"/>
  <c r="AN21" i="108"/>
  <c r="AF21" i="108"/>
  <c r="X21" i="108"/>
  <c r="P21" i="108"/>
  <c r="H21" i="108"/>
  <c r="CR20" i="108"/>
  <c r="CJ20" i="108"/>
  <c r="CB20" i="108"/>
  <c r="BT20" i="108"/>
  <c r="BL20" i="108"/>
  <c r="BD20" i="108"/>
  <c r="AV20" i="108"/>
  <c r="AN20" i="108"/>
  <c r="AF20" i="108"/>
  <c r="X20" i="108"/>
  <c r="P20" i="108"/>
  <c r="H20" i="108"/>
  <c r="CR19" i="108"/>
  <c r="CJ19" i="108"/>
  <c r="CB19" i="108"/>
  <c r="BT19" i="108"/>
  <c r="BL19" i="108"/>
  <c r="BD19" i="108"/>
  <c r="AV19" i="108"/>
  <c r="AN19" i="108"/>
  <c r="AF19" i="108"/>
  <c r="X19" i="108"/>
  <c r="CR18" i="108"/>
  <c r="CJ18" i="108"/>
  <c r="CB18" i="108"/>
  <c r="BT18" i="108"/>
  <c r="BL18" i="108"/>
  <c r="BD18" i="108"/>
  <c r="AV18" i="108"/>
  <c r="AN18" i="108"/>
  <c r="AF18" i="108"/>
  <c r="X18" i="108"/>
  <c r="P18" i="108"/>
  <c r="H18" i="108"/>
  <c r="CR17" i="108"/>
  <c r="CJ17" i="108"/>
  <c r="CB17" i="108"/>
  <c r="BT17" i="108"/>
  <c r="BL17" i="108"/>
  <c r="BD17" i="108"/>
  <c r="AV17" i="108"/>
  <c r="AN17" i="108"/>
  <c r="AF17" i="108"/>
  <c r="X17" i="108"/>
  <c r="P17" i="108"/>
  <c r="H17" i="108"/>
  <c r="CR15" i="108"/>
  <c r="CJ15" i="108"/>
  <c r="CB15" i="108"/>
  <c r="BT15" i="108"/>
  <c r="BL15" i="108"/>
  <c r="BD15" i="108"/>
  <c r="AV15" i="108"/>
  <c r="AN15" i="108"/>
  <c r="AF15" i="108"/>
  <c r="X15" i="108"/>
  <c r="P15" i="108"/>
  <c r="H15" i="108"/>
  <c r="CR14" i="108"/>
  <c r="CJ14" i="108"/>
  <c r="CB14" i="108"/>
  <c r="BT14" i="108"/>
  <c r="BL14" i="108"/>
  <c r="BD14" i="108"/>
  <c r="AV14" i="108"/>
  <c r="AN14" i="108"/>
  <c r="AF14" i="108"/>
  <c r="X14" i="108"/>
  <c r="P14" i="108"/>
  <c r="H14" i="108"/>
  <c r="CR13" i="108"/>
  <c r="CJ13" i="108"/>
  <c r="CB13" i="108"/>
  <c r="BT13" i="108"/>
  <c r="BL13" i="108"/>
  <c r="BD13" i="108"/>
  <c r="AV13" i="108"/>
  <c r="AN13" i="108"/>
  <c r="AF13" i="108"/>
  <c r="X13" i="108"/>
  <c r="P13" i="108"/>
  <c r="H13" i="108"/>
  <c r="CR12" i="108"/>
  <c r="CJ12" i="108"/>
  <c r="CB12" i="108"/>
  <c r="BT12" i="108"/>
  <c r="BL12" i="108"/>
  <c r="BD12" i="108"/>
  <c r="AV12" i="108"/>
  <c r="AN12" i="108"/>
  <c r="AF12" i="108"/>
  <c r="X12" i="108"/>
  <c r="P12" i="108"/>
  <c r="H12" i="108"/>
  <c r="CR11" i="108"/>
  <c r="CJ11" i="108"/>
  <c r="CB11" i="108"/>
  <c r="BT11" i="108"/>
  <c r="BL11" i="108"/>
  <c r="BD11" i="108"/>
  <c r="AV11" i="108"/>
  <c r="AN11" i="108"/>
  <c r="AF11" i="108"/>
  <c r="X11" i="108"/>
  <c r="P11" i="108"/>
  <c r="H11" i="108"/>
  <c r="CU11" i="108" s="1"/>
  <c r="CR10" i="108"/>
  <c r="CJ10" i="108"/>
  <c r="CB10" i="108"/>
  <c r="BT10" i="108"/>
  <c r="BL10" i="108"/>
  <c r="BD10" i="108"/>
  <c r="AV10" i="108"/>
  <c r="AN10" i="108"/>
  <c r="AF10" i="108"/>
  <c r="X10" i="108"/>
  <c r="P10" i="108"/>
  <c r="H10" i="108"/>
  <c r="CP7" i="108"/>
  <c r="CR7" i="108" s="1"/>
  <c r="CH7" i="108"/>
  <c r="CJ7" i="108" s="1"/>
  <c r="BZ7" i="108"/>
  <c r="CB7" i="108" s="1"/>
  <c r="CR6" i="108"/>
  <c r="CJ6" i="108"/>
  <c r="CB6" i="108"/>
  <c r="BT6" i="108"/>
  <c r="BL6" i="108"/>
  <c r="BD6" i="108"/>
  <c r="AV6" i="108"/>
  <c r="AN6" i="108"/>
  <c r="AF6" i="108"/>
  <c r="X6" i="108"/>
  <c r="P6" i="108"/>
  <c r="H6" i="108"/>
  <c r="CR5" i="108"/>
  <c r="CU5" i="108" s="1"/>
  <c r="CJ5" i="108"/>
  <c r="CB5" i="108"/>
  <c r="BT5" i="108"/>
  <c r="BL5" i="108"/>
  <c r="BD5" i="108"/>
  <c r="AV5" i="108"/>
  <c r="AN5" i="108"/>
  <c r="AF5" i="108"/>
  <c r="X5" i="108"/>
  <c r="P5" i="108"/>
  <c r="H5" i="108"/>
  <c r="CR4" i="108"/>
  <c r="CJ4" i="108"/>
  <c r="CB4" i="108"/>
  <c r="BT4" i="108"/>
  <c r="BL4" i="108"/>
  <c r="BD4" i="108"/>
  <c r="AV4" i="108"/>
  <c r="AN4" i="108"/>
  <c r="AF4" i="108"/>
  <c r="X4" i="108"/>
  <c r="P4" i="108"/>
  <c r="H4" i="108"/>
  <c r="CR2" i="108"/>
  <c r="CJ2" i="108"/>
  <c r="CB2" i="108"/>
  <c r="BT2" i="108"/>
  <c r="BL2" i="108"/>
  <c r="BD2" i="108"/>
  <c r="AV2" i="108"/>
  <c r="AN2" i="108"/>
  <c r="AF2" i="108"/>
  <c r="X2" i="108"/>
  <c r="P2" i="108"/>
  <c r="H2" i="108"/>
  <c r="G206" i="107"/>
  <c r="G205" i="107"/>
  <c r="G204" i="107"/>
  <c r="G203" i="107"/>
  <c r="G202" i="107"/>
  <c r="G201" i="107"/>
  <c r="G200" i="107"/>
  <c r="G197" i="107"/>
  <c r="G196" i="107"/>
  <c r="G195" i="107"/>
  <c r="G194" i="107"/>
  <c r="G193" i="107"/>
  <c r="G192" i="107"/>
  <c r="G191" i="107"/>
  <c r="G190" i="107"/>
  <c r="G189" i="107"/>
  <c r="G188" i="107"/>
  <c r="G187" i="107"/>
  <c r="G184" i="107"/>
  <c r="G183" i="107"/>
  <c r="G182" i="107"/>
  <c r="G181" i="107"/>
  <c r="G180" i="107"/>
  <c r="G177" i="107"/>
  <c r="G176" i="107"/>
  <c r="G175" i="107"/>
  <c r="G174" i="107"/>
  <c r="G173" i="107"/>
  <c r="G172" i="107"/>
  <c r="G171" i="107"/>
  <c r="G170" i="107"/>
  <c r="G169" i="107"/>
  <c r="CU2" i="108" l="1"/>
  <c r="CU24" i="108"/>
  <c r="CU33" i="108"/>
  <c r="CU6" i="108"/>
  <c r="CU38" i="108"/>
  <c r="CU45" i="108"/>
  <c r="CU21" i="108"/>
  <c r="CU34" i="108"/>
  <c r="N7" i="108"/>
  <c r="P7" i="108" s="1"/>
  <c r="X27" i="108"/>
  <c r="CU44" i="108"/>
  <c r="CU30" i="108"/>
  <c r="CU10" i="108"/>
  <c r="CU43" i="108"/>
  <c r="CU12" i="108"/>
  <c r="CU15" i="108"/>
  <c r="CU25" i="108"/>
  <c r="CU13" i="108"/>
  <c r="CU36" i="108"/>
  <c r="AD7" i="108"/>
  <c r="AF7" i="108" s="1"/>
  <c r="CU41" i="108"/>
  <c r="AL7" i="108"/>
  <c r="AN7" i="108" s="1"/>
  <c r="CU17" i="108"/>
  <c r="CU19" i="108"/>
  <c r="CU14" i="108"/>
  <c r="CU18" i="108"/>
  <c r="CU20" i="108"/>
  <c r="CU29" i="108"/>
  <c r="CU4" i="108"/>
  <c r="CU31" i="108"/>
  <c r="AT7" i="108"/>
  <c r="AV7" i="108" s="1"/>
  <c r="E47" i="115"/>
  <c r="C47" i="115" s="1"/>
  <c r="P46" i="20"/>
  <c r="I192" i="14"/>
  <c r="I193" i="14" s="1"/>
  <c r="B192" i="14"/>
  <c r="C62" i="20" s="1"/>
  <c r="C47" i="20"/>
  <c r="J47" i="20" s="1"/>
  <c r="L9" i="14"/>
  <c r="M158" i="14"/>
  <c r="M157" i="14"/>
  <c r="H9" i="14"/>
  <c r="I158" i="14"/>
  <c r="I157" i="14"/>
  <c r="N9" i="14"/>
  <c r="O158" i="14"/>
  <c r="O157" i="14"/>
  <c r="P9" i="14"/>
  <c r="Q157" i="14"/>
  <c r="Q158" i="14"/>
  <c r="R9" i="14"/>
  <c r="S158" i="14"/>
  <c r="S157" i="14"/>
  <c r="S53" i="63"/>
  <c r="S55" i="63" s="1"/>
  <c r="S57" i="63" s="1"/>
  <c r="CU28" i="108"/>
  <c r="CU26" i="108"/>
  <c r="BL27" i="108"/>
  <c r="BT27" i="108"/>
  <c r="BB7" i="108"/>
  <c r="BD7" i="108" s="1"/>
  <c r="F7" i="108"/>
  <c r="H7" i="108" s="1"/>
  <c r="CU7" i="108" l="1"/>
  <c r="CU27" i="108"/>
  <c r="E47" i="20"/>
  <c r="D47" i="20"/>
  <c r="F47" i="20"/>
  <c r="E62" i="20"/>
  <c r="D62" i="20"/>
  <c r="G47" i="20"/>
  <c r="L47" i="20"/>
  <c r="L62" i="20"/>
  <c r="J62" i="20"/>
  <c r="F62" i="20"/>
  <c r="G62" i="20"/>
  <c r="S56" i="63"/>
  <c r="S51" i="36"/>
  <c r="Q51" i="36"/>
  <c r="O51" i="36"/>
  <c r="M51" i="36"/>
  <c r="K51" i="36"/>
  <c r="S51" i="15"/>
  <c r="Q51" i="15"/>
  <c r="Q53" i="15" s="1"/>
  <c r="O51" i="15"/>
  <c r="O53" i="15" s="1"/>
  <c r="O55" i="15" s="1"/>
  <c r="M51" i="15"/>
  <c r="K51" i="15"/>
  <c r="K53" i="15" s="1"/>
  <c r="S61" i="31"/>
  <c r="S54" i="31"/>
  <c r="Q61" i="31"/>
  <c r="Q54" i="31"/>
  <c r="Q56" i="31" s="1"/>
  <c r="O61" i="31"/>
  <c r="O54" i="31"/>
  <c r="O56" i="31" s="1"/>
  <c r="M61" i="31"/>
  <c r="M54" i="31"/>
  <c r="K61" i="31"/>
  <c r="K54" i="31"/>
  <c r="K56" i="31" s="1"/>
  <c r="S52" i="102"/>
  <c r="Q52" i="102"/>
  <c r="K52" i="102"/>
  <c r="K54" i="102" s="1"/>
  <c r="O52" i="102"/>
  <c r="M52" i="102"/>
  <c r="S61" i="101"/>
  <c r="M61" i="101"/>
  <c r="K61" i="101"/>
  <c r="S53" i="100"/>
  <c r="Q53" i="100"/>
  <c r="K53" i="100"/>
  <c r="K55" i="100" s="1"/>
  <c r="O53" i="100"/>
  <c r="O62" i="100" s="1"/>
  <c r="I53" i="100"/>
  <c r="I62" i="100" s="1"/>
  <c r="S51" i="99"/>
  <c r="Q51" i="99"/>
  <c r="O51" i="99"/>
  <c r="M51" i="99"/>
  <c r="K51" i="99"/>
  <c r="K53" i="99" s="1"/>
  <c r="S58" i="98"/>
  <c r="S51" i="98"/>
  <c r="Q58" i="98"/>
  <c r="Q51" i="98"/>
  <c r="Q53" i="98" s="1"/>
  <c r="O58" i="98"/>
  <c r="O51" i="98"/>
  <c r="M58" i="98"/>
  <c r="M51" i="98"/>
  <c r="M53" i="98" s="1"/>
  <c r="K58" i="98"/>
  <c r="K51" i="98"/>
  <c r="S52" i="97"/>
  <c r="Q52" i="97"/>
  <c r="Q54" i="97" s="1"/>
  <c r="O52" i="97"/>
  <c r="M52" i="97"/>
  <c r="M54" i="97" s="1"/>
  <c r="K52" i="97"/>
  <c r="S32" i="96"/>
  <c r="S34" i="96" s="1"/>
  <c r="I32" i="96"/>
  <c r="Q32" i="96"/>
  <c r="O32" i="96"/>
  <c r="O34" i="96" s="1"/>
  <c r="M32" i="96"/>
  <c r="Y102" i="17"/>
  <c r="W102" i="17"/>
  <c r="S102" i="17"/>
  <c r="K102" i="17"/>
  <c r="J9" i="17" s="1"/>
  <c r="S109" i="13"/>
  <c r="Q107" i="13"/>
  <c r="I107" i="13"/>
  <c r="I109" i="13" s="1"/>
  <c r="M107" i="13"/>
  <c r="M109" i="13" s="1"/>
  <c r="Q106" i="95"/>
  <c r="U48" i="46"/>
  <c r="S48" i="46"/>
  <c r="S50" i="46" s="1"/>
  <c r="Q48" i="46"/>
  <c r="O48" i="46"/>
  <c r="O50" i="46" s="1"/>
  <c r="K48" i="46"/>
  <c r="K50" i="46" s="1"/>
  <c r="S62" i="35"/>
  <c r="Q62" i="35"/>
  <c r="S54" i="90"/>
  <c r="Q54" i="90"/>
  <c r="Q56" i="90" s="1"/>
  <c r="O54" i="90"/>
  <c r="M54" i="90"/>
  <c r="M56" i="90" s="1"/>
  <c r="K54" i="90"/>
  <c r="S81" i="93"/>
  <c r="S83" i="93" s="1"/>
  <c r="S85" i="93" s="1"/>
  <c r="Q81" i="93"/>
  <c r="O81" i="93"/>
  <c r="I81" i="93"/>
  <c r="M81" i="93"/>
  <c r="S48" i="92"/>
  <c r="S50" i="92" s="1"/>
  <c r="Q48" i="92"/>
  <c r="O48" i="92"/>
  <c r="M48" i="92"/>
  <c r="M50" i="92" s="1"/>
  <c r="K48" i="92"/>
  <c r="K50" i="92" s="1"/>
  <c r="AA53" i="91"/>
  <c r="AA55" i="91" s="1"/>
  <c r="S50" i="84"/>
  <c r="S52" i="84" s="1"/>
  <c r="Q50" i="84"/>
  <c r="O50" i="84"/>
  <c r="M50" i="84"/>
  <c r="M52" i="84" s="1"/>
  <c r="M54" i="84" s="1"/>
  <c r="K50" i="84"/>
  <c r="S47" i="85"/>
  <c r="Q47" i="85"/>
  <c r="O47" i="85"/>
  <c r="M47" i="85"/>
  <c r="M49" i="85" s="1"/>
  <c r="K47" i="85"/>
  <c r="K49" i="85" s="1"/>
  <c r="K51" i="85" s="1"/>
  <c r="S29" i="78"/>
  <c r="Q29" i="78"/>
  <c r="O29" i="78"/>
  <c r="M29" i="78"/>
  <c r="M31" i="78" s="1"/>
  <c r="K29" i="78"/>
  <c r="S66" i="79"/>
  <c r="Q66" i="79"/>
  <c r="Q68" i="79" s="1"/>
  <c r="Q70" i="79" s="1"/>
  <c r="O66" i="79"/>
  <c r="O68" i="79" s="1"/>
  <c r="M66" i="79"/>
  <c r="K66" i="79"/>
  <c r="O66" i="82"/>
  <c r="O68" i="82" s="1"/>
  <c r="M66" i="82"/>
  <c r="M68" i="82" s="1"/>
  <c r="K66" i="82"/>
  <c r="S48" i="81"/>
  <c r="Q48" i="81"/>
  <c r="O48" i="81"/>
  <c r="M48" i="81"/>
  <c r="S28" i="41"/>
  <c r="S30" i="41" s="1"/>
  <c r="Q28" i="41"/>
  <c r="O28" i="41"/>
  <c r="M28" i="41"/>
  <c r="M30" i="41" s="1"/>
  <c r="K28" i="41"/>
  <c r="Q56" i="29"/>
  <c r="S51" i="67"/>
  <c r="S53" i="67" s="1"/>
  <c r="Q51" i="67"/>
  <c r="O51" i="67"/>
  <c r="M51" i="67"/>
  <c r="M53" i="67" s="1"/>
  <c r="K51" i="67"/>
  <c r="P62" i="20" l="1"/>
  <c r="E11" i="115"/>
  <c r="Q72" i="79"/>
  <c r="Q71" i="79"/>
  <c r="K52" i="85"/>
  <c r="K53" i="85"/>
  <c r="Q21" i="115"/>
  <c r="P47" i="20"/>
  <c r="M56" i="84"/>
  <c r="M55" i="84"/>
  <c r="O57" i="15"/>
  <c r="O56" i="15"/>
  <c r="R9" i="93"/>
  <c r="S87" i="93"/>
  <c r="S86" i="93"/>
  <c r="O36" i="96"/>
  <c r="K31" i="78"/>
  <c r="K33" i="78" s="1"/>
  <c r="K30" i="41"/>
  <c r="K32" i="41" s="1"/>
  <c r="J9" i="41" s="1"/>
  <c r="O30" i="41"/>
  <c r="O32" i="41" s="1"/>
  <c r="N9" i="41" s="1"/>
  <c r="K52" i="84"/>
  <c r="K54" i="84" s="1"/>
  <c r="AA57" i="91"/>
  <c r="AA58" i="91" s="1"/>
  <c r="S52" i="92"/>
  <c r="K52" i="92"/>
  <c r="Q83" i="93"/>
  <c r="Q85" i="93" s="1"/>
  <c r="M83" i="93"/>
  <c r="M85" i="93" s="1"/>
  <c r="K56" i="90"/>
  <c r="K58" i="90" s="1"/>
  <c r="O56" i="90"/>
  <c r="O58" i="90" s="1"/>
  <c r="Q58" i="90"/>
  <c r="S53" i="36"/>
  <c r="S55" i="36" s="1"/>
  <c r="Q53" i="36"/>
  <c r="Q55" i="36" s="1"/>
  <c r="O53" i="36"/>
  <c r="O55" i="36" s="1"/>
  <c r="M53" i="36"/>
  <c r="M55" i="36" s="1"/>
  <c r="K53" i="36"/>
  <c r="K55" i="36" s="1"/>
  <c r="S53" i="15"/>
  <c r="S55" i="15" s="1"/>
  <c r="Q55" i="15"/>
  <c r="M53" i="15"/>
  <c r="M55" i="15" s="1"/>
  <c r="K55" i="15"/>
  <c r="S56" i="31"/>
  <c r="S58" i="31" s="1"/>
  <c r="Q58" i="31"/>
  <c r="O58" i="31"/>
  <c r="M56" i="31"/>
  <c r="M58" i="31" s="1"/>
  <c r="K58" i="31"/>
  <c r="S54" i="102"/>
  <c r="S56" i="102" s="1"/>
  <c r="Q54" i="102"/>
  <c r="Q56" i="102" s="1"/>
  <c r="K56" i="102"/>
  <c r="O54" i="102"/>
  <c r="O56" i="102" s="1"/>
  <c r="M54" i="102"/>
  <c r="M56" i="102" s="1"/>
  <c r="S63" i="101"/>
  <c r="Q61" i="101"/>
  <c r="Q63" i="101" s="1"/>
  <c r="O61" i="101"/>
  <c r="O63" i="101" s="1"/>
  <c r="M63" i="101"/>
  <c r="K63" i="101"/>
  <c r="S55" i="100"/>
  <c r="S57" i="100" s="1"/>
  <c r="Q55" i="100"/>
  <c r="Q57" i="100" s="1"/>
  <c r="P9" i="100" s="1"/>
  <c r="K57" i="100"/>
  <c r="O55" i="100"/>
  <c r="O57" i="100" s="1"/>
  <c r="I55" i="100"/>
  <c r="I57" i="100" s="1"/>
  <c r="B93" i="100" s="1"/>
  <c r="S53" i="99"/>
  <c r="S55" i="99" s="1"/>
  <c r="Q53" i="99"/>
  <c r="Q55" i="99" s="1"/>
  <c r="O53" i="99"/>
  <c r="O55" i="99" s="1"/>
  <c r="M53" i="99"/>
  <c r="M55" i="99" s="1"/>
  <c r="K55" i="99"/>
  <c r="S53" i="98"/>
  <c r="S55" i="98" s="1"/>
  <c r="Q55" i="98"/>
  <c r="O53" i="98"/>
  <c r="O55" i="98" s="1"/>
  <c r="M55" i="98"/>
  <c r="K53" i="98"/>
  <c r="K55" i="98" s="1"/>
  <c r="S54" i="97"/>
  <c r="S56" i="97" s="1"/>
  <c r="Q56" i="97"/>
  <c r="O54" i="97"/>
  <c r="O56" i="97" s="1"/>
  <c r="M56" i="97"/>
  <c r="K54" i="97"/>
  <c r="K56" i="97" s="1"/>
  <c r="S36" i="96"/>
  <c r="I34" i="96"/>
  <c r="I36" i="96" s="1"/>
  <c r="Q34" i="96"/>
  <c r="Q36" i="96" s="1"/>
  <c r="M34" i="96"/>
  <c r="M36" i="96" s="1"/>
  <c r="Y104" i="17"/>
  <c r="Y106" i="17" s="1"/>
  <c r="W104" i="17"/>
  <c r="W106" i="17" s="1"/>
  <c r="S104" i="17"/>
  <c r="S106" i="17" s="1"/>
  <c r="M104" i="17"/>
  <c r="M106" i="17" s="1"/>
  <c r="K104" i="17"/>
  <c r="K106" i="17" s="1"/>
  <c r="S111" i="13"/>
  <c r="R9" i="13" s="1"/>
  <c r="S3" i="13" s="1"/>
  <c r="Q109" i="13"/>
  <c r="Q111" i="13" s="1"/>
  <c r="P9" i="13" s="1"/>
  <c r="I111" i="13"/>
  <c r="H9" i="13" s="1"/>
  <c r="M111" i="13"/>
  <c r="S106" i="95"/>
  <c r="S108" i="95" s="1"/>
  <c r="Q108" i="95"/>
  <c r="M106" i="95"/>
  <c r="M108" i="95" s="1"/>
  <c r="L9" i="95" s="1"/>
  <c r="U50" i="46"/>
  <c r="U52" i="46" s="1"/>
  <c r="T9" i="46" s="1"/>
  <c r="S52" i="46"/>
  <c r="R9" i="46" s="1"/>
  <c r="Q50" i="46"/>
  <c r="Q52" i="46" s="1"/>
  <c r="P9" i="46" s="1"/>
  <c r="O52" i="46"/>
  <c r="N9" i="46" s="1"/>
  <c r="K52" i="46"/>
  <c r="J9" i="46" s="1"/>
  <c r="S64" i="35"/>
  <c r="S66" i="35" s="1"/>
  <c r="Q64" i="35"/>
  <c r="Q66" i="35" s="1"/>
  <c r="S56" i="90"/>
  <c r="S58" i="90" s="1"/>
  <c r="M58" i="90"/>
  <c r="O83" i="93"/>
  <c r="O85" i="93" s="1"/>
  <c r="I83" i="93"/>
  <c r="I85" i="93" s="1"/>
  <c r="B121" i="93" s="1"/>
  <c r="Q50" i="92"/>
  <c r="Q52" i="92" s="1"/>
  <c r="O50" i="92"/>
  <c r="O52" i="92" s="1"/>
  <c r="M52" i="92"/>
  <c r="S54" i="84"/>
  <c r="Q52" i="84"/>
  <c r="Q54" i="84" s="1"/>
  <c r="O52" i="84"/>
  <c r="O54" i="84" s="1"/>
  <c r="S49" i="85"/>
  <c r="S51" i="85" s="1"/>
  <c r="Q49" i="85"/>
  <c r="Q51" i="85" s="1"/>
  <c r="O49" i="85"/>
  <c r="O51" i="85" s="1"/>
  <c r="M51" i="85"/>
  <c r="S31" i="78"/>
  <c r="S33" i="78" s="1"/>
  <c r="Q31" i="78"/>
  <c r="Q33" i="78" s="1"/>
  <c r="O31" i="78"/>
  <c r="O33" i="78" s="1"/>
  <c r="M33" i="78"/>
  <c r="S68" i="79"/>
  <c r="S70" i="79" s="1"/>
  <c r="O70" i="79"/>
  <c r="M68" i="79"/>
  <c r="M70" i="79" s="1"/>
  <c r="K68" i="79"/>
  <c r="K70" i="79" s="1"/>
  <c r="O70" i="82"/>
  <c r="M70" i="82"/>
  <c r="K68" i="82"/>
  <c r="K70" i="82" s="1"/>
  <c r="S50" i="81"/>
  <c r="S52" i="81" s="1"/>
  <c r="Q50" i="81"/>
  <c r="Q52" i="81" s="1"/>
  <c r="O50" i="81"/>
  <c r="O52" i="81" s="1"/>
  <c r="M50" i="81"/>
  <c r="M52" i="81" s="1"/>
  <c r="S32" i="41"/>
  <c r="R9" i="41" s="1"/>
  <c r="Q30" i="41"/>
  <c r="Q32" i="41" s="1"/>
  <c r="P9" i="41" s="1"/>
  <c r="M32" i="41"/>
  <c r="L9" i="41" s="1"/>
  <c r="S56" i="29"/>
  <c r="S58" i="29" s="1"/>
  <c r="Q58" i="29"/>
  <c r="O56" i="29"/>
  <c r="O58" i="29" s="1"/>
  <c r="M56" i="29"/>
  <c r="M58" i="29" s="1"/>
  <c r="I56" i="29"/>
  <c r="I58" i="29" s="1"/>
  <c r="B94" i="29" s="1"/>
  <c r="C32" i="20" s="1"/>
  <c r="S55" i="67"/>
  <c r="Q53" i="67"/>
  <c r="Q55" i="67" s="1"/>
  <c r="O53" i="67"/>
  <c r="O55" i="67" s="1"/>
  <c r="M55" i="67"/>
  <c r="K53" i="67"/>
  <c r="K55" i="67" s="1"/>
  <c r="H11" i="115" l="1"/>
  <c r="J10" i="115"/>
  <c r="M52" i="85"/>
  <c r="M53" i="85"/>
  <c r="O52" i="85"/>
  <c r="O53" i="85"/>
  <c r="K59" i="90"/>
  <c r="K60" i="90"/>
  <c r="O60" i="90"/>
  <c r="O59" i="90"/>
  <c r="S53" i="85"/>
  <c r="S52" i="85"/>
  <c r="K71" i="82"/>
  <c r="K72" i="82"/>
  <c r="S54" i="92"/>
  <c r="S53" i="92"/>
  <c r="Q59" i="90"/>
  <c r="Q60" i="90"/>
  <c r="K53" i="92"/>
  <c r="K54" i="92"/>
  <c r="Q54" i="92"/>
  <c r="Q53" i="92"/>
  <c r="M60" i="90"/>
  <c r="M59" i="90"/>
  <c r="Q52" i="85"/>
  <c r="Q53" i="85"/>
  <c r="O53" i="92"/>
  <c r="O54" i="92"/>
  <c r="M72" i="82"/>
  <c r="M71" i="82"/>
  <c r="O72" i="82"/>
  <c r="O71" i="82"/>
  <c r="K72" i="79"/>
  <c r="K71" i="79"/>
  <c r="M72" i="79"/>
  <c r="M71" i="79"/>
  <c r="M54" i="92"/>
  <c r="M53" i="92"/>
  <c r="S60" i="90"/>
  <c r="S59" i="90"/>
  <c r="O72" i="79"/>
  <c r="O71" i="79"/>
  <c r="S71" i="79"/>
  <c r="S72" i="79"/>
  <c r="E32" i="20"/>
  <c r="D32" i="20"/>
  <c r="L32" i="20"/>
  <c r="J32" i="20"/>
  <c r="F32" i="20"/>
  <c r="G32" i="20"/>
  <c r="L9" i="36"/>
  <c r="M57" i="36"/>
  <c r="M56" i="36"/>
  <c r="N9" i="36"/>
  <c r="O57" i="36"/>
  <c r="O56" i="36"/>
  <c r="P9" i="36"/>
  <c r="Q57" i="36"/>
  <c r="Q56" i="36"/>
  <c r="J9" i="36"/>
  <c r="K57" i="36"/>
  <c r="K56" i="36"/>
  <c r="R9" i="36"/>
  <c r="S57" i="36"/>
  <c r="S56" i="36"/>
  <c r="M58" i="102"/>
  <c r="M57" i="102"/>
  <c r="Q58" i="102"/>
  <c r="Q57" i="102"/>
  <c r="K58" i="102"/>
  <c r="K57" i="102"/>
  <c r="O58" i="102"/>
  <c r="O57" i="102"/>
  <c r="S58" i="102"/>
  <c r="S57" i="102"/>
  <c r="M64" i="101"/>
  <c r="M65" i="101"/>
  <c r="O65" i="101"/>
  <c r="O64" i="101"/>
  <c r="S65" i="101"/>
  <c r="S64" i="101"/>
  <c r="K64" i="101"/>
  <c r="K65" i="101"/>
  <c r="Q65" i="101"/>
  <c r="Q64" i="101"/>
  <c r="K59" i="100"/>
  <c r="K58" i="100"/>
  <c r="Q59" i="100"/>
  <c r="Q58" i="100"/>
  <c r="I59" i="100"/>
  <c r="I58" i="100"/>
  <c r="S59" i="100"/>
  <c r="S58" i="100"/>
  <c r="O58" i="100"/>
  <c r="O59" i="100"/>
  <c r="M56" i="99"/>
  <c r="M57" i="99"/>
  <c r="O57" i="99"/>
  <c r="O56" i="99"/>
  <c r="Q57" i="99"/>
  <c r="Q56" i="99"/>
  <c r="S57" i="99"/>
  <c r="S56" i="99"/>
  <c r="O60" i="31"/>
  <c r="O59" i="31"/>
  <c r="Q60" i="31"/>
  <c r="Q59" i="31"/>
  <c r="K60" i="31"/>
  <c r="K59" i="31"/>
  <c r="M59" i="31"/>
  <c r="M60" i="31"/>
  <c r="S60" i="31"/>
  <c r="S59" i="31"/>
  <c r="K57" i="98"/>
  <c r="K56" i="98"/>
  <c r="M56" i="98"/>
  <c r="M57" i="98"/>
  <c r="O57" i="98"/>
  <c r="O56" i="98"/>
  <c r="S56" i="98"/>
  <c r="S57" i="98"/>
  <c r="Q58" i="97"/>
  <c r="Q57" i="97"/>
  <c r="M58" i="97"/>
  <c r="M57" i="97"/>
  <c r="S57" i="97"/>
  <c r="S58" i="97"/>
  <c r="O57" i="97"/>
  <c r="O58" i="97"/>
  <c r="N9" i="96"/>
  <c r="O37" i="96"/>
  <c r="O38" i="96"/>
  <c r="Q38" i="96"/>
  <c r="Q37" i="96"/>
  <c r="L9" i="96"/>
  <c r="M38" i="96"/>
  <c r="M37" i="96"/>
  <c r="S37" i="96"/>
  <c r="S38" i="96"/>
  <c r="I38" i="96"/>
  <c r="I37" i="96"/>
  <c r="Y107" i="17"/>
  <c r="Y108" i="17"/>
  <c r="K108" i="17"/>
  <c r="K107" i="17"/>
  <c r="M107" i="17"/>
  <c r="M108" i="17"/>
  <c r="S108" i="17"/>
  <c r="S107" i="17"/>
  <c r="S67" i="35"/>
  <c r="S68" i="35"/>
  <c r="Q67" i="35"/>
  <c r="Q68" i="35"/>
  <c r="S56" i="84"/>
  <c r="S55" i="84"/>
  <c r="O56" i="84"/>
  <c r="O55" i="84"/>
  <c r="K56" i="84"/>
  <c r="K55" i="84"/>
  <c r="Q55" i="84"/>
  <c r="Q56" i="84"/>
  <c r="M35" i="78"/>
  <c r="M34" i="78"/>
  <c r="O35" i="78"/>
  <c r="O34" i="78"/>
  <c r="Q35" i="78"/>
  <c r="Q34" i="78"/>
  <c r="K34" i="78"/>
  <c r="K35" i="78"/>
  <c r="S34" i="78"/>
  <c r="S35" i="78"/>
  <c r="O33" i="41"/>
  <c r="O34" i="41"/>
  <c r="M34" i="41"/>
  <c r="M33" i="41"/>
  <c r="K33" i="41"/>
  <c r="K34" i="41"/>
  <c r="Q34" i="41"/>
  <c r="Q33" i="41"/>
  <c r="S33" i="41"/>
  <c r="S34" i="41"/>
  <c r="M59" i="29"/>
  <c r="M60" i="29"/>
  <c r="I60" i="29"/>
  <c r="I59" i="29"/>
  <c r="Q60" i="29"/>
  <c r="Q59" i="29"/>
  <c r="O60" i="29"/>
  <c r="O59" i="29"/>
  <c r="S60" i="29"/>
  <c r="S59" i="29"/>
  <c r="M57" i="67"/>
  <c r="M56" i="67"/>
  <c r="K57" i="67"/>
  <c r="K56" i="67"/>
  <c r="Q56" i="67"/>
  <c r="Q57" i="67"/>
  <c r="O56" i="67"/>
  <c r="O57" i="67"/>
  <c r="S57" i="67"/>
  <c r="S56" i="67"/>
  <c r="W108" i="17"/>
  <c r="W107" i="17"/>
  <c r="Q57" i="98"/>
  <c r="Q56" i="98"/>
  <c r="K57" i="99"/>
  <c r="K56" i="99"/>
  <c r="K56" i="15"/>
  <c r="K57" i="15"/>
  <c r="M57" i="15"/>
  <c r="M56" i="15"/>
  <c r="S57" i="15"/>
  <c r="S56" i="15"/>
  <c r="Q57" i="15"/>
  <c r="Q56" i="15"/>
  <c r="Q112" i="13"/>
  <c r="Q113" i="13"/>
  <c r="S113" i="13"/>
  <c r="S112" i="13"/>
  <c r="K54" i="46"/>
  <c r="K53" i="46"/>
  <c r="O54" i="46"/>
  <c r="O53" i="46"/>
  <c r="Q54" i="46"/>
  <c r="Q53" i="46"/>
  <c r="S54" i="46"/>
  <c r="S53" i="46"/>
  <c r="U54" i="46"/>
  <c r="U53" i="46"/>
  <c r="L9" i="93"/>
  <c r="M87" i="93"/>
  <c r="M86" i="93"/>
  <c r="H9" i="93"/>
  <c r="I87" i="93"/>
  <c r="I86" i="93"/>
  <c r="P9" i="93"/>
  <c r="Q87" i="93"/>
  <c r="Q86" i="93"/>
  <c r="N9" i="93"/>
  <c r="O87" i="93"/>
  <c r="O86" i="93"/>
  <c r="M53" i="81"/>
  <c r="M54" i="81"/>
  <c r="O54" i="81"/>
  <c r="O53" i="81"/>
  <c r="S54" i="81"/>
  <c r="S53" i="81"/>
  <c r="Q53" i="81"/>
  <c r="Q54" i="81"/>
  <c r="AA59" i="91"/>
  <c r="S110" i="95"/>
  <c r="S109" i="95"/>
  <c r="M110" i="95"/>
  <c r="M109" i="95"/>
  <c r="Q110" i="95"/>
  <c r="Q109" i="95"/>
  <c r="L9" i="13"/>
  <c r="M113" i="13"/>
  <c r="M112" i="13"/>
  <c r="I113" i="13"/>
  <c r="I112" i="13"/>
  <c r="K58" i="97"/>
  <c r="K57" i="97"/>
  <c r="E30" i="115" l="1"/>
  <c r="C30" i="115" s="1"/>
  <c r="P32" i="20"/>
  <c r="S51" i="64"/>
  <c r="S53" i="64" s="1"/>
  <c r="S58" i="6"/>
  <c r="I58" i="6"/>
  <c r="S62" i="4"/>
  <c r="O62" i="4"/>
  <c r="S52" i="55"/>
  <c r="Q52" i="55"/>
  <c r="S51" i="53"/>
  <c r="Q51" i="53"/>
  <c r="S52" i="54"/>
  <c r="Q52" i="54"/>
  <c r="S84" i="52"/>
  <c r="Q84" i="52"/>
  <c r="Q94" i="3"/>
  <c r="O57" i="27"/>
  <c r="M57" i="27"/>
  <c r="M59" i="27" s="1"/>
  <c r="K57" i="27"/>
  <c r="S57" i="27"/>
  <c r="Q57" i="27"/>
  <c r="I57" i="27"/>
  <c r="I59" i="27" s="1"/>
  <c r="O54" i="10"/>
  <c r="O56" i="10" s="1"/>
  <c r="Q56" i="10"/>
  <c r="S54" i="10"/>
  <c r="W54" i="10"/>
  <c r="M54" i="10"/>
  <c r="I54" i="10"/>
  <c r="S52" i="70"/>
  <c r="S54" i="70" s="1"/>
  <c r="S56" i="70" s="1"/>
  <c r="R9" i="70" s="1"/>
  <c r="K52" i="70"/>
  <c r="I52" i="70"/>
  <c r="I54" i="70" s="1"/>
  <c r="I56" i="70" s="1"/>
  <c r="H9" i="70" s="1"/>
  <c r="B92" i="70" s="1"/>
  <c r="C49" i="20" s="1"/>
  <c r="Q52" i="70"/>
  <c r="O52" i="70"/>
  <c r="M52" i="70"/>
  <c r="E49" i="20" l="1"/>
  <c r="D49" i="20"/>
  <c r="L49" i="20"/>
  <c r="F49" i="20"/>
  <c r="G49" i="20"/>
  <c r="J49" i="20"/>
  <c r="I56" i="10"/>
  <c r="M56" i="10"/>
  <c r="W56" i="10"/>
  <c r="W58" i="10" s="1"/>
  <c r="V9" i="10" s="1"/>
  <c r="S56" i="10"/>
  <c r="S86" i="52"/>
  <c r="S88" i="52" s="1"/>
  <c r="R9" i="52" s="1"/>
  <c r="S58" i="70"/>
  <c r="S57" i="70"/>
  <c r="I58" i="70"/>
  <c r="I57" i="70"/>
  <c r="O59" i="27"/>
  <c r="O61" i="27" s="1"/>
  <c r="N9" i="27" s="1"/>
  <c r="S55" i="64"/>
  <c r="S60" i="6"/>
  <c r="Q58" i="6"/>
  <c r="Q60" i="6" s="1"/>
  <c r="K58" i="6"/>
  <c r="K60" i="6" s="1"/>
  <c r="I60" i="6"/>
  <c r="O58" i="6"/>
  <c r="O60" i="6" s="1"/>
  <c r="Q54" i="55"/>
  <c r="Q56" i="55" s="1"/>
  <c r="S54" i="55"/>
  <c r="S56" i="55" s="1"/>
  <c r="Q53" i="53"/>
  <c r="Q55" i="53" s="1"/>
  <c r="S53" i="53"/>
  <c r="S55" i="53" s="1"/>
  <c r="Q54" i="54"/>
  <c r="Q56" i="54" s="1"/>
  <c r="S54" i="54"/>
  <c r="S56" i="54" s="1"/>
  <c r="Q86" i="52"/>
  <c r="Q88" i="52" s="1"/>
  <c r="O94" i="3"/>
  <c r="O96" i="3" s="1"/>
  <c r="O133" i="3" s="1"/>
  <c r="O134" i="3" s="1"/>
  <c r="U94" i="3"/>
  <c r="U96" i="3" s="1"/>
  <c r="U133" i="3" s="1"/>
  <c r="U134" i="3" s="1"/>
  <c r="Q96" i="3"/>
  <c r="Q133" i="3" s="1"/>
  <c r="Q134" i="3" s="1"/>
  <c r="S59" i="27"/>
  <c r="S61" i="27" s="1"/>
  <c r="R9" i="27" s="1"/>
  <c r="Q59" i="27"/>
  <c r="Q61" i="27" s="1"/>
  <c r="P9" i="27" s="1"/>
  <c r="M61" i="27"/>
  <c r="L9" i="27" s="1"/>
  <c r="K59" i="27"/>
  <c r="K61" i="27" s="1"/>
  <c r="J9" i="27" s="1"/>
  <c r="I61" i="27"/>
  <c r="Q58" i="10"/>
  <c r="P9" i="10" s="1"/>
  <c r="S58" i="10"/>
  <c r="R9" i="10" s="1"/>
  <c r="O58" i="10"/>
  <c r="N9" i="10" s="1"/>
  <c r="I58" i="10"/>
  <c r="H9" i="10" s="1"/>
  <c r="B94" i="10" s="1"/>
  <c r="C34" i="20" s="1"/>
  <c r="M58" i="10"/>
  <c r="L9" i="10" s="1"/>
  <c r="O54" i="70"/>
  <c r="O56" i="70" s="1"/>
  <c r="N9" i="70" s="1"/>
  <c r="K54" i="70"/>
  <c r="K56" i="70" s="1"/>
  <c r="J9" i="70" s="1"/>
  <c r="M54" i="70"/>
  <c r="M56" i="70" s="1"/>
  <c r="L9" i="70" s="1"/>
  <c r="Q54" i="70"/>
  <c r="Q56" i="70" s="1"/>
  <c r="P9" i="70" s="1"/>
  <c r="I51" i="50"/>
  <c r="C18" i="115" l="1"/>
  <c r="P49" i="20"/>
  <c r="E34" i="20"/>
  <c r="D34" i="20"/>
  <c r="L34" i="20"/>
  <c r="J34" i="20"/>
  <c r="G34" i="20"/>
  <c r="F34" i="20"/>
  <c r="H9" i="27"/>
  <c r="B97" i="27"/>
  <c r="C15" i="20" s="1"/>
  <c r="Q57" i="55"/>
  <c r="Q58" i="55"/>
  <c r="S58" i="55"/>
  <c r="S57" i="55"/>
  <c r="Q56" i="53"/>
  <c r="Q57" i="53"/>
  <c r="S57" i="53"/>
  <c r="S56" i="53"/>
  <c r="S58" i="54"/>
  <c r="S57" i="54"/>
  <c r="Q58" i="54"/>
  <c r="Q57" i="54"/>
  <c r="Q90" i="52"/>
  <c r="Q89" i="52"/>
  <c r="S90" i="52"/>
  <c r="S89" i="52"/>
  <c r="P9" i="3"/>
  <c r="Q97" i="3"/>
  <c r="Q98" i="3"/>
  <c r="N9" i="3"/>
  <c r="O98" i="3"/>
  <c r="O97" i="3"/>
  <c r="T9" i="3"/>
  <c r="U98" i="3"/>
  <c r="U97" i="3"/>
  <c r="I63" i="27"/>
  <c r="I62" i="27"/>
  <c r="S57" i="64"/>
  <c r="S56" i="64"/>
  <c r="S62" i="27"/>
  <c r="S63" i="27"/>
  <c r="Q63" i="27"/>
  <c r="Q62" i="27"/>
  <c r="O63" i="27"/>
  <c r="O62" i="27"/>
  <c r="M63" i="27"/>
  <c r="M62" i="27"/>
  <c r="K63" i="27"/>
  <c r="K62" i="27"/>
  <c r="I60" i="10"/>
  <c r="I59" i="10"/>
  <c r="M60" i="10"/>
  <c r="M59" i="10"/>
  <c r="W60" i="10"/>
  <c r="W59" i="10"/>
  <c r="O60" i="10"/>
  <c r="O59" i="10"/>
  <c r="S59" i="10"/>
  <c r="S60" i="10"/>
  <c r="Q60" i="10"/>
  <c r="Q59" i="10"/>
  <c r="Q61" i="6"/>
  <c r="Q62" i="6"/>
  <c r="N9" i="6"/>
  <c r="O62" i="6"/>
  <c r="O61" i="6"/>
  <c r="I62" i="6"/>
  <c r="H9" i="6"/>
  <c r="I61" i="6"/>
  <c r="K61" i="6"/>
  <c r="K62" i="6"/>
  <c r="S62" i="6"/>
  <c r="S61" i="6"/>
  <c r="M58" i="70"/>
  <c r="M57" i="70"/>
  <c r="O58" i="70"/>
  <c r="O57" i="70"/>
  <c r="Q57" i="70"/>
  <c r="Q58" i="70"/>
  <c r="K58" i="70"/>
  <c r="K57" i="70"/>
  <c r="R9" i="55"/>
  <c r="P9" i="55"/>
  <c r="R9" i="53"/>
  <c r="P9" i="53"/>
  <c r="R9" i="54"/>
  <c r="P9" i="54"/>
  <c r="P9" i="52"/>
  <c r="E34" i="115" l="1"/>
  <c r="C34" i="115" s="1"/>
  <c r="P34" i="20"/>
  <c r="L15" i="20"/>
  <c r="E15" i="20"/>
  <c r="I52" i="102"/>
  <c r="I54" i="102" s="1"/>
  <c r="I61" i="101"/>
  <c r="B5" i="101"/>
  <c r="M53" i="100"/>
  <c r="M55" i="100" s="1"/>
  <c r="I51" i="99"/>
  <c r="I53" i="99" s="1"/>
  <c r="I58" i="98"/>
  <c r="I51" i="98"/>
  <c r="I53" i="98" s="1"/>
  <c r="I52" i="97"/>
  <c r="I54" i="97" s="1"/>
  <c r="B5" i="97"/>
  <c r="K32" i="96"/>
  <c r="K34" i="96" s="1"/>
  <c r="B5" i="96"/>
  <c r="I48" i="46"/>
  <c r="I50" i="46" s="1"/>
  <c r="I52" i="46" s="1"/>
  <c r="H9" i="46" s="1"/>
  <c r="B88" i="46" s="1"/>
  <c r="C52" i="20" s="1"/>
  <c r="O62" i="35"/>
  <c r="O64" i="35" s="1"/>
  <c r="O66" i="35" s="1"/>
  <c r="M62" i="35"/>
  <c r="M64" i="35" s="1"/>
  <c r="M66" i="35" s="1"/>
  <c r="K64" i="35"/>
  <c r="K66" i="35" s="1"/>
  <c r="R9" i="35"/>
  <c r="P9" i="35"/>
  <c r="I54" i="90"/>
  <c r="B19" i="90"/>
  <c r="B18" i="90"/>
  <c r="B17" i="90"/>
  <c r="B16" i="90"/>
  <c r="B15" i="90"/>
  <c r="B14" i="90"/>
  <c r="B13" i="90"/>
  <c r="B12" i="90"/>
  <c r="B11" i="90"/>
  <c r="R8" i="90"/>
  <c r="P8" i="90"/>
  <c r="K81" i="93"/>
  <c r="K83" i="93" s="1"/>
  <c r="K85" i="93" s="1"/>
  <c r="I64" i="35" l="1"/>
  <c r="I66" i="35" s="1"/>
  <c r="B102" i="35" s="1"/>
  <c r="C51" i="20" s="1"/>
  <c r="E51" i="20" s="1"/>
  <c r="I71" i="35"/>
  <c r="E8" i="115"/>
  <c r="C8" i="115" s="1"/>
  <c r="P15" i="20"/>
  <c r="E52" i="20"/>
  <c r="D52" i="20"/>
  <c r="L52" i="20"/>
  <c r="J52" i="20"/>
  <c r="F52" i="20"/>
  <c r="G52" i="20"/>
  <c r="K68" i="35"/>
  <c r="K67" i="35"/>
  <c r="M67" i="35"/>
  <c r="M68" i="35"/>
  <c r="O68" i="35"/>
  <c r="O67" i="35"/>
  <c r="J9" i="93"/>
  <c r="C50" i="20" s="1"/>
  <c r="K87" i="93"/>
  <c r="K86" i="93"/>
  <c r="I54" i="46"/>
  <c r="I53" i="46"/>
  <c r="L9" i="102"/>
  <c r="H9" i="100"/>
  <c r="I55" i="99"/>
  <c r="J9" i="97"/>
  <c r="I56" i="102"/>
  <c r="B92" i="102" s="1"/>
  <c r="C64" i="20" s="1"/>
  <c r="I63" i="101"/>
  <c r="B99" i="101" s="1"/>
  <c r="C65" i="20" s="1"/>
  <c r="M57" i="100"/>
  <c r="C63" i="20" s="1"/>
  <c r="P9" i="98"/>
  <c r="I55" i="98"/>
  <c r="I56" i="97"/>
  <c r="K36" i="96"/>
  <c r="O106" i="95"/>
  <c r="O108" i="95" s="1"/>
  <c r="J9" i="35"/>
  <c r="L9" i="35"/>
  <c r="N9" i="35"/>
  <c r="L8" i="90"/>
  <c r="N8" i="90"/>
  <c r="J8" i="90"/>
  <c r="I56" i="90"/>
  <c r="I58" i="90" s="1"/>
  <c r="I48" i="92"/>
  <c r="B19" i="92"/>
  <c r="B18" i="92"/>
  <c r="B17" i="92"/>
  <c r="B16" i="92"/>
  <c r="B15" i="92"/>
  <c r="B14" i="92"/>
  <c r="B13" i="92"/>
  <c r="B12" i="92"/>
  <c r="B11" i="92"/>
  <c r="R8" i="92"/>
  <c r="P8" i="92"/>
  <c r="Y53" i="91"/>
  <c r="I47" i="85"/>
  <c r="B19" i="85"/>
  <c r="B18" i="85"/>
  <c r="B17" i="85"/>
  <c r="B16" i="85"/>
  <c r="B15" i="85"/>
  <c r="B14" i="85"/>
  <c r="B13" i="85"/>
  <c r="B12" i="85"/>
  <c r="B11" i="85"/>
  <c r="R8" i="85"/>
  <c r="P8" i="85"/>
  <c r="I50" i="84"/>
  <c r="R9" i="84"/>
  <c r="P9" i="84"/>
  <c r="I29" i="78"/>
  <c r="R9" i="78"/>
  <c r="P9" i="78"/>
  <c r="I66" i="79"/>
  <c r="B19" i="79"/>
  <c r="B18" i="79"/>
  <c r="B17" i="79"/>
  <c r="B16" i="79"/>
  <c r="B15" i="79"/>
  <c r="B14" i="79"/>
  <c r="B13" i="79"/>
  <c r="B12" i="79"/>
  <c r="B11" i="79"/>
  <c r="R8" i="79"/>
  <c r="P8" i="79"/>
  <c r="I66" i="82"/>
  <c r="B19" i="82"/>
  <c r="B18" i="82"/>
  <c r="B17" i="82"/>
  <c r="B16" i="82"/>
  <c r="B15" i="82"/>
  <c r="B14" i="82"/>
  <c r="B13" i="82"/>
  <c r="B12" i="82"/>
  <c r="B11" i="82"/>
  <c r="R8" i="82"/>
  <c r="K48" i="81"/>
  <c r="R9" i="81"/>
  <c r="P9" i="81"/>
  <c r="S51" i="73"/>
  <c r="O51" i="73"/>
  <c r="O53" i="73" s="1"/>
  <c r="M51" i="73"/>
  <c r="K51" i="73"/>
  <c r="K53" i="73" s="1"/>
  <c r="I51" i="73"/>
  <c r="I53" i="73" s="1"/>
  <c r="Q51" i="73"/>
  <c r="Q53" i="73" s="1"/>
  <c r="S38" i="75"/>
  <c r="S40" i="75" s="1"/>
  <c r="O38" i="75"/>
  <c r="M38" i="75"/>
  <c r="Q38" i="75"/>
  <c r="Q40" i="75" s="1"/>
  <c r="S37" i="77"/>
  <c r="S39" i="77" s="1"/>
  <c r="Q37" i="77"/>
  <c r="Q39" i="77" s="1"/>
  <c r="O37" i="77"/>
  <c r="O39" i="77" s="1"/>
  <c r="K37" i="77"/>
  <c r="K39" i="77" s="1"/>
  <c r="I37" i="77"/>
  <c r="S33" i="76"/>
  <c r="S35" i="76" s="1"/>
  <c r="O33" i="76"/>
  <c r="O35" i="76" s="1"/>
  <c r="K33" i="76"/>
  <c r="I33" i="76"/>
  <c r="M33" i="76"/>
  <c r="Q33" i="76"/>
  <c r="I59" i="90" l="1"/>
  <c r="I60" i="90"/>
  <c r="D51" i="20"/>
  <c r="J51" i="20"/>
  <c r="L51" i="20"/>
  <c r="G51" i="20"/>
  <c r="F51" i="20"/>
  <c r="I68" i="35"/>
  <c r="I67" i="35"/>
  <c r="H9" i="35"/>
  <c r="E50" i="115"/>
  <c r="C50" i="115" s="1"/>
  <c r="P51" i="20"/>
  <c r="E55" i="115"/>
  <c r="C55" i="115" s="1"/>
  <c r="P52" i="20"/>
  <c r="E50" i="20"/>
  <c r="D50" i="20"/>
  <c r="E63" i="20"/>
  <c r="P63" i="20" s="1"/>
  <c r="D63" i="20"/>
  <c r="E64" i="20"/>
  <c r="P64" i="20" s="1"/>
  <c r="D64" i="20"/>
  <c r="E65" i="20"/>
  <c r="D65" i="20"/>
  <c r="L64" i="20"/>
  <c r="L50" i="20"/>
  <c r="L63" i="20"/>
  <c r="L65" i="20"/>
  <c r="K35" i="76"/>
  <c r="K37" i="76" s="1"/>
  <c r="J9" i="76" s="1"/>
  <c r="M35" i="76"/>
  <c r="M37" i="76" s="1"/>
  <c r="L9" i="76" s="1"/>
  <c r="O40" i="75"/>
  <c r="N9" i="75"/>
  <c r="J63" i="20"/>
  <c r="G63" i="20"/>
  <c r="F63" i="20"/>
  <c r="J64" i="20"/>
  <c r="G64" i="20"/>
  <c r="F64" i="20"/>
  <c r="J50" i="20"/>
  <c r="I39" i="77"/>
  <c r="I41" i="77" s="1"/>
  <c r="H9" i="77" s="1"/>
  <c r="B77" i="77"/>
  <c r="C37" i="20" s="1"/>
  <c r="J65" i="20"/>
  <c r="G65" i="20"/>
  <c r="F65" i="20"/>
  <c r="I57" i="102"/>
  <c r="I58" i="102"/>
  <c r="I64" i="101"/>
  <c r="I65" i="101"/>
  <c r="M59" i="100"/>
  <c r="M58" i="100"/>
  <c r="I57" i="99"/>
  <c r="I56" i="99"/>
  <c r="I56" i="98"/>
  <c r="I57" i="98"/>
  <c r="J9" i="96"/>
  <c r="K37" i="96"/>
  <c r="K38" i="96"/>
  <c r="F50" i="20"/>
  <c r="G50" i="20"/>
  <c r="N9" i="95"/>
  <c r="O109" i="95"/>
  <c r="O110" i="95"/>
  <c r="I58" i="97"/>
  <c r="I57" i="97"/>
  <c r="H9" i="99"/>
  <c r="R9" i="96"/>
  <c r="B72" i="96" s="1"/>
  <c r="R9" i="98"/>
  <c r="N9" i="100"/>
  <c r="C35" i="47" s="1"/>
  <c r="D35" i="47" s="1"/>
  <c r="E157" i="115" s="1"/>
  <c r="E162" i="115" s="1"/>
  <c r="N9" i="102"/>
  <c r="J9" i="102"/>
  <c r="P9" i="102"/>
  <c r="R9" i="102"/>
  <c r="N9" i="101"/>
  <c r="L9" i="101"/>
  <c r="J9" i="101"/>
  <c r="R9" i="100"/>
  <c r="P9" i="99"/>
  <c r="N9" i="99"/>
  <c r="L9" i="99"/>
  <c r="J9" i="99"/>
  <c r="N9" i="97"/>
  <c r="R9" i="97"/>
  <c r="P9" i="97"/>
  <c r="L9" i="97"/>
  <c r="H9" i="96"/>
  <c r="P9" i="96"/>
  <c r="S53" i="73"/>
  <c r="S55" i="73" s="1"/>
  <c r="S42" i="75"/>
  <c r="Q41" i="77"/>
  <c r="S41" i="77"/>
  <c r="S37" i="76"/>
  <c r="H9" i="102"/>
  <c r="R9" i="101"/>
  <c r="H9" i="101"/>
  <c r="P9" i="101"/>
  <c r="L9" i="100"/>
  <c r="J9" i="100"/>
  <c r="R9" i="99"/>
  <c r="J9" i="98"/>
  <c r="N9" i="98"/>
  <c r="H9" i="98"/>
  <c r="L9" i="98"/>
  <c r="H9" i="97"/>
  <c r="P9" i="95"/>
  <c r="R9" i="95"/>
  <c r="H8" i="90"/>
  <c r="J8" i="92"/>
  <c r="L8" i="92"/>
  <c r="N8" i="92"/>
  <c r="I50" i="92"/>
  <c r="I52" i="92" s="1"/>
  <c r="Z9" i="91"/>
  <c r="K42" i="91" s="1"/>
  <c r="K53" i="91" s="1"/>
  <c r="K55" i="91" s="1"/>
  <c r="K57" i="91" s="1"/>
  <c r="Y55" i="91"/>
  <c r="Y57" i="91" s="1"/>
  <c r="I49" i="85"/>
  <c r="I51" i="85" s="1"/>
  <c r="N9" i="84"/>
  <c r="J9" i="84"/>
  <c r="L9" i="84"/>
  <c r="I52" i="84"/>
  <c r="I54" i="84" s="1"/>
  <c r="L9" i="78"/>
  <c r="N9" i="78"/>
  <c r="J9" i="78"/>
  <c r="I31" i="78"/>
  <c r="I33" i="78" s="1"/>
  <c r="J8" i="79"/>
  <c r="L8" i="79"/>
  <c r="N8" i="79"/>
  <c r="I68" i="79"/>
  <c r="I70" i="79" s="1"/>
  <c r="L8" i="82"/>
  <c r="N8" i="82"/>
  <c r="J8" i="82"/>
  <c r="I68" i="82"/>
  <c r="I70" i="82" s="1"/>
  <c r="L9" i="81"/>
  <c r="B88" i="81" s="1"/>
  <c r="C43" i="20" s="1"/>
  <c r="N9" i="81"/>
  <c r="K50" i="81"/>
  <c r="K52" i="81" s="1"/>
  <c r="I55" i="73"/>
  <c r="K55" i="73"/>
  <c r="O55" i="73"/>
  <c r="M53" i="73"/>
  <c r="M55" i="73" s="1"/>
  <c r="Q55" i="73"/>
  <c r="O42" i="75"/>
  <c r="M40" i="75"/>
  <c r="M42" i="75" s="1"/>
  <c r="Q42" i="75"/>
  <c r="K41" i="77"/>
  <c r="J9" i="77" s="1"/>
  <c r="O41" i="77"/>
  <c r="Q35" i="76"/>
  <c r="Q37" i="76" s="1"/>
  <c r="O37" i="76"/>
  <c r="I35" i="76"/>
  <c r="I37" i="76" s="1"/>
  <c r="H9" i="76" s="1"/>
  <c r="B74" i="76" s="1"/>
  <c r="J9" i="91" l="1"/>
  <c r="K59" i="91"/>
  <c r="K58" i="91"/>
  <c r="I72" i="82"/>
  <c r="I71" i="82"/>
  <c r="I52" i="85"/>
  <c r="I53" i="85"/>
  <c r="I54" i="92"/>
  <c r="I53" i="92"/>
  <c r="I72" i="79"/>
  <c r="I71" i="79"/>
  <c r="P65" i="20"/>
  <c r="K10" i="115"/>
  <c r="E49" i="115"/>
  <c r="C49" i="115" s="1"/>
  <c r="P50" i="20"/>
  <c r="C11" i="115"/>
  <c r="E37" i="20"/>
  <c r="D37" i="20"/>
  <c r="E43" i="20"/>
  <c r="D43" i="20"/>
  <c r="L43" i="20"/>
  <c r="L37" i="20"/>
  <c r="B92" i="97"/>
  <c r="C59" i="20" s="1"/>
  <c r="F37" i="20"/>
  <c r="J37" i="20"/>
  <c r="G37" i="20"/>
  <c r="O42" i="91"/>
  <c r="O53" i="91" s="1"/>
  <c r="O55" i="91" s="1"/>
  <c r="O57" i="91" s="1"/>
  <c r="O58" i="91" s="1"/>
  <c r="W42" i="91"/>
  <c r="W53" i="91" s="1"/>
  <c r="W55" i="91" s="1"/>
  <c r="W57" i="91" s="1"/>
  <c r="C57" i="20"/>
  <c r="J43" i="20"/>
  <c r="F43" i="20"/>
  <c r="G43" i="20"/>
  <c r="C40" i="20"/>
  <c r="Q42" i="91"/>
  <c r="Q53" i="91" s="1"/>
  <c r="Q55" i="91" s="1"/>
  <c r="Q57" i="91" s="1"/>
  <c r="I42" i="91"/>
  <c r="I53" i="91" s="1"/>
  <c r="I55" i="91" s="1"/>
  <c r="I57" i="91" s="1"/>
  <c r="U42" i="91"/>
  <c r="U53" i="91" s="1"/>
  <c r="M42" i="91"/>
  <c r="M53" i="91" s="1"/>
  <c r="M55" i="91" s="1"/>
  <c r="M57" i="91" s="1"/>
  <c r="I55" i="84"/>
  <c r="I56" i="84"/>
  <c r="I35" i="78"/>
  <c r="I34" i="78"/>
  <c r="Q57" i="73"/>
  <c r="Q56" i="73"/>
  <c r="O57" i="73"/>
  <c r="O56" i="73"/>
  <c r="M56" i="73"/>
  <c r="M57" i="73"/>
  <c r="K57" i="73"/>
  <c r="K56" i="73"/>
  <c r="I57" i="73"/>
  <c r="I56" i="73"/>
  <c r="Q43" i="75"/>
  <c r="Q44" i="75"/>
  <c r="O44" i="75"/>
  <c r="O43" i="75"/>
  <c r="S43" i="75"/>
  <c r="S44" i="75"/>
  <c r="O38" i="76"/>
  <c r="O39" i="76"/>
  <c r="S38" i="76"/>
  <c r="S39" i="76"/>
  <c r="K39" i="76"/>
  <c r="K38" i="76"/>
  <c r="M39" i="76"/>
  <c r="M38" i="76"/>
  <c r="Q39" i="76"/>
  <c r="Q38" i="76"/>
  <c r="I39" i="76"/>
  <c r="I38" i="76"/>
  <c r="K54" i="81"/>
  <c r="K53" i="81"/>
  <c r="J9" i="81"/>
  <c r="S43" i="77"/>
  <c r="S42" i="77"/>
  <c r="Q42" i="77"/>
  <c r="Q43" i="77"/>
  <c r="K43" i="77"/>
  <c r="K42" i="77"/>
  <c r="O43" i="77"/>
  <c r="O42" i="77"/>
  <c r="I43" i="77"/>
  <c r="I42" i="77"/>
  <c r="S57" i="73"/>
  <c r="S56" i="73"/>
  <c r="L9" i="75"/>
  <c r="M44" i="75"/>
  <c r="M43" i="75"/>
  <c r="H8" i="92"/>
  <c r="X9" i="91"/>
  <c r="Y59" i="91"/>
  <c r="Y58" i="91"/>
  <c r="H8" i="85"/>
  <c r="N8" i="85"/>
  <c r="L8" i="85"/>
  <c r="J8" i="85"/>
  <c r="H9" i="84"/>
  <c r="B90" i="84" s="1"/>
  <c r="C45" i="20" s="1"/>
  <c r="H9" i="78"/>
  <c r="B69" i="78" s="1"/>
  <c r="C44" i="20" s="1"/>
  <c r="H8" i="79"/>
  <c r="H8" i="82"/>
  <c r="N9" i="91" l="1"/>
  <c r="O59" i="91"/>
  <c r="L10" i="115"/>
  <c r="E41" i="115"/>
  <c r="C41" i="115" s="1"/>
  <c r="P43" i="20"/>
  <c r="E35" i="115"/>
  <c r="C35" i="115" s="1"/>
  <c r="P37" i="20"/>
  <c r="E45" i="20"/>
  <c r="D45" i="20"/>
  <c r="E40" i="20"/>
  <c r="D40" i="20"/>
  <c r="E59" i="20"/>
  <c r="D59" i="20"/>
  <c r="E57" i="20"/>
  <c r="D57" i="20"/>
  <c r="E44" i="20"/>
  <c r="D44" i="20"/>
  <c r="L44" i="20"/>
  <c r="L40" i="20"/>
  <c r="L45" i="20"/>
  <c r="L57" i="20"/>
  <c r="L59" i="20"/>
  <c r="G59" i="20"/>
  <c r="F59" i="20"/>
  <c r="J59" i="20"/>
  <c r="W58" i="91"/>
  <c r="W59" i="91"/>
  <c r="V9" i="91"/>
  <c r="J57" i="20"/>
  <c r="F57" i="20"/>
  <c r="G57" i="20"/>
  <c r="F45" i="20"/>
  <c r="J45" i="20"/>
  <c r="G45" i="20"/>
  <c r="F44" i="20"/>
  <c r="G44" i="20"/>
  <c r="J44" i="20"/>
  <c r="F40" i="20"/>
  <c r="J40" i="20"/>
  <c r="G40" i="20"/>
  <c r="M59" i="91"/>
  <c r="M58" i="91"/>
  <c r="L9" i="91"/>
  <c r="U55" i="91"/>
  <c r="U57" i="91"/>
  <c r="I59" i="91"/>
  <c r="I58" i="91"/>
  <c r="H9" i="91"/>
  <c r="C48" i="20" s="1"/>
  <c r="P9" i="91"/>
  <c r="Q59" i="91"/>
  <c r="Q58" i="91"/>
  <c r="S41" i="68"/>
  <c r="S43" i="68" s="1"/>
  <c r="S45" i="68" s="1"/>
  <c r="Q41" i="68"/>
  <c r="Q43" i="68" s="1"/>
  <c r="Q45" i="68" s="1"/>
  <c r="O41" i="68"/>
  <c r="O43" i="68" s="1"/>
  <c r="O45" i="68" s="1"/>
  <c r="M41" i="68"/>
  <c r="M43" i="68" s="1"/>
  <c r="M45" i="68" s="1"/>
  <c r="K41" i="68"/>
  <c r="K43" i="68" s="1"/>
  <c r="I41" i="68"/>
  <c r="B19" i="68"/>
  <c r="B18" i="68"/>
  <c r="B17" i="68"/>
  <c r="B16" i="68"/>
  <c r="B15" i="68"/>
  <c r="B14" i="68"/>
  <c r="B13" i="68"/>
  <c r="B12" i="68"/>
  <c r="B11" i="68"/>
  <c r="I51" i="67"/>
  <c r="I53" i="67" s="1"/>
  <c r="B5" i="67"/>
  <c r="Q51" i="64"/>
  <c r="O51" i="64"/>
  <c r="O53" i="64" s="1"/>
  <c r="M51" i="64"/>
  <c r="M53" i="64" s="1"/>
  <c r="K51" i="64"/>
  <c r="K53" i="64" s="1"/>
  <c r="I51" i="64"/>
  <c r="I53" i="64" s="1"/>
  <c r="I55" i="64" s="1"/>
  <c r="R9" i="64"/>
  <c r="O51" i="63"/>
  <c r="O53" i="63" s="1"/>
  <c r="O55" i="63" s="1"/>
  <c r="I51" i="63"/>
  <c r="K51" i="63"/>
  <c r="M51" i="63"/>
  <c r="M53" i="63" s="1"/>
  <c r="M55" i="63" s="1"/>
  <c r="Q51" i="63"/>
  <c r="R9" i="63"/>
  <c r="R9" i="6"/>
  <c r="P9" i="6"/>
  <c r="J9" i="6"/>
  <c r="S56" i="60"/>
  <c r="Q56" i="60"/>
  <c r="O56" i="60"/>
  <c r="O58" i="60" s="1"/>
  <c r="M56" i="60"/>
  <c r="M58" i="60" s="1"/>
  <c r="K56" i="60"/>
  <c r="K58" i="60" s="1"/>
  <c r="I56" i="60"/>
  <c r="S51" i="59"/>
  <c r="Q51" i="59"/>
  <c r="O51" i="59"/>
  <c r="O53" i="59" s="1"/>
  <c r="M51" i="59"/>
  <c r="M53" i="59" s="1"/>
  <c r="K51" i="59"/>
  <c r="I51" i="59"/>
  <c r="I53" i="59" s="1"/>
  <c r="I55" i="59" s="1"/>
  <c r="S51" i="58"/>
  <c r="Q51" i="58"/>
  <c r="O51" i="58"/>
  <c r="M51" i="58"/>
  <c r="K51" i="58"/>
  <c r="K53" i="58" s="1"/>
  <c r="I51" i="58"/>
  <c r="W59" i="57"/>
  <c r="U59" i="57"/>
  <c r="S59" i="57"/>
  <c r="S61" i="57" s="1"/>
  <c r="Q59" i="57"/>
  <c r="Q61" i="57" s="1"/>
  <c r="K59" i="57"/>
  <c r="O52" i="55"/>
  <c r="O54" i="55" s="1"/>
  <c r="O56" i="55" s="1"/>
  <c r="M52" i="55"/>
  <c r="M54" i="55" s="1"/>
  <c r="M56" i="55" s="1"/>
  <c r="K52" i="55"/>
  <c r="K54" i="55" s="1"/>
  <c r="K56" i="55" s="1"/>
  <c r="I52" i="55"/>
  <c r="I54" i="55" s="1"/>
  <c r="I56" i="55" s="1"/>
  <c r="O52" i="54"/>
  <c r="O54" i="54" s="1"/>
  <c r="O56" i="54" s="1"/>
  <c r="M52" i="54"/>
  <c r="M54" i="54" s="1"/>
  <c r="M56" i="54" s="1"/>
  <c r="K52" i="54"/>
  <c r="K54" i="54" s="1"/>
  <c r="K56" i="54" s="1"/>
  <c r="I52" i="54"/>
  <c r="I54" i="54" s="1"/>
  <c r="I56" i="54" s="1"/>
  <c r="O51" i="53"/>
  <c r="O53" i="53" s="1"/>
  <c r="M51" i="53"/>
  <c r="M53" i="53" s="1"/>
  <c r="K51" i="53"/>
  <c r="K53" i="53" s="1"/>
  <c r="K55" i="53" s="1"/>
  <c r="I51" i="53"/>
  <c r="O84" i="52"/>
  <c r="M84" i="52"/>
  <c r="K84" i="52"/>
  <c r="K86" i="52" s="1"/>
  <c r="K88" i="52" s="1"/>
  <c r="I84" i="52"/>
  <c r="I86" i="52" s="1"/>
  <c r="I88" i="52" s="1"/>
  <c r="S51" i="50"/>
  <c r="Q51" i="50"/>
  <c r="O51" i="50"/>
  <c r="O53" i="50" s="1"/>
  <c r="M51" i="50"/>
  <c r="M53" i="50" s="1"/>
  <c r="K51" i="50"/>
  <c r="K53" i="50" s="1"/>
  <c r="I53" i="50"/>
  <c r="F12" i="39"/>
  <c r="H11" i="39"/>
  <c r="D11" i="39"/>
  <c r="H10" i="39"/>
  <c r="H9" i="39"/>
  <c r="H8" i="39"/>
  <c r="H7" i="39"/>
  <c r="H6" i="39"/>
  <c r="M47" i="68" l="1"/>
  <c r="M46" i="68"/>
  <c r="O47" i="68"/>
  <c r="O46" i="68"/>
  <c r="S47" i="68"/>
  <c r="S46" i="68"/>
  <c r="Q46" i="68"/>
  <c r="Q47" i="68"/>
  <c r="H12" i="39"/>
  <c r="H13" i="39" s="1"/>
  <c r="E40" i="115"/>
  <c r="C40" i="115" s="1"/>
  <c r="P44" i="20"/>
  <c r="E56" i="115"/>
  <c r="C56" i="115" s="1"/>
  <c r="P57" i="20"/>
  <c r="E62" i="115"/>
  <c r="C62" i="115" s="1"/>
  <c r="P59" i="20"/>
  <c r="E39" i="115"/>
  <c r="C39" i="115" s="1"/>
  <c r="P40" i="20"/>
  <c r="E45" i="115"/>
  <c r="C45" i="115" s="1"/>
  <c r="P45" i="20"/>
  <c r="E48" i="20"/>
  <c r="E46" i="115" s="1"/>
  <c r="D48" i="20"/>
  <c r="L48" i="20"/>
  <c r="G48" i="20"/>
  <c r="J48" i="20"/>
  <c r="F48" i="20"/>
  <c r="T9" i="91"/>
  <c r="U58" i="91"/>
  <c r="U59" i="91"/>
  <c r="I57" i="64"/>
  <c r="I56" i="64"/>
  <c r="Q53" i="64"/>
  <c r="Q55" i="64" s="1"/>
  <c r="Q53" i="63"/>
  <c r="Q55" i="63" s="1"/>
  <c r="H9" i="59"/>
  <c r="I56" i="59"/>
  <c r="I57" i="59"/>
  <c r="M58" i="55"/>
  <c r="M57" i="55"/>
  <c r="K58" i="55"/>
  <c r="K57" i="55"/>
  <c r="O58" i="55"/>
  <c r="O57" i="55"/>
  <c r="I57" i="55"/>
  <c r="I58" i="55"/>
  <c r="K56" i="53"/>
  <c r="K57" i="53"/>
  <c r="K57" i="54"/>
  <c r="K58" i="54"/>
  <c r="I57" i="54"/>
  <c r="I58" i="54"/>
  <c r="M57" i="54"/>
  <c r="M58" i="54"/>
  <c r="O58" i="54"/>
  <c r="O57" i="54"/>
  <c r="I89" i="52"/>
  <c r="I90" i="52"/>
  <c r="K89" i="52"/>
  <c r="K90" i="52"/>
  <c r="O56" i="63"/>
  <c r="O57" i="63"/>
  <c r="M57" i="63"/>
  <c r="M56" i="63"/>
  <c r="I53" i="58"/>
  <c r="I58" i="60"/>
  <c r="I60" i="60" s="1"/>
  <c r="K61" i="57"/>
  <c r="I53" i="53"/>
  <c r="I55" i="53" s="1"/>
  <c r="M55" i="53"/>
  <c r="O55" i="53"/>
  <c r="Q63" i="57"/>
  <c r="U61" i="57"/>
  <c r="U63" i="57" s="1"/>
  <c r="K53" i="59"/>
  <c r="K55" i="59" s="1"/>
  <c r="Q53" i="59"/>
  <c r="Q55" i="59" s="1"/>
  <c r="P9" i="59" s="1"/>
  <c r="S53" i="59"/>
  <c r="S55" i="59" s="1"/>
  <c r="R9" i="59" s="1"/>
  <c r="K55" i="64"/>
  <c r="K45" i="68"/>
  <c r="N9" i="67"/>
  <c r="M55" i="59"/>
  <c r="L9" i="59" s="1"/>
  <c r="O55" i="59"/>
  <c r="N9" i="59" s="1"/>
  <c r="S63" i="57"/>
  <c r="I43" i="68"/>
  <c r="I45" i="68" s="1"/>
  <c r="I55" i="67"/>
  <c r="B91" i="67" s="1"/>
  <c r="C29" i="20" s="1"/>
  <c r="H9" i="64"/>
  <c r="M55" i="64"/>
  <c r="O55" i="64"/>
  <c r="N9" i="63"/>
  <c r="K53" i="63"/>
  <c r="K55" i="63" s="1"/>
  <c r="L9" i="63"/>
  <c r="I53" i="63"/>
  <c r="I55" i="63" s="1"/>
  <c r="B91" i="63" s="1"/>
  <c r="K60" i="60"/>
  <c r="M60" i="60"/>
  <c r="O60" i="60"/>
  <c r="Q58" i="60"/>
  <c r="Q60" i="60" s="1"/>
  <c r="S58" i="60"/>
  <c r="S60" i="60" s="1"/>
  <c r="M53" i="58"/>
  <c r="M55" i="58" s="1"/>
  <c r="L9" i="58" s="1"/>
  <c r="O53" i="58"/>
  <c r="O55" i="58" s="1"/>
  <c r="N9" i="58" s="1"/>
  <c r="K55" i="58"/>
  <c r="Q53" i="58"/>
  <c r="Q55" i="58" s="1"/>
  <c r="P9" i="58" s="1"/>
  <c r="S53" i="58"/>
  <c r="S55" i="58" s="1"/>
  <c r="R9" i="58" s="1"/>
  <c r="W61" i="57"/>
  <c r="W63" i="57" s="1"/>
  <c r="J9" i="55"/>
  <c r="L9" i="55"/>
  <c r="N9" i="55"/>
  <c r="H9" i="55"/>
  <c r="H9" i="54"/>
  <c r="L9" i="54"/>
  <c r="N9" i="54"/>
  <c r="J9" i="54"/>
  <c r="J9" i="53"/>
  <c r="M86" i="52"/>
  <c r="M88" i="52" s="1"/>
  <c r="H9" i="52"/>
  <c r="B124" i="52" s="1"/>
  <c r="C17" i="20" s="1"/>
  <c r="J9" i="52"/>
  <c r="O86" i="52"/>
  <c r="O88" i="52" s="1"/>
  <c r="Q53" i="50"/>
  <c r="Q55" i="50" s="1"/>
  <c r="S53" i="50"/>
  <c r="S55" i="50" s="1"/>
  <c r="I55" i="50"/>
  <c r="K55" i="50"/>
  <c r="M55" i="50"/>
  <c r="O55" i="50"/>
  <c r="H46" i="115" l="1"/>
  <c r="C46" i="115"/>
  <c r="I47" i="68"/>
  <c r="I46" i="68"/>
  <c r="J29" i="20"/>
  <c r="E29" i="20"/>
  <c r="D29" i="20"/>
  <c r="L29" i="20"/>
  <c r="F29" i="20"/>
  <c r="G29" i="20"/>
  <c r="K47" i="68"/>
  <c r="K46" i="68"/>
  <c r="R21" i="115"/>
  <c r="P48" i="20"/>
  <c r="E17" i="20"/>
  <c r="C25" i="20"/>
  <c r="D25" i="20" s="1"/>
  <c r="J17" i="20"/>
  <c r="G17" i="20"/>
  <c r="F17" i="20"/>
  <c r="I57" i="67"/>
  <c r="I56" i="67"/>
  <c r="Q56" i="64"/>
  <c r="P9" i="64"/>
  <c r="Q57" i="64"/>
  <c r="Q56" i="63"/>
  <c r="Q57" i="63"/>
  <c r="J9" i="59"/>
  <c r="K56" i="59"/>
  <c r="K57" i="59"/>
  <c r="Q64" i="57"/>
  <c r="Q65" i="57"/>
  <c r="S64" i="57"/>
  <c r="S65" i="57"/>
  <c r="T9" i="57"/>
  <c r="U65" i="57"/>
  <c r="U64" i="57"/>
  <c r="V9" i="57"/>
  <c r="W64" i="57"/>
  <c r="W65" i="57"/>
  <c r="O57" i="53"/>
  <c r="O56" i="53"/>
  <c r="M57" i="53"/>
  <c r="M56" i="53"/>
  <c r="I56" i="53"/>
  <c r="I57" i="53"/>
  <c r="O90" i="52"/>
  <c r="O89" i="52"/>
  <c r="M90" i="52"/>
  <c r="M89" i="52"/>
  <c r="H9" i="50"/>
  <c r="I57" i="50"/>
  <c r="I56" i="50"/>
  <c r="N9" i="50"/>
  <c r="O57" i="50"/>
  <c r="O56" i="50"/>
  <c r="M56" i="50"/>
  <c r="M57" i="50"/>
  <c r="K56" i="50"/>
  <c r="K57" i="50"/>
  <c r="S57" i="50"/>
  <c r="S56" i="50"/>
  <c r="P9" i="50"/>
  <c r="Q57" i="50"/>
  <c r="Q56" i="50"/>
  <c r="M57" i="59"/>
  <c r="M56" i="59"/>
  <c r="O57" i="59"/>
  <c r="O56" i="59"/>
  <c r="S57" i="59"/>
  <c r="S56" i="59"/>
  <c r="Q57" i="59"/>
  <c r="Q56" i="59"/>
  <c r="O56" i="64"/>
  <c r="O57" i="64"/>
  <c r="M57" i="64"/>
  <c r="M56" i="64"/>
  <c r="K57" i="64"/>
  <c r="K56" i="64"/>
  <c r="J9" i="60"/>
  <c r="K62" i="60"/>
  <c r="K61" i="60"/>
  <c r="J9" i="58"/>
  <c r="K56" i="58"/>
  <c r="K57" i="58"/>
  <c r="I56" i="63"/>
  <c r="I57" i="63"/>
  <c r="K57" i="63"/>
  <c r="K56" i="63"/>
  <c r="S57" i="58"/>
  <c r="S56" i="58"/>
  <c r="Q57" i="58"/>
  <c r="Q56" i="58"/>
  <c r="O56" i="58"/>
  <c r="O57" i="58"/>
  <c r="M57" i="58"/>
  <c r="M56" i="58"/>
  <c r="L9" i="60"/>
  <c r="B96" i="60" s="1"/>
  <c r="M62" i="60"/>
  <c r="M61" i="60"/>
  <c r="O62" i="60"/>
  <c r="O61" i="60"/>
  <c r="P9" i="60"/>
  <c r="Q62" i="60"/>
  <c r="Q61" i="60"/>
  <c r="R9" i="60"/>
  <c r="S62" i="60"/>
  <c r="S61" i="60"/>
  <c r="H9" i="60"/>
  <c r="C22" i="20" s="1"/>
  <c r="I61" i="60"/>
  <c r="I62" i="60"/>
  <c r="K63" i="57"/>
  <c r="I55" i="58"/>
  <c r="B91" i="58" s="1"/>
  <c r="P9" i="57"/>
  <c r="R9" i="57"/>
  <c r="L9" i="50"/>
  <c r="R9" i="50"/>
  <c r="J9" i="50"/>
  <c r="L9" i="53"/>
  <c r="N9" i="53"/>
  <c r="J9" i="64"/>
  <c r="P9" i="63"/>
  <c r="H9" i="53"/>
  <c r="R9" i="67"/>
  <c r="P9" i="67"/>
  <c r="L9" i="67"/>
  <c r="J9" i="67"/>
  <c r="H9" i="67"/>
  <c r="N9" i="64"/>
  <c r="L9" i="64"/>
  <c r="H9" i="63"/>
  <c r="J9" i="63"/>
  <c r="L9" i="52"/>
  <c r="N9" i="52"/>
  <c r="R23" i="115" l="1"/>
  <c r="P29" i="20"/>
  <c r="C15" i="115"/>
  <c r="P17" i="20"/>
  <c r="E22" i="20"/>
  <c r="D22" i="20"/>
  <c r="G25" i="20"/>
  <c r="E25" i="20"/>
  <c r="L22" i="20"/>
  <c r="L25" i="20"/>
  <c r="F25" i="20"/>
  <c r="J25" i="20"/>
  <c r="J22" i="20"/>
  <c r="G22" i="20"/>
  <c r="F22" i="20"/>
  <c r="I56" i="58"/>
  <c r="I57" i="58"/>
  <c r="J9" i="57"/>
  <c r="K64" i="57"/>
  <c r="K65" i="57"/>
  <c r="H9" i="58"/>
  <c r="C21" i="20" s="1"/>
  <c r="E21" i="20" l="1"/>
  <c r="P21" i="20" s="1"/>
  <c r="L21" i="20"/>
  <c r="P22" i="20"/>
  <c r="K21" i="115"/>
  <c r="E24" i="115"/>
  <c r="C24" i="115" s="1"/>
  <c r="P25" i="20"/>
  <c r="P21" i="115"/>
  <c r="O21" i="115" s="1"/>
  <c r="E22" i="115"/>
  <c r="C22" i="115" s="1"/>
  <c r="C20" i="20"/>
  <c r="J21" i="20"/>
  <c r="F21" i="20"/>
  <c r="G21" i="20"/>
  <c r="I61" i="31"/>
  <c r="M94" i="3"/>
  <c r="M96" i="3" s="1"/>
  <c r="M133" i="3" l="1"/>
  <c r="M134" i="3" s="1"/>
  <c r="L9" i="3"/>
  <c r="C21" i="115"/>
  <c r="J21" i="115"/>
  <c r="L21" i="115" s="1"/>
  <c r="E20" i="20"/>
  <c r="D20" i="20"/>
  <c r="L20" i="20"/>
  <c r="F20" i="20"/>
  <c r="G20" i="20"/>
  <c r="J20" i="20"/>
  <c r="M98" i="3"/>
  <c r="M97" i="3"/>
  <c r="E20" i="115" l="1"/>
  <c r="C20" i="115" s="1"/>
  <c r="P20" i="20"/>
  <c r="I84" i="16"/>
  <c r="I88" i="16" s="1"/>
  <c r="H9" i="16" l="1"/>
  <c r="B124" i="16" s="1"/>
  <c r="I90" i="16"/>
  <c r="I89" i="16"/>
  <c r="M84" i="16"/>
  <c r="M86" i="16" s="1"/>
  <c r="M88" i="16" s="1"/>
  <c r="O84" i="16"/>
  <c r="O88" i="16" s="1"/>
  <c r="N9" i="16" l="1"/>
  <c r="O90" i="16"/>
  <c r="O89" i="16"/>
  <c r="L9" i="16"/>
  <c r="C55" i="20" s="1"/>
  <c r="M90" i="16"/>
  <c r="M89" i="16"/>
  <c r="E55" i="20" l="1"/>
  <c r="D55" i="20"/>
  <c r="L55" i="20"/>
  <c r="J55" i="20"/>
  <c r="G55" i="20"/>
  <c r="F55" i="20"/>
  <c r="O100" i="28"/>
  <c r="O102" i="28" s="1"/>
  <c r="O138" i="28" s="1"/>
  <c r="O139" i="28" s="1"/>
  <c r="I51" i="36"/>
  <c r="Q100" i="28"/>
  <c r="Q102" i="28" s="1"/>
  <c r="Q138" i="28" s="1"/>
  <c r="Q139" i="28" s="1"/>
  <c r="K100" i="28"/>
  <c r="K102" i="28" s="1"/>
  <c r="K138" i="28" s="1"/>
  <c r="K139" i="28" s="1"/>
  <c r="S100" i="28"/>
  <c r="S102" i="28" s="1"/>
  <c r="S138" i="28" s="1"/>
  <c r="S139" i="28" s="1"/>
  <c r="U100" i="28"/>
  <c r="M100" i="28"/>
  <c r="I51" i="15"/>
  <c r="I53" i="15" s="1"/>
  <c r="I54" i="31"/>
  <c r="I56" i="31" s="1"/>
  <c r="I58" i="31" s="1"/>
  <c r="O107" i="13"/>
  <c r="O109" i="13" s="1"/>
  <c r="I28" i="41"/>
  <c r="I30" i="41" s="1"/>
  <c r="I104" i="17"/>
  <c r="I106" i="17" s="1"/>
  <c r="H9" i="17" s="1"/>
  <c r="B5" i="17"/>
  <c r="O48" i="30"/>
  <c r="M48" i="30"/>
  <c r="S48" i="30"/>
  <c r="Q48" i="30"/>
  <c r="I48" i="30"/>
  <c r="I50" i="30" s="1"/>
  <c r="K50" i="30"/>
  <c r="S123" i="9"/>
  <c r="S125" i="9" s="1"/>
  <c r="R9" i="9" s="1"/>
  <c r="Q123" i="9"/>
  <c r="M123" i="9"/>
  <c r="O123" i="9"/>
  <c r="O125" i="9" s="1"/>
  <c r="I123" i="9"/>
  <c r="R9" i="29"/>
  <c r="P9" i="29"/>
  <c r="N9" i="29"/>
  <c r="S54" i="7"/>
  <c r="S56" i="7" s="1"/>
  <c r="Q54" i="7"/>
  <c r="Q56" i="7" s="1"/>
  <c r="O54" i="7"/>
  <c r="O56" i="7" s="1"/>
  <c r="M54" i="7"/>
  <c r="I54" i="7"/>
  <c r="S51" i="38"/>
  <c r="S53" i="38" s="1"/>
  <c r="S55" i="38" s="1"/>
  <c r="Q51" i="38"/>
  <c r="Q53" i="38" s="1"/>
  <c r="O51" i="38"/>
  <c r="O53" i="38" s="1"/>
  <c r="O55" i="38" s="1"/>
  <c r="N9" i="38" s="1"/>
  <c r="M51" i="38"/>
  <c r="M53" i="38" s="1"/>
  <c r="M55" i="38" s="1"/>
  <c r="L9" i="38" s="1"/>
  <c r="K51" i="38"/>
  <c r="K53" i="38" s="1"/>
  <c r="K55" i="38" s="1"/>
  <c r="J9" i="38" s="1"/>
  <c r="I51" i="38"/>
  <c r="B91" i="38" s="1"/>
  <c r="B5" i="6"/>
  <c r="S51" i="5"/>
  <c r="Q51" i="5"/>
  <c r="Q53" i="5" s="1"/>
  <c r="O51" i="5"/>
  <c r="O53" i="5" s="1"/>
  <c r="O55" i="5" s="1"/>
  <c r="M51" i="5"/>
  <c r="M53" i="5" s="1"/>
  <c r="M55" i="5" s="1"/>
  <c r="K51" i="5"/>
  <c r="I51" i="5"/>
  <c r="S94" i="3"/>
  <c r="S54" i="2"/>
  <c r="S56" i="2" s="1"/>
  <c r="Q54" i="2"/>
  <c r="Q56" i="2" s="1"/>
  <c r="O54" i="2"/>
  <c r="O56" i="2" s="1"/>
  <c r="O58" i="2" s="1"/>
  <c r="I54" i="2"/>
  <c r="M54" i="2"/>
  <c r="M56" i="2" s="1"/>
  <c r="M58" i="2" s="1"/>
  <c r="K54" i="2"/>
  <c r="K56" i="2" s="1"/>
  <c r="K58" i="2" s="1"/>
  <c r="E63" i="21"/>
  <c r="G61" i="21"/>
  <c r="G60" i="21"/>
  <c r="G18" i="21"/>
  <c r="E52" i="115" l="1"/>
  <c r="C52" i="115" s="1"/>
  <c r="P55" i="20"/>
  <c r="O50" i="30"/>
  <c r="O52" i="30" s="1"/>
  <c r="N9" i="30"/>
  <c r="S50" i="30"/>
  <c r="S52" i="30" s="1"/>
  <c r="R9" i="30"/>
  <c r="M50" i="30"/>
  <c r="M52" i="30" s="1"/>
  <c r="L9" i="30"/>
  <c r="I59" i="31"/>
  <c r="I60" i="31"/>
  <c r="I108" i="17"/>
  <c r="I107" i="17"/>
  <c r="R9" i="38"/>
  <c r="S56" i="38"/>
  <c r="S57" i="38"/>
  <c r="O57" i="5"/>
  <c r="O56" i="5"/>
  <c r="M56" i="5"/>
  <c r="M57" i="5"/>
  <c r="G63" i="21"/>
  <c r="M54" i="30"/>
  <c r="M53" i="30"/>
  <c r="O54" i="30"/>
  <c r="O53" i="30"/>
  <c r="S127" i="9"/>
  <c r="S126" i="9"/>
  <c r="J9" i="2"/>
  <c r="K60" i="2"/>
  <c r="K59" i="2"/>
  <c r="L9" i="2"/>
  <c r="M60" i="2"/>
  <c r="M59" i="2"/>
  <c r="N9" i="2"/>
  <c r="O60" i="2"/>
  <c r="O59" i="2"/>
  <c r="N9" i="9"/>
  <c r="O127" i="9"/>
  <c r="O126" i="9"/>
  <c r="R9" i="28"/>
  <c r="S104" i="28"/>
  <c r="S103" i="28"/>
  <c r="J9" i="28"/>
  <c r="K104" i="28"/>
  <c r="K103" i="28"/>
  <c r="P9" i="28"/>
  <c r="Q103" i="28"/>
  <c r="Q104" i="28"/>
  <c r="N9" i="28"/>
  <c r="O104" i="28"/>
  <c r="O103" i="28"/>
  <c r="O57" i="38"/>
  <c r="O56" i="38"/>
  <c r="M57" i="38"/>
  <c r="M56" i="38"/>
  <c r="K56" i="38"/>
  <c r="K57" i="38"/>
  <c r="M58" i="6"/>
  <c r="M60" i="6" s="1"/>
  <c r="I53" i="38"/>
  <c r="I55" i="38" s="1"/>
  <c r="I56" i="7"/>
  <c r="K56" i="7"/>
  <c r="K58" i="7" s="1"/>
  <c r="I94" i="3"/>
  <c r="I96" i="3" s="1"/>
  <c r="O64" i="4"/>
  <c r="O66" i="4" s="1"/>
  <c r="S64" i="4"/>
  <c r="S66" i="4" s="1"/>
  <c r="I64" i="4"/>
  <c r="I66" i="4" s="1"/>
  <c r="Q64" i="4"/>
  <c r="Q66" i="4" s="1"/>
  <c r="I53" i="36"/>
  <c r="I55" i="36" s="1"/>
  <c r="R9" i="15"/>
  <c r="N9" i="15"/>
  <c r="P9" i="15"/>
  <c r="J9" i="15"/>
  <c r="L9" i="15"/>
  <c r="I55" i="15"/>
  <c r="M102" i="28"/>
  <c r="M138" i="28" s="1"/>
  <c r="M139" i="28" s="1"/>
  <c r="U102" i="28"/>
  <c r="U138" i="28" s="1"/>
  <c r="U139" i="28" s="1"/>
  <c r="K156" i="14"/>
  <c r="I32" i="41"/>
  <c r="L9" i="29"/>
  <c r="K56" i="29"/>
  <c r="K58" i="29" s="1"/>
  <c r="Q55" i="38"/>
  <c r="K123" i="9"/>
  <c r="K125" i="9" s="1"/>
  <c r="M125" i="9"/>
  <c r="Q125" i="9"/>
  <c r="P9" i="9" s="1"/>
  <c r="L9" i="5"/>
  <c r="S53" i="5"/>
  <c r="S55" i="5" s="1"/>
  <c r="K52" i="30"/>
  <c r="Q50" i="30"/>
  <c r="Q52" i="30" s="1"/>
  <c r="I52" i="30"/>
  <c r="I125" i="9"/>
  <c r="B161" i="9" s="1"/>
  <c r="N9" i="5"/>
  <c r="K53" i="5"/>
  <c r="K55" i="5" s="1"/>
  <c r="I53" i="5"/>
  <c r="I55" i="5" s="1"/>
  <c r="Q55" i="5"/>
  <c r="M56" i="7"/>
  <c r="M58" i="7" s="1"/>
  <c r="O58" i="7"/>
  <c r="Q58" i="7"/>
  <c r="P9" i="7" s="1"/>
  <c r="S58" i="7"/>
  <c r="R9" i="7" s="1"/>
  <c r="O111" i="13"/>
  <c r="S96" i="3"/>
  <c r="S133" i="3" s="1"/>
  <c r="S134" i="3" s="1"/>
  <c r="G27" i="21"/>
  <c r="G26" i="21"/>
  <c r="G25" i="21"/>
  <c r="G24" i="21"/>
  <c r="G23" i="21"/>
  <c r="G20" i="21"/>
  <c r="G19" i="21"/>
  <c r="G17" i="21"/>
  <c r="I56" i="2"/>
  <c r="I58" i="2" s="1"/>
  <c r="B94" i="2" s="1"/>
  <c r="C13" i="20" s="1"/>
  <c r="Q58" i="2"/>
  <c r="S58" i="2"/>
  <c r="R9" i="2" s="1"/>
  <c r="H9" i="41" l="1"/>
  <c r="B68" i="41"/>
  <c r="C42" i="20" s="1"/>
  <c r="E13" i="20"/>
  <c r="D13" i="20"/>
  <c r="L13" i="20"/>
  <c r="K158" i="14"/>
  <c r="K157" i="14"/>
  <c r="J13" i="20"/>
  <c r="G13" i="20"/>
  <c r="F13" i="20"/>
  <c r="C16" i="20"/>
  <c r="I133" i="3"/>
  <c r="I134" i="3" s="1"/>
  <c r="G30" i="21"/>
  <c r="I33" i="41"/>
  <c r="I34" i="41"/>
  <c r="K59" i="29"/>
  <c r="K60" i="29"/>
  <c r="P9" i="38"/>
  <c r="Q56" i="38"/>
  <c r="Q57" i="38"/>
  <c r="H9" i="38"/>
  <c r="N9" i="7"/>
  <c r="O60" i="7"/>
  <c r="O59" i="7"/>
  <c r="L9" i="7"/>
  <c r="M60" i="7"/>
  <c r="M59" i="7"/>
  <c r="S98" i="3"/>
  <c r="S97" i="3"/>
  <c r="R9" i="4"/>
  <c r="S68" i="4"/>
  <c r="S67" i="4"/>
  <c r="P9" i="4"/>
  <c r="Q68" i="4"/>
  <c r="Q67" i="4"/>
  <c r="L9" i="4"/>
  <c r="J9" i="4"/>
  <c r="N9" i="4"/>
  <c r="O68" i="4"/>
  <c r="O67" i="4"/>
  <c r="H9" i="4"/>
  <c r="B102" i="4" s="1"/>
  <c r="I68" i="4"/>
  <c r="I67" i="4"/>
  <c r="I56" i="15"/>
  <c r="I57" i="15"/>
  <c r="H9" i="36"/>
  <c r="I57" i="36"/>
  <c r="I56" i="36"/>
  <c r="S54" i="30"/>
  <c r="S53" i="30"/>
  <c r="Q127" i="9"/>
  <c r="Q126" i="9"/>
  <c r="H9" i="2"/>
  <c r="I59" i="2"/>
  <c r="I60" i="2"/>
  <c r="P9" i="2"/>
  <c r="Q60" i="2"/>
  <c r="Q59" i="2"/>
  <c r="L9" i="9"/>
  <c r="M127" i="9"/>
  <c r="M126" i="9"/>
  <c r="J9" i="9"/>
  <c r="C33" i="20" s="1"/>
  <c r="K127" i="9"/>
  <c r="K126" i="9"/>
  <c r="H9" i="9"/>
  <c r="I127" i="9"/>
  <c r="I126" i="9"/>
  <c r="P9" i="30"/>
  <c r="Q53" i="30"/>
  <c r="Q54" i="30"/>
  <c r="K54" i="30"/>
  <c r="K53" i="30"/>
  <c r="H9" i="30"/>
  <c r="I53" i="30"/>
  <c r="I54" i="30"/>
  <c r="N9" i="13"/>
  <c r="C56" i="20" s="1"/>
  <c r="O113" i="13"/>
  <c r="O112" i="13"/>
  <c r="M104" i="28"/>
  <c r="M103" i="28"/>
  <c r="T9" i="28"/>
  <c r="U104" i="28"/>
  <c r="U103" i="28"/>
  <c r="C28" i="20"/>
  <c r="S60" i="7"/>
  <c r="S59" i="7"/>
  <c r="Q60" i="7"/>
  <c r="Q59" i="7"/>
  <c r="J9" i="7"/>
  <c r="K60" i="7"/>
  <c r="K59" i="7"/>
  <c r="M62" i="6"/>
  <c r="L9" i="6"/>
  <c r="M61" i="6"/>
  <c r="C23" i="20"/>
  <c r="S56" i="5"/>
  <c r="S57" i="5"/>
  <c r="Q57" i="5"/>
  <c r="Q56" i="5"/>
  <c r="K57" i="5"/>
  <c r="K56" i="5"/>
  <c r="I58" i="7"/>
  <c r="B94" i="7" s="1"/>
  <c r="I57" i="5"/>
  <c r="I56" i="5"/>
  <c r="I97" i="3"/>
  <c r="I98" i="3"/>
  <c r="H9" i="3"/>
  <c r="J9" i="30"/>
  <c r="B90" i="30" s="1"/>
  <c r="L9" i="28"/>
  <c r="J9" i="14"/>
  <c r="R9" i="3"/>
  <c r="H9" i="15"/>
  <c r="R9" i="17"/>
  <c r="X9" i="17"/>
  <c r="V9" i="17"/>
  <c r="J9" i="29"/>
  <c r="H9" i="29"/>
  <c r="R9" i="5"/>
  <c r="J9" i="5"/>
  <c r="H9" i="5"/>
  <c r="P9" i="5"/>
  <c r="S59" i="2"/>
  <c r="S60" i="2"/>
  <c r="E42" i="20" l="1"/>
  <c r="P42" i="20" s="1"/>
  <c r="L42" i="20"/>
  <c r="E44" i="115"/>
  <c r="C44" i="115" s="1"/>
  <c r="G42" i="20"/>
  <c r="F42" i="20"/>
  <c r="J42" i="20"/>
  <c r="E7" i="115"/>
  <c r="C7" i="115" s="1"/>
  <c r="P13" i="20"/>
  <c r="E28" i="20"/>
  <c r="D28" i="20"/>
  <c r="E56" i="20"/>
  <c r="D56" i="20"/>
  <c r="E23" i="20"/>
  <c r="D23" i="20"/>
  <c r="E16" i="20"/>
  <c r="E14" i="115" s="1"/>
  <c r="H14" i="115" s="1"/>
  <c r="H67" i="115" s="1"/>
  <c r="D16" i="20"/>
  <c r="E33" i="20"/>
  <c r="K29" i="115" s="1"/>
  <c r="D33" i="20"/>
  <c r="L16" i="20"/>
  <c r="L33" i="20"/>
  <c r="J28" i="20"/>
  <c r="L28" i="20"/>
  <c r="F56" i="20"/>
  <c r="L56" i="20"/>
  <c r="L23" i="20"/>
  <c r="C26" i="20"/>
  <c r="D26" i="20" s="1"/>
  <c r="C19" i="20"/>
  <c r="J19" i="20" s="1"/>
  <c r="C41" i="20"/>
  <c r="D41" i="20" s="1"/>
  <c r="J33" i="20"/>
  <c r="I57" i="38"/>
  <c r="I56" i="38"/>
  <c r="J56" i="20"/>
  <c r="G33" i="20"/>
  <c r="F33" i="20"/>
  <c r="G56" i="20"/>
  <c r="F28" i="20"/>
  <c r="G28" i="20"/>
  <c r="I60" i="7"/>
  <c r="I59" i="7"/>
  <c r="G23" i="20"/>
  <c r="F23" i="20"/>
  <c r="J23" i="20"/>
  <c r="H9" i="7"/>
  <c r="F16" i="20"/>
  <c r="G16" i="20"/>
  <c r="J16" i="20"/>
  <c r="F15" i="20"/>
  <c r="P23" i="20" l="1"/>
  <c r="K23" i="115"/>
  <c r="G19" i="20"/>
  <c r="F19" i="20"/>
  <c r="C14" i="115"/>
  <c r="P16" i="20"/>
  <c r="E57" i="115"/>
  <c r="C57" i="115" s="1"/>
  <c r="P56" i="20"/>
  <c r="E29" i="115"/>
  <c r="J29" i="115" s="1"/>
  <c r="L29" i="115" s="1"/>
  <c r="P33" i="20"/>
  <c r="Q23" i="115"/>
  <c r="P28" i="20"/>
  <c r="E19" i="20"/>
  <c r="D19" i="20"/>
  <c r="N67" i="20" s="1"/>
  <c r="P23" i="115"/>
  <c r="E23" i="115"/>
  <c r="J26" i="20"/>
  <c r="E26" i="20"/>
  <c r="P26" i="20" s="1"/>
  <c r="J41" i="20"/>
  <c r="E41" i="20"/>
  <c r="F41" i="20"/>
  <c r="G41" i="20"/>
  <c r="L26" i="20"/>
  <c r="F26" i="20"/>
  <c r="G26" i="20"/>
  <c r="L41" i="20"/>
  <c r="L19" i="20"/>
  <c r="G15" i="20"/>
  <c r="J15" i="20"/>
  <c r="C23" i="115" l="1"/>
  <c r="J23" i="115"/>
  <c r="L23" i="115" s="1"/>
  <c r="O23" i="115"/>
  <c r="E36" i="115"/>
  <c r="C36" i="115" s="1"/>
  <c r="P41" i="20"/>
  <c r="E17" i="115"/>
  <c r="C17" i="115" s="1"/>
  <c r="P19" i="20"/>
  <c r="E25" i="115"/>
  <c r="C25" i="115" s="1"/>
  <c r="F31" i="112"/>
  <c r="G31" i="112" s="1"/>
  <c r="L31" i="112" s="1"/>
  <c r="F15" i="112"/>
  <c r="G15" i="112" s="1"/>
  <c r="L15" i="112" s="1"/>
  <c r="F16" i="112"/>
  <c r="G16" i="112" s="1"/>
  <c r="L16" i="112" s="1"/>
  <c r="F36" i="112"/>
  <c r="G36" i="112" s="1"/>
  <c r="L36" i="112" s="1"/>
  <c r="F37" i="112"/>
  <c r="G37" i="112" s="1"/>
  <c r="L37" i="112" s="1"/>
  <c r="F38" i="112"/>
  <c r="G38" i="112" s="1"/>
  <c r="L38" i="112" s="1"/>
  <c r="F24" i="112"/>
  <c r="G24" i="112" s="1"/>
  <c r="L24" i="112" s="1"/>
  <c r="F44" i="112"/>
  <c r="G44" i="112" s="1"/>
  <c r="L44" i="112" s="1"/>
  <c r="F45" i="112"/>
  <c r="G45" i="112" s="1"/>
  <c r="L45" i="112" s="1"/>
  <c r="F34" i="112"/>
  <c r="G34" i="112" s="1"/>
  <c r="L34" i="112" s="1"/>
  <c r="F35" i="112"/>
  <c r="G35" i="112" s="1"/>
  <c r="L35" i="112" s="1"/>
  <c r="F23" i="112"/>
  <c r="G23" i="112" s="1"/>
  <c r="L23" i="112" s="1"/>
  <c r="F41" i="112" l="1"/>
  <c r="G41" i="112" s="1"/>
  <c r="L41" i="112" s="1"/>
  <c r="F32" i="112"/>
  <c r="G32" i="112" s="1"/>
  <c r="L32" i="112" s="1"/>
  <c r="F13" i="112"/>
  <c r="G13" i="112" s="1"/>
  <c r="L13" i="112" s="1"/>
  <c r="O29" i="112"/>
  <c r="F29" i="112" s="1"/>
  <c r="G29" i="112" s="1"/>
  <c r="L29" i="112" s="1"/>
  <c r="F10" i="112"/>
  <c r="G10" i="112" s="1"/>
  <c r="F25" i="112"/>
  <c r="G25" i="112" s="1"/>
  <c r="L25" i="112" s="1"/>
  <c r="F43" i="112"/>
  <c r="G43" i="112" s="1"/>
  <c r="L43" i="112" s="1"/>
  <c r="F42" i="112"/>
  <c r="G42" i="112" s="1"/>
  <c r="L42" i="112" s="1"/>
  <c r="F14" i="112"/>
  <c r="G14" i="112" s="1"/>
  <c r="L14" i="112" s="1"/>
  <c r="F33" i="112"/>
  <c r="G33" i="112" s="1"/>
  <c r="L33" i="112" s="1"/>
  <c r="F30" i="112"/>
  <c r="G30" i="112" s="1"/>
  <c r="L30" i="112" s="1"/>
  <c r="F11" i="112"/>
  <c r="G11" i="112" s="1"/>
  <c r="L11" i="112" s="1"/>
  <c r="F39" i="112"/>
  <c r="G39" i="112" s="1"/>
  <c r="L39" i="112" s="1"/>
  <c r="F20" i="112"/>
  <c r="G20" i="112" s="1"/>
  <c r="L20" i="112" s="1"/>
  <c r="F21" i="112"/>
  <c r="G21" i="112" s="1"/>
  <c r="L21" i="112" s="1"/>
  <c r="F40" i="112"/>
  <c r="G40" i="112" s="1"/>
  <c r="L40" i="112" s="1"/>
  <c r="F27" i="112"/>
  <c r="G27" i="112" s="1"/>
  <c r="L27" i="112" s="1"/>
  <c r="F18" i="112"/>
  <c r="G18" i="112" s="1"/>
  <c r="L18" i="112" s="1"/>
  <c r="F17" i="112"/>
  <c r="G17" i="112" s="1"/>
  <c r="L17" i="112" s="1"/>
  <c r="F19" i="112"/>
  <c r="G19" i="112" s="1"/>
  <c r="L19" i="112" s="1"/>
  <c r="F12" i="112"/>
  <c r="G12" i="112" s="1"/>
  <c r="L12" i="112" s="1"/>
  <c r="G26" i="112"/>
  <c r="L26" i="112" s="1"/>
  <c r="L10" i="112" l="1"/>
  <c r="L9" i="112" s="1"/>
  <c r="G162" i="112"/>
  <c r="L164" i="112" s="1"/>
  <c r="L28" i="112"/>
  <c r="M164" i="112" l="1"/>
  <c r="L166" i="112"/>
  <c r="C11" i="20"/>
  <c r="E11" i="20" s="1"/>
  <c r="O67" i="20" s="1"/>
  <c r="P67" i="20" s="1"/>
  <c r="E67" i="20" s="1"/>
  <c r="E66" i="115" s="1"/>
  <c r="C66" i="115" s="1"/>
  <c r="L162" i="112"/>
  <c r="P11" i="20" l="1"/>
  <c r="E6" i="115"/>
  <c r="E71" i="20"/>
  <c r="L93" i="20" s="1"/>
  <c r="C71" i="20"/>
  <c r="C72" i="20" s="1"/>
  <c r="L11" i="20"/>
  <c r="L167" i="112"/>
  <c r="M166" i="112"/>
  <c r="F11" i="20"/>
  <c r="F71" i="20" s="1"/>
  <c r="G11" i="20"/>
  <c r="G71" i="20" s="1"/>
  <c r="J11" i="20"/>
  <c r="R71" i="20" l="1"/>
  <c r="C73" i="20"/>
  <c r="J73" i="20" s="1"/>
  <c r="J71" i="20"/>
  <c r="C6" i="115"/>
  <c r="C74" i="20" l="1"/>
  <c r="G95" i="20" s="1"/>
  <c r="J72" i="20"/>
  <c r="J74" i="20" s="1"/>
  <c r="F72" i="20"/>
  <c r="F74" i="20" s="1"/>
  <c r="G72" i="20"/>
  <c r="G74" i="20" s="1"/>
  <c r="E73" i="115"/>
  <c r="C79" i="20" l="1"/>
  <c r="F79" i="20" s="1"/>
  <c r="C80" i="20"/>
  <c r="F80" i="20" s="1"/>
  <c r="C78" i="20"/>
  <c r="G78" i="20" l="1"/>
  <c r="C81" i="20"/>
  <c r="G81" i="20" s="1"/>
  <c r="G80" i="20"/>
  <c r="E75" i="115"/>
  <c r="G79" i="20"/>
  <c r="H95" i="20"/>
  <c r="L95" i="20" s="1"/>
  <c r="F78" i="20"/>
  <c r="J78" i="20"/>
  <c r="E74" i="115"/>
  <c r="G82" i="20" l="1"/>
  <c r="F81" i="20"/>
  <c r="F82" i="20" s="1"/>
  <c r="H96" i="20"/>
  <c r="J81" i="20"/>
  <c r="J82" i="20" s="1"/>
  <c r="E70" i="115"/>
  <c r="E67" i="115" l="1"/>
  <c r="C33" i="115"/>
  <c r="C29" i="115"/>
  <c r="R72" i="20" l="1"/>
  <c r="R73" i="20" s="1"/>
  <c r="H68" i="115"/>
  <c r="I68" i="115" s="1"/>
  <c r="C120" i="84"/>
  <c r="C121" i="84"/>
  <c r="C124" i="84"/>
  <c r="C127" i="84"/>
  <c r="C9" i="47"/>
  <c r="D9" i="47"/>
  <c r="C28" i="47"/>
  <c r="D28" i="47"/>
  <c r="B6" i="39"/>
  <c r="D6" i="39"/>
  <c r="B7" i="39"/>
  <c r="D7" i="39"/>
  <c r="B8" i="39"/>
  <c r="D8" i="39"/>
  <c r="B9" i="39"/>
  <c r="D9" i="39"/>
  <c r="B10" i="39"/>
  <c r="D10" i="39"/>
  <c r="B12" i="39"/>
  <c r="D12" i="39"/>
  <c r="B13" i="39"/>
  <c r="D13" i="39"/>
  <c r="B14" i="39"/>
  <c r="H11" i="20"/>
  <c r="M11" i="20"/>
  <c r="H12" i="20"/>
  <c r="M12" i="20"/>
  <c r="H13" i="20"/>
  <c r="H14" i="20"/>
  <c r="H15" i="20"/>
  <c r="H16" i="20"/>
  <c r="H17" i="20"/>
  <c r="H18" i="20"/>
  <c r="H19" i="20"/>
  <c r="H20" i="20"/>
  <c r="H21" i="20"/>
  <c r="H22" i="20"/>
  <c r="H23" i="20"/>
  <c r="H24" i="20"/>
  <c r="H25" i="20"/>
  <c r="H26" i="20"/>
  <c r="H27" i="20"/>
  <c r="H28" i="20"/>
  <c r="H29" i="20"/>
  <c r="H30" i="20"/>
  <c r="H31" i="20"/>
  <c r="H32" i="20"/>
  <c r="H33" i="20"/>
  <c r="H34" i="20"/>
  <c r="H35" i="20"/>
  <c r="H37" i="20"/>
  <c r="H38" i="20"/>
  <c r="H40" i="20"/>
  <c r="H41" i="20"/>
  <c r="H42" i="20"/>
  <c r="H43" i="20"/>
  <c r="H44" i="20"/>
  <c r="H45" i="20"/>
  <c r="H46" i="20"/>
  <c r="H47" i="20"/>
  <c r="H48" i="20"/>
  <c r="H49" i="20"/>
  <c r="H50" i="20"/>
  <c r="H51" i="20"/>
  <c r="H52" i="20"/>
  <c r="H53" i="20"/>
  <c r="H55" i="20"/>
  <c r="H56" i="20"/>
  <c r="H57" i="20"/>
  <c r="H58" i="20"/>
  <c r="H59" i="20"/>
  <c r="H60" i="20"/>
  <c r="H62" i="20"/>
  <c r="H63" i="20"/>
  <c r="H64" i="20"/>
  <c r="H65" i="20"/>
  <c r="H66" i="20"/>
  <c r="H69" i="20"/>
  <c r="H71" i="20"/>
  <c r="H72" i="20"/>
  <c r="H73" i="20"/>
  <c r="H74" i="20"/>
  <c r="C76" i="20"/>
  <c r="N76" i="20"/>
  <c r="O76" i="20"/>
  <c r="P76" i="20"/>
  <c r="H77" i="20"/>
  <c r="H78" i="20"/>
  <c r="H79" i="20"/>
  <c r="H80" i="20"/>
  <c r="H81" i="20"/>
  <c r="C82" i="20"/>
  <c r="H82" i="20"/>
  <c r="C83" i="20"/>
  <c r="F83" i="20"/>
  <c r="G83" i="20"/>
  <c r="H83" i="20"/>
  <c r="J83" i="20"/>
  <c r="C84" i="20"/>
  <c r="F84" i="20"/>
  <c r="G84" i="20"/>
  <c r="H84" i="20"/>
  <c r="J84" i="20"/>
  <c r="C87" i="20"/>
  <c r="F87" i="20"/>
  <c r="G87" i="20"/>
  <c r="H87" i="20"/>
  <c r="C89" i="20"/>
  <c r="C90" i="20"/>
  <c r="C91" i="20"/>
  <c r="C93" i="20"/>
  <c r="M94" i="20"/>
  <c r="C95" i="20"/>
  <c r="M95" i="20"/>
  <c r="G96" i="20"/>
  <c r="L96" i="20"/>
  <c r="M96" i="20"/>
  <c r="L97" i="20"/>
  <c r="M97" i="20"/>
  <c r="L98" i="20"/>
  <c r="M98" i="20"/>
  <c r="C102" i="20"/>
  <c r="C104" i="20"/>
  <c r="E72" i="115"/>
  <c r="E76" i="115"/>
  <c r="E77" i="115"/>
  <c r="E78" i="115"/>
  <c r="E105" i="115"/>
  <c r="E130" i="115"/>
  <c r="E132" i="1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Hutchins</author>
  </authors>
  <commentList>
    <comment ref="N66" authorId="0" shapeId="0" xr:uid="{8EE24432-B6E9-48AB-A2D7-DC02509E338D}">
      <text>
        <r>
          <rPr>
            <b/>
            <sz val="9"/>
            <color indexed="81"/>
            <rFont val="Tahoma"/>
            <family val="2"/>
          </rPr>
          <t>Ryan Hutchins:</t>
        </r>
        <r>
          <rPr>
            <sz val="9"/>
            <color indexed="81"/>
            <rFont val="Tahoma"/>
            <family val="2"/>
          </rPr>
          <t xml:space="preserve">
Lets update. Please referfnece vender and quote date for tracking purposes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F36" authorId="0" shapeId="0" xr:uid="{206B5CBA-C8E4-41A6-A1E4-8BD38268EC8B}">
      <text>
        <r>
          <rPr>
            <sz val="11"/>
            <color theme="1"/>
            <rFont val="Calibri"/>
            <family val="2"/>
            <scheme val="minor"/>
          </rPr>
          <t>Claudia Mejias:
weight/LF x LF x $3 ($3 usd per pound)</t>
        </r>
      </text>
    </comment>
    <comment ref="F42" authorId="0" shapeId="0" xr:uid="{93573F58-A37B-4CF2-BC05-3AB4B24D833F}">
      <text>
        <r>
          <rPr>
            <sz val="11"/>
            <color theme="1"/>
            <rFont val="Calibri"/>
            <family val="2"/>
            <scheme val="minor"/>
          </rPr>
          <t>Claudia Mejias:
weight/LF x LF x $3 ($3 usd per pound)</t>
        </r>
      </text>
    </comment>
    <comment ref="F43" authorId="0" shapeId="0" xr:uid="{06F09248-1781-4EF2-82C4-683EB0130753}">
      <text>
        <r>
          <rPr>
            <sz val="11"/>
            <color theme="1"/>
            <rFont val="Calibri"/>
            <family val="2"/>
            <scheme val="minor"/>
          </rPr>
          <t>Claudia Mejias:
weight/LF x LF x $3 ($3 usd per pound)</t>
        </r>
      </text>
    </comment>
    <comment ref="F45" authorId="0" shapeId="0" xr:uid="{CD652E2A-3C5A-443F-A078-CB3C2FB777A6}">
      <text>
        <r>
          <rPr>
            <sz val="11"/>
            <color theme="1"/>
            <rFont val="Calibri"/>
            <family val="2"/>
            <scheme val="minor"/>
          </rPr>
          <t>Claudia Mejias:
weight/LF x LF x $3 ($3 usd per pound)</t>
        </r>
      </text>
    </comment>
    <comment ref="F47" authorId="0" shapeId="0" xr:uid="{21B264F6-8A92-49FC-AC8A-43BAFBCEB344}">
      <text>
        <r>
          <rPr>
            <sz val="11"/>
            <color theme="1"/>
            <rFont val="Calibri"/>
            <family val="2"/>
            <scheme val="minor"/>
          </rPr>
          <t>Claudia Mejias:
weight/LF x LF x $3 ($3 usd per pound)</t>
        </r>
      </text>
    </comment>
    <comment ref="F48" authorId="0" shapeId="0" xr:uid="{523EF9E0-D490-46DC-9C14-03ED83412513}">
      <text>
        <r>
          <rPr>
            <sz val="11"/>
            <color theme="1"/>
            <rFont val="Calibri"/>
            <family val="2"/>
            <scheme val="minor"/>
          </rPr>
          <t>Claudia Mejias:
weight/LF x LF x $3 ($3 usd per pound)</t>
        </r>
      </text>
    </comment>
    <comment ref="F50" authorId="0" shapeId="0" xr:uid="{68E44B91-44B4-41BD-AE46-2BAF15CECD2C}">
      <text>
        <r>
          <rPr>
            <sz val="11"/>
            <color theme="1"/>
            <rFont val="Calibri"/>
            <family val="2"/>
            <scheme val="minor"/>
          </rPr>
          <t>Claudia Mejias:
weight/LF x LF x $3 ($3 usd per pound)</t>
        </r>
      </text>
    </comment>
    <comment ref="F53" authorId="0" shapeId="0" xr:uid="{6681ECEA-2375-4E57-8A2D-B3877D67466C}">
      <text>
        <r>
          <rPr>
            <sz val="11"/>
            <color theme="1"/>
            <rFont val="Calibri"/>
            <family val="2"/>
            <scheme val="minor"/>
          </rPr>
          <t>Claudia Mejias:
weight/LF x LF x $3 ($3 usd per pound)</t>
        </r>
      </text>
    </comment>
    <comment ref="F55" authorId="0" shapeId="0" xr:uid="{BE4CC1E1-4037-43E8-96B0-2DFCFD6B8123}">
      <text>
        <r>
          <rPr>
            <sz val="11"/>
            <color theme="1"/>
            <rFont val="Calibri"/>
            <family val="2"/>
            <scheme val="minor"/>
          </rPr>
          <t>Claudia Mejias:
weight/LF x LF x $3 ($3 usd per pound)</t>
        </r>
      </text>
    </comment>
    <comment ref="F56" authorId="0" shapeId="0" xr:uid="{79F916C4-98DA-4153-A3CE-7F6803F7F338}">
      <text>
        <r>
          <rPr>
            <sz val="11"/>
            <color theme="1"/>
            <rFont val="Calibri"/>
            <family val="2"/>
            <scheme val="minor"/>
          </rPr>
          <t>Claudia Mejias:
weight/LF x LF x $3 ($3 usd per pound)</t>
        </r>
      </text>
    </comment>
    <comment ref="F57" authorId="0" shapeId="0" xr:uid="{221DA77F-C0DF-46FB-92F6-5119B669ADD8}">
      <text>
        <r>
          <rPr>
            <sz val="11"/>
            <color theme="1"/>
            <rFont val="Calibri"/>
            <family val="2"/>
            <scheme val="minor"/>
          </rPr>
          <t>Claudia Mejias:
weight/LF x LF x $3 ($3 usd per pound)</t>
        </r>
      </text>
    </comment>
    <comment ref="F58" authorId="0" shapeId="0" xr:uid="{F868B49F-DE18-4F19-B2DC-E64FE1C68AFD}">
      <text>
        <r>
          <rPr>
            <sz val="11"/>
            <color theme="1"/>
            <rFont val="Calibri"/>
            <family val="2"/>
            <scheme val="minor"/>
          </rPr>
          <t>Claudia Mejias:
weight/LF x LF x $3 ($3 usd per pound)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Claudia Mejias</author>
  </authors>
  <commentList>
    <comment ref="B68" authorId="0" shapeId="0" xr:uid="{D68A9AC4-8FCA-485A-AA3C-04AA2DCB226F}">
      <text>
        <r>
          <rPr>
            <sz val="11"/>
            <color theme="1"/>
            <rFont val="Calibri"/>
            <family val="2"/>
            <scheme val="minor"/>
          </rPr>
          <t xml:space="preserve">Claudia Mejias:
very important to revise crane
</t>
        </r>
      </text>
    </comment>
  </commentList>
</comments>
</file>

<file path=xl/sharedStrings.xml><?xml version="1.0" encoding="utf-8"?>
<sst xmlns="http://schemas.openxmlformats.org/spreadsheetml/2006/main" count="16505" uniqueCount="3220">
  <si>
    <t>PROJECT AREA CALCULATIONS</t>
  </si>
  <si>
    <t>ERAU Residential Hall &amp; Garage Building</t>
  </si>
  <si>
    <t>Gross (sf)</t>
  </si>
  <si>
    <t>Daytona Beach</t>
  </si>
  <si>
    <t>AC (sf)</t>
  </si>
  <si>
    <t>Site (acres)</t>
  </si>
  <si>
    <t>Parking Spaces Surface</t>
  </si>
  <si>
    <t>Parking Spaces Garage</t>
  </si>
  <si>
    <t>No. of Units:</t>
  </si>
  <si>
    <t>No. of Beds:</t>
  </si>
  <si>
    <t>Build Duration (months)</t>
  </si>
  <si>
    <t>Floors</t>
  </si>
  <si>
    <t>Units</t>
  </si>
  <si>
    <t>AC SF</t>
  </si>
  <si>
    <t>Gross SF</t>
  </si>
  <si>
    <t>LSF</t>
  </si>
  <si>
    <t>GROSS%</t>
  </si>
  <si>
    <t>2nd</t>
  </si>
  <si>
    <t>3rd</t>
  </si>
  <si>
    <t>4th</t>
  </si>
  <si>
    <t>5th</t>
  </si>
  <si>
    <t>5th staff</t>
  </si>
  <si>
    <t>5th guest</t>
  </si>
  <si>
    <t>6th</t>
  </si>
  <si>
    <t>6th staff</t>
  </si>
  <si>
    <t>6th guest</t>
  </si>
  <si>
    <t>TOTAL</t>
  </si>
  <si>
    <t>IV.</t>
  </si>
  <si>
    <t>SITE AREAS</t>
  </si>
  <si>
    <t>$ /UNIT</t>
  </si>
  <si>
    <t>%</t>
  </si>
  <si>
    <t xml:space="preserve">Site Perimeter </t>
  </si>
  <si>
    <t>LF</t>
  </si>
  <si>
    <t>Walk Gates</t>
  </si>
  <si>
    <t>Drive Gates</t>
  </si>
  <si>
    <t>Tire Grates / Truck Wash</t>
  </si>
  <si>
    <t>III.</t>
  </si>
  <si>
    <t xml:space="preserve">Sidewalks </t>
  </si>
  <si>
    <t>Drives</t>
  </si>
  <si>
    <t>Asphalt Parking</t>
  </si>
  <si>
    <t xml:space="preserve">Fill CY </t>
  </si>
  <si>
    <t>Barking Spaces</t>
  </si>
  <si>
    <t>FLOOR BREAKDOWN</t>
  </si>
  <si>
    <t>QTY.</t>
  </si>
  <si>
    <t>TOTAL Units</t>
  </si>
  <si>
    <t xml:space="preserve">Hedrick Brothers Construction </t>
  </si>
  <si>
    <t xml:space="preserve">Performance / Payment Bond </t>
  </si>
  <si>
    <t xml:space="preserve">General Construction </t>
  </si>
  <si>
    <t xml:space="preserve">Design Build </t>
  </si>
  <si>
    <t>Contract Value</t>
  </si>
  <si>
    <t xml:space="preserve">Total </t>
  </si>
  <si>
    <t>Cost Summary</t>
  </si>
  <si>
    <t>Allowances</t>
  </si>
  <si>
    <t>NO.</t>
  </si>
  <si>
    <t>DESCRIPTION</t>
  </si>
  <si>
    <t>VALUE</t>
  </si>
  <si>
    <t>Total</t>
  </si>
  <si>
    <t>Alternate &amp; Value Engineering Pricing</t>
  </si>
  <si>
    <t>Add markup</t>
  </si>
  <si>
    <t>VALUE W/ MARK-UP</t>
  </si>
  <si>
    <t>Provide a cost to ADD a performance and payment bond for the entirety of the 
project.</t>
  </si>
  <si>
    <t>Provide cost to ADD epoxy paint in all student corridors from floor to five feet 
above, in lieu of  base paint system</t>
  </si>
  <si>
    <t xml:space="preserve">Provide cost to DELETE the solid surface countertop from the residential unit 
kitchens, then provide plastic laminate countertops in lieu of. </t>
  </si>
  <si>
    <t xml:space="preserve">Provide cost to delete the concealed anchors at the wall mounted railings, then 
provide costs exposed anchors in lieu of. </t>
  </si>
  <si>
    <t xml:space="preserve">Provide cost to delete the ESP coatings as noted on the drawings on the metal 
railings, then provide costs for primed and painted railings as noted in the specifications. </t>
  </si>
  <si>
    <t>Provide ADD costs for graphics on the precast panels at the exterior.</t>
  </si>
  <si>
    <t xml:space="preserve">Provide ADD costs for the exterior wing shaped sun screen (canopies) </t>
  </si>
  <si>
    <t xml:space="preserve">Provide ADD/DEDUCT costs per the allowance.  (Base Bid per Interior 
Plans). </t>
  </si>
  <si>
    <t xml:space="preserve">Provide DEDUCT costs for under cabinetry lights in Units. </t>
  </si>
  <si>
    <t>Base Bid</t>
  </si>
  <si>
    <t>shades</t>
  </si>
  <si>
    <t>elec</t>
  </si>
  <si>
    <t>Please provide a cost for only providing Rod &amp; Shelves ( 2 each, stack) for the individual bedrooms, instead of the original closet millwork system as specified.</t>
  </si>
  <si>
    <t>operator</t>
  </si>
  <si>
    <t>power</t>
  </si>
  <si>
    <t>pedistal</t>
  </si>
  <si>
    <t>installed</t>
  </si>
  <si>
    <t>24 single door operators - HM door &amp; frame</t>
  </si>
  <si>
    <t>+power</t>
  </si>
  <si>
    <t>4 double door operators - storefront</t>
  </si>
  <si>
    <t>Geopier - rammed aggregate</t>
  </si>
  <si>
    <t>Lighting fixture VE package</t>
  </si>
  <si>
    <t>Light Fixture VE alternate to Sesco package  - subject to architect and engineer approval</t>
  </si>
  <si>
    <t>Aluminum feeders and secondaries 100amp and larger - subject to architect and engineer approval</t>
  </si>
  <si>
    <t>GC BID PROPOSAL SUMMARY</t>
  </si>
  <si>
    <t>EMBRY RIDDLE PHASE IV - RESIDENCE HALL AND GARAGE    DAYTONA BEACH CAMPUS               ADDENDUM NO 5 dated  August 7, 2025</t>
  </si>
  <si>
    <t>sq. ft. of project</t>
  </si>
  <si>
    <t>Division</t>
  </si>
  <si>
    <t>PSF value</t>
  </si>
  <si>
    <t>General Conditions, staffing and temp Facilities</t>
  </si>
  <si>
    <t xml:space="preserve">Surveying </t>
  </si>
  <si>
    <t>Site Maintenance</t>
  </si>
  <si>
    <t>Addition Building Width Allowance</t>
  </si>
  <si>
    <t>Deep Foundations / Soils Improvements</t>
  </si>
  <si>
    <t>Site Work / Improvements</t>
  </si>
  <si>
    <t>Parking Lot Pavement / Striping</t>
  </si>
  <si>
    <t>Landscaping (including sidewalk and curbs)</t>
  </si>
  <si>
    <t>Concrete, Foundation/Slab on Grade</t>
  </si>
  <si>
    <t>Precast Concrete - Metromont</t>
  </si>
  <si>
    <t>Masonry</t>
  </si>
  <si>
    <t>Structural Steel</t>
  </si>
  <si>
    <t>Canopies and Shading Louvers</t>
  </si>
  <si>
    <t>Decorative Metals</t>
  </si>
  <si>
    <t>Stairs, Railing Systems, Misc</t>
  </si>
  <si>
    <t>Interior Carpentry</t>
  </si>
  <si>
    <t>Rough Carpentry</t>
  </si>
  <si>
    <t>Thermal and Moisture Protection</t>
  </si>
  <si>
    <t>Exterior Metal Panels</t>
  </si>
  <si>
    <t>Roofing and Trim</t>
  </si>
  <si>
    <t>Fireproofing</t>
  </si>
  <si>
    <t>Doors / Frames</t>
  </si>
  <si>
    <t>Door &amp; Hardware Installation</t>
  </si>
  <si>
    <t xml:space="preserve">Windows / Glazing </t>
  </si>
  <si>
    <t>Hangar Doors - OH Doors Trash Rooms</t>
  </si>
  <si>
    <t>Bi-parting Doors (5th Floor)</t>
  </si>
  <si>
    <t>Overhead Hydraulic Doors (1st Floor)</t>
  </si>
  <si>
    <t>Curtainwall systems</t>
  </si>
  <si>
    <t>Interior Framing and Gypsum Board</t>
  </si>
  <si>
    <t>Acoustical Ceilings</t>
  </si>
  <si>
    <t>Painting</t>
  </si>
  <si>
    <t>Carpet, Vinyl Flooring, Tile - Labor</t>
  </si>
  <si>
    <t>Carpet Vinyl Floor Tile - Material</t>
  </si>
  <si>
    <t>Resinuous Flooring</t>
  </si>
  <si>
    <t>Specialties</t>
  </si>
  <si>
    <t>Toilet, Bath Accessories</t>
  </si>
  <si>
    <t>Interior Signage</t>
  </si>
  <si>
    <t>Exterior Signage</t>
  </si>
  <si>
    <t>Signage Allowance</t>
  </si>
  <si>
    <t>Appliances</t>
  </si>
  <si>
    <t>Cabinets and Countertops</t>
  </si>
  <si>
    <t>Window Treatments</t>
  </si>
  <si>
    <t>Pre-Engineered Canopies</t>
  </si>
  <si>
    <t>Elevators</t>
  </si>
  <si>
    <t>Trash  Chutes &amp; Compactors</t>
  </si>
  <si>
    <t>Mechanical</t>
  </si>
  <si>
    <t>HVAC</t>
  </si>
  <si>
    <t>Plumbing Fixtures Package</t>
  </si>
  <si>
    <t>Plumbing Systems</t>
  </si>
  <si>
    <t>Fire Protection</t>
  </si>
  <si>
    <t>Lightning Protection</t>
  </si>
  <si>
    <t>Electrical</t>
  </si>
  <si>
    <t>Light Fixture Package</t>
  </si>
  <si>
    <t>inc Electrical</t>
  </si>
  <si>
    <t>Fire Alarm Equipment</t>
  </si>
  <si>
    <t>Head End (low voltage)</t>
  </si>
  <si>
    <t>inc Comns</t>
  </si>
  <si>
    <t>Head End Equipment</t>
  </si>
  <si>
    <t xml:space="preserve">Communications </t>
  </si>
  <si>
    <t>Access Control - Eaglecard / Video</t>
  </si>
  <si>
    <t>IT AV</t>
  </si>
  <si>
    <t>Electronic Safety and Security</t>
  </si>
  <si>
    <t>inc Access Cont</t>
  </si>
  <si>
    <t>SUBCONTRACTOR DISCOUNTS</t>
  </si>
  <si>
    <t xml:space="preserve">Sub-total </t>
  </si>
  <si>
    <t>Additional Items (please include detailed description)</t>
  </si>
  <si>
    <t>General Liability Insurance</t>
  </si>
  <si>
    <t>Application &amp; Permit Fees</t>
  </si>
  <si>
    <t>O&amp;P</t>
  </si>
  <si>
    <t>Construction Contingency (GC recommendation only)</t>
  </si>
  <si>
    <t>Administration Fees</t>
  </si>
  <si>
    <t>Additional Items - SDI</t>
  </si>
  <si>
    <t>Builders Risk</t>
  </si>
  <si>
    <t>TOTAL BASE BID</t>
  </si>
  <si>
    <t>ALLOWANCES "INCLUDED" IN ABOVE BID</t>
  </si>
  <si>
    <t>Allowance 1:</t>
  </si>
  <si>
    <t>Allowance 2:</t>
  </si>
  <si>
    <t>LVT (LSC)</t>
  </si>
  <si>
    <t>Allowance 3:</t>
  </si>
  <si>
    <t>Carpet Tile (CPT-2)</t>
  </si>
  <si>
    <t>Allowance 4</t>
  </si>
  <si>
    <t>Carpet Tile (CPT-1) UC</t>
  </si>
  <si>
    <t>Allowance 5:</t>
  </si>
  <si>
    <t>Porcelain Tile UC</t>
  </si>
  <si>
    <t>Allowance 6:</t>
  </si>
  <si>
    <t>Access Control</t>
  </si>
  <si>
    <t>Allowance 7:</t>
  </si>
  <si>
    <t>Electrical Panels</t>
  </si>
  <si>
    <t>Allowance 8:</t>
  </si>
  <si>
    <t>Electrical Service Coordination with  FPL</t>
  </si>
  <si>
    <t>Allowance 9:</t>
  </si>
  <si>
    <t>Exterior Gas Line</t>
  </si>
  <si>
    <t>Allowance 10:</t>
  </si>
  <si>
    <t>Miscellaneous Mechanical Devices</t>
  </si>
  <si>
    <t>Allowance 11:</t>
  </si>
  <si>
    <t>Addition Building Width</t>
  </si>
  <si>
    <t>Allowance 12:</t>
  </si>
  <si>
    <t xml:space="preserve">Rerouting of Existing Site Fiber </t>
  </si>
  <si>
    <t>Allowance 13:</t>
  </si>
  <si>
    <t xml:space="preserve">Door prep and wiring for electrical and data for electronic access control </t>
  </si>
  <si>
    <t>Allowance 14:</t>
  </si>
  <si>
    <t>Bi-Directional Amplifier (BDA) system balance of design, material and installation.</t>
  </si>
  <si>
    <t>Allowance 15:</t>
  </si>
  <si>
    <t>Garage Level 5 trench drains (not viable per Metromont)</t>
  </si>
  <si>
    <t>Allowance 16:</t>
  </si>
  <si>
    <t>Other Contractor Proposed Allowances</t>
  </si>
  <si>
    <t>Unit Cost 1:</t>
  </si>
  <si>
    <t xml:space="preserve">Cost Allowance for Auto Single Doors </t>
  </si>
  <si>
    <t>see Add 7 response</t>
  </si>
  <si>
    <t>Sub-total</t>
  </si>
  <si>
    <t>ALTERNATES</t>
  </si>
  <si>
    <t>Alternate 1:</t>
  </si>
  <si>
    <t>Performance and Payment Bond</t>
  </si>
  <si>
    <t>Alternate 2:</t>
  </si>
  <si>
    <t>Epoxy Paint in Corridors</t>
  </si>
  <si>
    <t>Alternate 3:</t>
  </si>
  <si>
    <t>Solid Surface Countertop Deduct  at Units</t>
  </si>
  <si>
    <t>Alternate 4:</t>
  </si>
  <si>
    <t>Concealed Anchors at Stairs</t>
  </si>
  <si>
    <t>Alternate 5:</t>
  </si>
  <si>
    <t>ESP Coatings at Stair Railings</t>
  </si>
  <si>
    <t>Alternate 6:</t>
  </si>
  <si>
    <t>Graphic at Exterior</t>
  </si>
  <si>
    <t>Alternate 7:</t>
  </si>
  <si>
    <t>Wing Screens</t>
  </si>
  <si>
    <t>Alternate 8:</t>
  </si>
  <si>
    <t>Interior Package (Catapult)</t>
  </si>
  <si>
    <t>Alternate 9:</t>
  </si>
  <si>
    <t>Undercabinet Lighting</t>
  </si>
  <si>
    <t>Alternate 10:</t>
  </si>
  <si>
    <t>Assigned wallcoverings</t>
  </si>
  <si>
    <t>Alternate 11:</t>
  </si>
  <si>
    <t xml:space="preserve">Full Tile Kitchen Backsplashes </t>
  </si>
  <si>
    <t>Alternate 12:</t>
  </si>
  <si>
    <t xml:space="preserve">30-Inch Trash Chutes </t>
  </si>
  <si>
    <t>Alternate 13:</t>
  </si>
  <si>
    <t>Wallcoverings identified in Addendum 1</t>
  </si>
  <si>
    <t>Alternate 14:</t>
  </si>
  <si>
    <t>Vinyl Flooring System with integral sound attenuation layer</t>
  </si>
  <si>
    <t>Alternate 15:</t>
  </si>
  <si>
    <t>CPVC Piping in lieu of Copper up to 1 1/2"                           Deduct</t>
  </si>
  <si>
    <t>Copper Piping in lieu of CPVC up to 1 1/2"                               Add</t>
  </si>
  <si>
    <t>Alternate 16:</t>
  </si>
  <si>
    <t xml:space="preserve">Motorized window shades for all public areas and lounges.     </t>
  </si>
  <si>
    <t>Alternate 17:</t>
  </si>
  <si>
    <t>Automatic door operators -  24 Single doors / 4 Double doors</t>
  </si>
  <si>
    <t>Alternate 18:</t>
  </si>
  <si>
    <t>Unit closet pole &amp; shelf</t>
  </si>
  <si>
    <t>GRAND TOTAL</t>
  </si>
  <si>
    <t>LIST OF SUBS</t>
  </si>
  <si>
    <t>Concrete (Foundations)</t>
  </si>
  <si>
    <t>Don Kings Concrete</t>
  </si>
  <si>
    <t>Precast</t>
  </si>
  <si>
    <t>Metromont</t>
  </si>
  <si>
    <t>Pyramid</t>
  </si>
  <si>
    <t>Roofing</t>
  </si>
  <si>
    <t>Jenkins Roofing</t>
  </si>
  <si>
    <t>Glazing</t>
  </si>
  <si>
    <t>Sunryse Construction</t>
  </si>
  <si>
    <t>Plumbing</t>
  </si>
  <si>
    <t>Express Plumbing</t>
  </si>
  <si>
    <t>Energy Air, Inc.</t>
  </si>
  <si>
    <t>Van Kirk</t>
  </si>
  <si>
    <t>Millwork/Cabinetry</t>
  </si>
  <si>
    <t>Skyline Cabinetry</t>
  </si>
  <si>
    <t>Pre-Cast Concrete</t>
  </si>
  <si>
    <t>Other</t>
  </si>
  <si>
    <t>PROJECT TIMELINE / DURATION</t>
  </si>
  <si>
    <t>699 Days</t>
  </si>
  <si>
    <t>START DATE</t>
  </si>
  <si>
    <t>COMPLETION DATE</t>
  </si>
  <si>
    <t>POTENTIAL IDEAS FOR COST SAVINGS (VE ITEMS)</t>
  </si>
  <si>
    <t>NOTES</t>
  </si>
  <si>
    <t>POTENTIAL SAVINGS</t>
  </si>
  <si>
    <t>Elininate requirement for dual controls in elevator cabs # 1 and #2 which would allow a switch to a TK elevator that offers a significant reduction in cost.</t>
  </si>
  <si>
    <t>Alternate plumbing trim package by Olympia. L-6160B, T-2302, K-5030, &amp; T-2302-ADA.</t>
  </si>
  <si>
    <t>Use standard tank type 1.28gpf water closets by Gerber in units. GRN31212 &amp; GRN31218.</t>
  </si>
  <si>
    <t>Alternate method for providing soils stabilization in lieu of rigid inclusions - Geopier - rammed aggregate - cost savings to be confirmed and soils engineer to approve.</t>
  </si>
  <si>
    <t>Lighting fixture VE package from Sesco - subject to architect and engineer approval</t>
  </si>
  <si>
    <t>Hank</t>
  </si>
  <si>
    <t>Hard Bid</t>
  </si>
  <si>
    <t>Parking Spcs</t>
  </si>
  <si>
    <t>surface</t>
  </si>
  <si>
    <t>Claudia</t>
  </si>
  <si>
    <t>garage</t>
  </si>
  <si>
    <t>Sam</t>
  </si>
  <si>
    <t>Build Dur (mo)</t>
  </si>
  <si>
    <t>Hunter</t>
  </si>
  <si>
    <t>CSI</t>
  </si>
  <si>
    <t>CSI DESCRIPTION</t>
  </si>
  <si>
    <t>$ /SF</t>
  </si>
  <si>
    <t>Prev.</t>
  </si>
  <si>
    <t>Delta</t>
  </si>
  <si>
    <t>Notes</t>
  </si>
  <si>
    <t>General Conditions</t>
  </si>
  <si>
    <t>General Requirements</t>
  </si>
  <si>
    <t>02 21 00</t>
  </si>
  <si>
    <t>Surveying</t>
  </si>
  <si>
    <t>02 41 00</t>
  </si>
  <si>
    <t>Demolition</t>
  </si>
  <si>
    <t>02 50 10</t>
  </si>
  <si>
    <t>Site Maintenance / Dumpster / Cleaning</t>
  </si>
  <si>
    <t>03 30 00</t>
  </si>
  <si>
    <t xml:space="preserve">Concrete </t>
  </si>
  <si>
    <t>03 41 00</t>
  </si>
  <si>
    <t>Precast Hollow Core</t>
  </si>
  <si>
    <t>04 22 00</t>
  </si>
  <si>
    <t>Concrete Unit Masonry</t>
  </si>
  <si>
    <t>05 10  00</t>
  </si>
  <si>
    <t xml:space="preserve">Structural Steel </t>
  </si>
  <si>
    <t>05 52 00</t>
  </si>
  <si>
    <t>Misc. Metals</t>
  </si>
  <si>
    <t>06 10 00</t>
  </si>
  <si>
    <t>06 21 00</t>
  </si>
  <si>
    <t>Millwork</t>
  </si>
  <si>
    <t>07 10 00</t>
  </si>
  <si>
    <t>Waterproofing</t>
  </si>
  <si>
    <t>07 21 00</t>
  </si>
  <si>
    <t>Insulation - INC 09 29 50</t>
  </si>
  <si>
    <t>07 42 00</t>
  </si>
  <si>
    <t>Metal Wall Panels</t>
  </si>
  <si>
    <t>07 50 00</t>
  </si>
  <si>
    <t>07 81 00</t>
  </si>
  <si>
    <t>Spray Fireproofing</t>
  </si>
  <si>
    <t>07 84 00</t>
  </si>
  <si>
    <t>Firestopping</t>
  </si>
  <si>
    <t>07 92 00</t>
  </si>
  <si>
    <t>Expansion Joints</t>
  </si>
  <si>
    <t>08 10 70</t>
  </si>
  <si>
    <t>Doors, Frames, &amp; Hardware</t>
  </si>
  <si>
    <t>08 32 00</t>
  </si>
  <si>
    <t>Hangar Doors</t>
  </si>
  <si>
    <t>08 33 00</t>
  </si>
  <si>
    <t>Overhead Doors</t>
  </si>
  <si>
    <t>08 50 00</t>
  </si>
  <si>
    <t>Storefront &amp; Windows</t>
  </si>
  <si>
    <t>09 29 50</t>
  </si>
  <si>
    <t>Drywall &amp; Framing</t>
  </si>
  <si>
    <t>09 30 00</t>
  </si>
  <si>
    <t>Tile</t>
  </si>
  <si>
    <t>Tile mat allowance</t>
  </si>
  <si>
    <t>09 51 00</t>
  </si>
  <si>
    <t>09 60 00</t>
  </si>
  <si>
    <t>Flooring</t>
  </si>
  <si>
    <t>Flooring Mat Allowance</t>
  </si>
  <si>
    <t>09 96 00</t>
  </si>
  <si>
    <t>Fluid-Applied Flooring</t>
  </si>
  <si>
    <t>09 90 00</t>
  </si>
  <si>
    <t>10 14 00</t>
  </si>
  <si>
    <t>Signage (Allowance)</t>
  </si>
  <si>
    <t xml:space="preserve">10 20 00 </t>
  </si>
  <si>
    <t>Bath Accessories</t>
  </si>
  <si>
    <t xml:space="preserve">10 44 00 </t>
  </si>
  <si>
    <t>Fire Extinguishers</t>
  </si>
  <si>
    <t>11 30 00</t>
  </si>
  <si>
    <t>12 20 00</t>
  </si>
  <si>
    <t>Window Treatment</t>
  </si>
  <si>
    <t>12 34 00</t>
  </si>
  <si>
    <t>Residential Casework</t>
  </si>
  <si>
    <t>12 36 00</t>
  </si>
  <si>
    <t>Solid Surface / Countertops</t>
  </si>
  <si>
    <t>13 30 00</t>
  </si>
  <si>
    <t>Fabricated Engineered Structures</t>
  </si>
  <si>
    <t>14 20 00</t>
  </si>
  <si>
    <t>14 91 00</t>
  </si>
  <si>
    <t>Trash Chute</t>
  </si>
  <si>
    <t>21 13 00</t>
  </si>
  <si>
    <t xml:space="preserve">Fire Protection Systems </t>
  </si>
  <si>
    <t>22 00 00</t>
  </si>
  <si>
    <t>Plumbing fixtures</t>
  </si>
  <si>
    <t>23 00 00</t>
  </si>
  <si>
    <t>26 00 00</t>
  </si>
  <si>
    <t xml:space="preserve">Electrical </t>
  </si>
  <si>
    <t>26 41 00</t>
  </si>
  <si>
    <t>27 00 00</t>
  </si>
  <si>
    <t>Communications</t>
  </si>
  <si>
    <t>27 53 00</t>
  </si>
  <si>
    <t>Bi-Directional Amplification (BDA)</t>
  </si>
  <si>
    <t>28 10 00</t>
  </si>
  <si>
    <t>Access Control (Allowance)</t>
  </si>
  <si>
    <t>28 46 00</t>
  </si>
  <si>
    <t>Fire Detection &amp; Alarm</t>
  </si>
  <si>
    <t>Inc electrical</t>
  </si>
  <si>
    <t>31 30 10</t>
  </si>
  <si>
    <t>Sitework</t>
  </si>
  <si>
    <t>31 32 00</t>
  </si>
  <si>
    <t>Soil Stabilization</t>
  </si>
  <si>
    <t>32 14 00</t>
  </si>
  <si>
    <t>Brick Pavers</t>
  </si>
  <si>
    <t>32 33 00</t>
  </si>
  <si>
    <t>Site Furniture</t>
  </si>
  <si>
    <t>32 80 00</t>
  </si>
  <si>
    <t>Landscaping &amp; Irrigation</t>
  </si>
  <si>
    <t>35 50 00</t>
  </si>
  <si>
    <t>Marine - Construction &amp; Equipment</t>
  </si>
  <si>
    <t>41 22 00</t>
  </si>
  <si>
    <t>Crane and Hoist</t>
  </si>
  <si>
    <t xml:space="preserve"> SUB-TOTAL 1 (Cost of Work)Building</t>
  </si>
  <si>
    <t xml:space="preserve">Cost Summary </t>
  </si>
  <si>
    <t>GC Contingency</t>
  </si>
  <si>
    <t>ERAU Cost Summary</t>
  </si>
  <si>
    <t>Escalation Contingency</t>
  </si>
  <si>
    <t xml:space="preserve"> SUB-TOTAL 2 (Contingency)</t>
  </si>
  <si>
    <t>Permits</t>
  </si>
  <si>
    <t>By owner</t>
  </si>
  <si>
    <t>/100</t>
  </si>
  <si>
    <t>Builders Risk Insurance &amp; Deductibles</t>
  </si>
  <si>
    <t>Performance &amp; Payment Bond - Alternate</t>
  </si>
  <si>
    <t>Subcontractor Default Insurance</t>
  </si>
  <si>
    <t>Warranty</t>
  </si>
  <si>
    <t xml:space="preserve">Procore </t>
  </si>
  <si>
    <t>SUB-TOTAL 3 (Bonds, Insurances, &amp; GC's)</t>
  </si>
  <si>
    <t>GC Fee (OH&amp;P)</t>
  </si>
  <si>
    <t xml:space="preserve">ESTIMATE TOTAL </t>
  </si>
  <si>
    <t>Performance &amp; Payment Bond</t>
  </si>
  <si>
    <t>Cost Summary from above</t>
  </si>
  <si>
    <t>GROSS MARGIN</t>
  </si>
  <si>
    <t>COST %</t>
  </si>
  <si>
    <t>COST</t>
  </si>
  <si>
    <t>BILLABLE</t>
  </si>
  <si>
    <t>MARGIN</t>
  </si>
  <si>
    <t>Missed Scope</t>
  </si>
  <si>
    <t>Additional Buyout</t>
  </si>
  <si>
    <t>BM</t>
  </si>
  <si>
    <t>Buyout/Electrician</t>
  </si>
  <si>
    <t>SDI</t>
  </si>
  <si>
    <t>GL</t>
  </si>
  <si>
    <t>FEE</t>
  </si>
  <si>
    <t>KEEP THIS TO ONE PAGE !!!!</t>
  </si>
  <si>
    <t xml:space="preserve">Contract Reference </t>
  </si>
  <si>
    <t>General Condition Ref.</t>
  </si>
  <si>
    <t>TEST</t>
  </si>
  <si>
    <t xml:space="preserve">Construction </t>
  </si>
  <si>
    <t xml:space="preserve">Activity </t>
  </si>
  <si>
    <t xml:space="preserve">Start </t>
  </si>
  <si>
    <t xml:space="preserve">Finish </t>
  </si>
  <si>
    <t>Days</t>
  </si>
  <si>
    <t xml:space="preserve">Weeks </t>
  </si>
  <si>
    <t xml:space="preserve">Months </t>
  </si>
  <si>
    <t>% Time</t>
  </si>
  <si>
    <t xml:space="preserve">Remarks </t>
  </si>
  <si>
    <t xml:space="preserve">Close Out </t>
  </si>
  <si>
    <t>General Req. - Field Office</t>
  </si>
  <si>
    <t>General Req.</t>
  </si>
  <si>
    <t xml:space="preserve">Description </t>
  </si>
  <si>
    <t>Qty.</t>
  </si>
  <si>
    <t>U</t>
  </si>
  <si>
    <t xml:space="preserve">Unit </t>
  </si>
  <si>
    <t>Const.</t>
  </si>
  <si>
    <t xml:space="preserve">General </t>
  </si>
  <si>
    <t>CUSTOMIZED LABOR RATES</t>
  </si>
  <si>
    <t xml:space="preserve">Cost </t>
  </si>
  <si>
    <t>Cond.</t>
  </si>
  <si>
    <t>Req.</t>
  </si>
  <si>
    <t xml:space="preserve">Field Labor - Construction </t>
  </si>
  <si>
    <t xml:space="preserve">Project Executive </t>
  </si>
  <si>
    <t>wks</t>
  </si>
  <si>
    <t>Senior Project Manager</t>
  </si>
  <si>
    <t>Project Manager - Level 3</t>
  </si>
  <si>
    <t>Project Manager - Level 2</t>
  </si>
  <si>
    <t>Project Manager - Level 1</t>
  </si>
  <si>
    <t>Project Administator</t>
  </si>
  <si>
    <t>Project Accountant</t>
  </si>
  <si>
    <t xml:space="preserve">Assistant Project Manager </t>
  </si>
  <si>
    <t>Superintendent - Level 3</t>
  </si>
  <si>
    <t>Superintendent - Level 2</t>
  </si>
  <si>
    <t>Superintendent - Level 1</t>
  </si>
  <si>
    <t>Assistant Superinterndent #1</t>
  </si>
  <si>
    <t>Assistant Superinterndent #2</t>
  </si>
  <si>
    <t>Quality Control Manager</t>
  </si>
  <si>
    <t>Foreman</t>
  </si>
  <si>
    <t xml:space="preserve">Accounting </t>
  </si>
  <si>
    <t xml:space="preserve">VDC Manager </t>
  </si>
  <si>
    <t>ls</t>
  </si>
  <si>
    <t>Safety Supervisor/Inspector</t>
  </si>
  <si>
    <t xml:space="preserve">Field Labor - Close Out </t>
  </si>
  <si>
    <t>Assistant Superinterndent</t>
  </si>
  <si>
    <t xml:space="preserve">Field Office - Contractor </t>
  </si>
  <si>
    <t>Field Office Set Up / Removal - Double Wide</t>
  </si>
  <si>
    <t>ea</t>
  </si>
  <si>
    <t>`</t>
  </si>
  <si>
    <t>Field Office - Double Wide</t>
  </si>
  <si>
    <t>mos</t>
  </si>
  <si>
    <t>Field Office Set Up / Removal - Single Wide</t>
  </si>
  <si>
    <t>WILLSCOT 4/16/2024 (36x10 mobile office)</t>
  </si>
  <si>
    <t>Field Office - Single Wide</t>
  </si>
  <si>
    <t>Field Office Set Up / Removal - Connex</t>
  </si>
  <si>
    <t>WILLSCOT 20' COMBO W/10' OFFICE</t>
  </si>
  <si>
    <t>Field Office - Conex</t>
  </si>
  <si>
    <t>Connect Telephone Lines</t>
  </si>
  <si>
    <t>Internet</t>
  </si>
  <si>
    <t>Cellular Telephones</t>
  </si>
  <si>
    <t>In labor rates</t>
  </si>
  <si>
    <t xml:space="preserve">Furniture </t>
  </si>
  <si>
    <t>Office Supplies</t>
  </si>
  <si>
    <t>Drinking Water</t>
  </si>
  <si>
    <t>Janitor Supplies/Cleaning</t>
  </si>
  <si>
    <t>Software Charge</t>
  </si>
  <si>
    <t>.25% of GMP Total</t>
  </si>
  <si>
    <t xml:space="preserve">Computers </t>
  </si>
  <si>
    <t xml:space="preserve">Printers </t>
  </si>
  <si>
    <t>Copy Machine</t>
  </si>
  <si>
    <t xml:space="preserve">Alarm System </t>
  </si>
  <si>
    <t xml:space="preserve">Installation Office Equip. </t>
  </si>
  <si>
    <t xml:space="preserve">Storage Trailers Set Up / Removal </t>
  </si>
  <si>
    <t>willscot 40' trailer</t>
  </si>
  <si>
    <t xml:space="preserve">Storage Trailers </t>
  </si>
  <si>
    <t>Rate - $1200 ea. per month</t>
  </si>
  <si>
    <t xml:space="preserve">Field Office - Owner </t>
  </si>
  <si>
    <t xml:space="preserve">Field Office Set Up / Removal </t>
  </si>
  <si>
    <t xml:space="preserve">assume not required </t>
  </si>
  <si>
    <t xml:space="preserve">Field Office </t>
  </si>
  <si>
    <t>Telephone</t>
  </si>
  <si>
    <t>Janitor Supplies</t>
  </si>
  <si>
    <t>Fax Machine</t>
  </si>
  <si>
    <t>Temporary Utilities</t>
  </si>
  <si>
    <t xml:space="preserve">Temp. Electrical Service </t>
  </si>
  <si>
    <t>by elect sub</t>
  </si>
  <si>
    <t>Temp. Electrical - Const. Phase</t>
  </si>
  <si>
    <t xml:space="preserve">by owner </t>
  </si>
  <si>
    <t>Temp.  Electrical - Operate Phase</t>
  </si>
  <si>
    <t>Temp. Wiring &amp; Lighting</t>
  </si>
  <si>
    <t>sf</t>
  </si>
  <si>
    <t xml:space="preserve">by elect sub </t>
  </si>
  <si>
    <t>Temporary Water - Service</t>
  </si>
  <si>
    <t xml:space="preserve">Temporary Water  </t>
  </si>
  <si>
    <t>Temporary Toilets</t>
  </si>
  <si>
    <t>04/15/2024 united site services</t>
  </si>
  <si>
    <t xml:space="preserve">Temporary Toilet Set Up / Removal </t>
  </si>
  <si>
    <t>Temporary Washing Station</t>
  </si>
  <si>
    <t xml:space="preserve">Temporary Washing Station Set Up / Removal </t>
  </si>
  <si>
    <t>Temporary Holding Tanks</t>
  </si>
  <si>
    <t xml:space="preserve">Temporary Ventilation </t>
  </si>
  <si>
    <t xml:space="preserve">Temporary Cooling </t>
  </si>
  <si>
    <t xml:space="preserve">Equipment </t>
  </si>
  <si>
    <t xml:space="preserve">Small Tools </t>
  </si>
  <si>
    <t xml:space="preserve">Equipment Rental </t>
  </si>
  <si>
    <t>Engineering Instruments</t>
  </si>
  <si>
    <t xml:space="preserve">Security </t>
  </si>
  <si>
    <t>Temporary Fence - 6' Post Driven w/ windscreen</t>
  </si>
  <si>
    <t>lf</t>
  </si>
  <si>
    <t>See site maintenance</t>
  </si>
  <si>
    <t>Temporary Fence - 8' Post Driven w/ windscreen</t>
  </si>
  <si>
    <t>Temporary Fence - 6' Panels w/ windscreen</t>
  </si>
  <si>
    <t>Temporary Fence - 8' Panels w/ windscreen</t>
  </si>
  <si>
    <t>Temporary Fence - Gates 8'x24'</t>
  </si>
  <si>
    <t xml:space="preserve">Temporary Fence Maintain </t>
  </si>
  <si>
    <t>Security Service</t>
  </si>
  <si>
    <t>Additional Safety Material/Modifications</t>
  </si>
  <si>
    <t>Protection Floor &amp; Roof Openings</t>
  </si>
  <si>
    <t>Protection Floors &amp; Walls</t>
  </si>
  <si>
    <t>Protection Elevator</t>
  </si>
  <si>
    <t>Temporary Enclosures</t>
  </si>
  <si>
    <t>Temporary Ladders</t>
  </si>
  <si>
    <t>Building Barricades</t>
  </si>
  <si>
    <t>Site Barricades</t>
  </si>
  <si>
    <t xml:space="preserve">Fire Protection </t>
  </si>
  <si>
    <t>First Aid</t>
  </si>
  <si>
    <t xml:space="preserve">Drug Testing </t>
  </si>
  <si>
    <t xml:space="preserve">Cleaning </t>
  </si>
  <si>
    <t>Trash Removal - 10yd dumpsters</t>
  </si>
  <si>
    <t>Trash Removal - 20yd dumpsters</t>
  </si>
  <si>
    <t>Trash Removal - 30yd dumpsters</t>
  </si>
  <si>
    <t xml:space="preserve">Trash Removal - Field Offices </t>
  </si>
  <si>
    <t xml:space="preserve">General Building Cleaning </t>
  </si>
  <si>
    <t xml:space="preserve">Final Building Clean </t>
  </si>
  <si>
    <t xml:space="preserve">Services </t>
  </si>
  <si>
    <t xml:space="preserve">CMP Schedule - Set Up </t>
  </si>
  <si>
    <t>Call Assaf Newmark (Spectrum Consulting) to confirm 404-819-4663</t>
  </si>
  <si>
    <t>CPM Schedule - Updates (Standard Reports)</t>
  </si>
  <si>
    <t>Call Assaf Newmark (Spectrum Consulting) to confirm 404-819-4664</t>
  </si>
  <si>
    <t>CPM Schedule - Updates (Bifurcated Reports)</t>
  </si>
  <si>
    <t>Call Assaf Newmark (Spectrum Consulting) to confirm 404-819-4665</t>
  </si>
  <si>
    <t>Progress Photos Bldg. - Ground</t>
  </si>
  <si>
    <t>Progress Photos Bldg. - Aerial</t>
  </si>
  <si>
    <t>Video - Existing Conditions</t>
  </si>
  <si>
    <t xml:space="preserve">Video - Owner O&amp;M Demo. </t>
  </si>
  <si>
    <t>Legal</t>
  </si>
  <si>
    <t xml:space="preserve">Drawings </t>
  </si>
  <si>
    <t>As Built Survey</t>
  </si>
  <si>
    <t xml:space="preserve">As Built Drawings </t>
  </si>
  <si>
    <t>Plan/Copy Expense</t>
  </si>
  <si>
    <t>Postage - USPS</t>
  </si>
  <si>
    <t>Postage - Fed-X</t>
  </si>
  <si>
    <t xml:space="preserve">Testing </t>
  </si>
  <si>
    <t xml:space="preserve">Concrete Testing </t>
  </si>
  <si>
    <t>by owner</t>
  </si>
  <si>
    <t xml:space="preserve">Steel Testing </t>
  </si>
  <si>
    <t>Special Inspectors</t>
  </si>
  <si>
    <t xml:space="preserve">Permits </t>
  </si>
  <si>
    <t xml:space="preserve">Building Permits </t>
  </si>
  <si>
    <t>Impact Fees</t>
  </si>
  <si>
    <t>Trailer Permits</t>
  </si>
  <si>
    <t>Off Site Permits</t>
  </si>
  <si>
    <t>Travel</t>
  </si>
  <si>
    <t>Airfare</t>
  </si>
  <si>
    <t>Hotel</t>
  </si>
  <si>
    <t>Per Diem</t>
  </si>
  <si>
    <t xml:space="preserve">Other </t>
  </si>
  <si>
    <t xml:space="preserve">Project Sign </t>
  </si>
  <si>
    <t xml:space="preserve">Temporary Parking </t>
  </si>
  <si>
    <t>Legal Notices</t>
  </si>
  <si>
    <t>Total GCs</t>
  </si>
  <si>
    <t>Total GRs</t>
  </si>
  <si>
    <t>Total GCs &amp; GRs</t>
  </si>
  <si>
    <t>per month</t>
  </si>
  <si>
    <t>Hedrick Brothers Construction Co., Inc.</t>
  </si>
  <si>
    <t>Salaries and Burden Calculations</t>
  </si>
  <si>
    <t xml:space="preserve">MARK-UP </t>
  </si>
  <si>
    <t>Burdened Rate</t>
  </si>
  <si>
    <t xml:space="preserve">Mark-up </t>
  </si>
  <si>
    <t>Proj Exec</t>
  </si>
  <si>
    <t>Sr PM</t>
  </si>
  <si>
    <t>PM 3</t>
  </si>
  <si>
    <t>PM 2</t>
  </si>
  <si>
    <t>PM 1</t>
  </si>
  <si>
    <t>Proj Admin</t>
  </si>
  <si>
    <t>Proj Acct</t>
  </si>
  <si>
    <t>Asst PM</t>
  </si>
  <si>
    <t>Supt 3</t>
  </si>
  <si>
    <t>Supt 2</t>
  </si>
  <si>
    <t>Supt 1</t>
  </si>
  <si>
    <t>Asst Supt</t>
  </si>
  <si>
    <t>QC</t>
  </si>
  <si>
    <t>Acctg</t>
  </si>
  <si>
    <t>VDC</t>
  </si>
  <si>
    <t>Safety</t>
  </si>
  <si>
    <t>Labor</t>
  </si>
  <si>
    <t>Apprentice</t>
  </si>
  <si>
    <t>Carpenter</t>
  </si>
  <si>
    <t>Driver</t>
  </si>
  <si>
    <t>Leadman</t>
  </si>
  <si>
    <t>Supt MEP</t>
  </si>
  <si>
    <t>Gen Supt</t>
  </si>
  <si>
    <t>Cons Mgr</t>
  </si>
  <si>
    <t>Proj Coor</t>
  </si>
  <si>
    <t>Mktg</t>
  </si>
  <si>
    <t>Bus Dev</t>
  </si>
  <si>
    <t>Chief, 3 &amp; 2</t>
  </si>
  <si>
    <t>Coord &amp; Jrs</t>
  </si>
  <si>
    <t>Exec Asst</t>
  </si>
  <si>
    <t>Embry Riddle Aeronautical University</t>
  </si>
  <si>
    <t>STAFFING SCHEDULE</t>
  </si>
  <si>
    <t>PROJECT DURATION 24 Months</t>
  </si>
  <si>
    <t>YEAR</t>
  </si>
  <si>
    <t>thru</t>
  </si>
  <si>
    <t> </t>
  </si>
  <si>
    <t>MONTHS</t>
  </si>
  <si>
    <t>Sept</t>
  </si>
  <si>
    <t>Oct</t>
  </si>
  <si>
    <t>Nov</t>
  </si>
  <si>
    <t>Dec</t>
  </si>
  <si>
    <t>Jan</t>
  </si>
  <si>
    <t>Feb</t>
  </si>
  <si>
    <t>Mar</t>
  </si>
  <si>
    <t>April</t>
  </si>
  <si>
    <t>May</t>
  </si>
  <si>
    <t>Jun</t>
  </si>
  <si>
    <t>July</t>
  </si>
  <si>
    <t>Aug</t>
  </si>
  <si>
    <t>4 Story</t>
  </si>
  <si>
    <t>Close Out Nov/ Dec</t>
  </si>
  <si>
    <t>INITIAL SITEWORK</t>
  </si>
  <si>
    <t>Infrastrure</t>
  </si>
  <si>
    <t>Foundation</t>
  </si>
  <si>
    <t>Erect Phase South A</t>
  </si>
  <si>
    <t>Erect Phase South B</t>
  </si>
  <si>
    <t>Erect Phase North A</t>
  </si>
  <si>
    <t>Erect Phase North B</t>
  </si>
  <si>
    <t>INTERIORS South A</t>
  </si>
  <si>
    <t>Building South Side A Envelope</t>
  </si>
  <si>
    <t>Interiors Phase South B</t>
  </si>
  <si>
    <t>Building Envelope Building South B</t>
  </si>
  <si>
    <t>INTERIORS North Side A</t>
  </si>
  <si>
    <t xml:space="preserve"> </t>
  </si>
  <si>
    <t>Building Envelope North Side A</t>
  </si>
  <si>
    <t>INTERIORS North Side B</t>
  </si>
  <si>
    <t>Building Envelope North Side B</t>
  </si>
  <si>
    <t xml:space="preserve">TCO/ Punch list </t>
  </si>
  <si>
    <t xml:space="preserve">LEAD SUPERINTENDENT </t>
  </si>
  <si>
    <t xml:space="preserve">ASSISTANT SUPERINTENDENT </t>
  </si>
  <si>
    <t xml:space="preserve">PROJECT SUPERINTENDENT </t>
  </si>
  <si>
    <t>PROJECT EXECUTIVE</t>
  </si>
  <si>
    <t>SENIOR PROJECT MANAGER</t>
  </si>
  <si>
    <t>APM</t>
  </si>
  <si>
    <t>PROJECT ACCOUNTANT</t>
  </si>
  <si>
    <t>PA</t>
  </si>
  <si>
    <t>FOREMAN</t>
  </si>
  <si>
    <t>CARPENTER</t>
  </si>
  <si>
    <t>CARPETNER</t>
  </si>
  <si>
    <t>Hedrick Plug</t>
  </si>
  <si>
    <t>X</t>
  </si>
  <si>
    <t>Excluded</t>
  </si>
  <si>
    <t>I</t>
  </si>
  <si>
    <t>Included</t>
  </si>
  <si>
    <t>BACK TO SUMMARY SHEET</t>
  </si>
  <si>
    <t>Sub Add/Deduct</t>
  </si>
  <si>
    <t>Bidder 1</t>
  </si>
  <si>
    <t>Bidder 2</t>
  </si>
  <si>
    <t>Bidder 3</t>
  </si>
  <si>
    <t>Bidder 4</t>
  </si>
  <si>
    <t>Bidder 5</t>
  </si>
  <si>
    <t>Bidder 6</t>
  </si>
  <si>
    <t xml:space="preserve">Project: </t>
  </si>
  <si>
    <t>Company</t>
  </si>
  <si>
    <t>American Layout &amp; Land Surveying</t>
  </si>
  <si>
    <t>Leading Edge Land Serv</t>
  </si>
  <si>
    <t xml:space="preserve">MacGillivray &amp; Co </t>
  </si>
  <si>
    <t>Carnahan Proctor &amp; Cross</t>
  </si>
  <si>
    <t>Pacifica Engineering Services</t>
  </si>
  <si>
    <t>RYANIK</t>
  </si>
  <si>
    <t xml:space="preserve">Trade:   </t>
  </si>
  <si>
    <t>Survey</t>
  </si>
  <si>
    <t>Contact</t>
  </si>
  <si>
    <t>Lisa Rizzi</t>
  </si>
  <si>
    <t>Karol J. Hofius</t>
  </si>
  <si>
    <t>Arlene Wroblewski</t>
  </si>
  <si>
    <t xml:space="preserve">CSI Code:   </t>
  </si>
  <si>
    <t xml:space="preserve">02 21 00 </t>
  </si>
  <si>
    <t>Phone</t>
  </si>
  <si>
    <t>(732) 807-6250</t>
  </si>
  <si>
    <t xml:space="preserve">(407) 351-6730 </t>
  </si>
  <si>
    <t>(631) 291-8886</t>
  </si>
  <si>
    <t xml:space="preserve">Date: </t>
  </si>
  <si>
    <t xml:space="preserve">Email </t>
  </si>
  <si>
    <t>estimating@americansurveyors.us</t>
  </si>
  <si>
    <t>khofius@leadingedgels.com</t>
  </si>
  <si>
    <t>bids@macgillivraysurveying.com</t>
  </si>
  <si>
    <t>Adjusted Bid</t>
  </si>
  <si>
    <t>Plan/ Spec. Package</t>
  </si>
  <si>
    <t>QTY</t>
  </si>
  <si>
    <t>U/M</t>
  </si>
  <si>
    <t>Unit Cost</t>
  </si>
  <si>
    <t>Subtotal</t>
  </si>
  <si>
    <t>Yes/No</t>
  </si>
  <si>
    <t>Price</t>
  </si>
  <si>
    <t>GENERAL INCLUSIONS</t>
  </si>
  <si>
    <t>INCLUDES ALL SALES TAX</t>
  </si>
  <si>
    <t>i</t>
  </si>
  <si>
    <t>ALL HOISTING &amp; RIGGING REQUIRED TO COMPLETE THIS SCOPE</t>
  </si>
  <si>
    <t>PROVIDE P&amp;P BONDS</t>
  </si>
  <si>
    <t>x</t>
  </si>
  <si>
    <t>FLORIDA STATE CONTRACTORS LIC.</t>
  </si>
  <si>
    <t>GENERAL LIABILITY AND WORKERS COMP. INSURANCE LIMITS</t>
  </si>
  <si>
    <t>STATE AND LOCAL TAXES</t>
  </si>
  <si>
    <t>COMPASS</t>
  </si>
  <si>
    <t>{5.0}</t>
  </si>
  <si>
    <t>SPECIFIC TRADE SCOPE OF WORK REQUIREMENTS</t>
  </si>
  <si>
    <t>BASE BID</t>
  </si>
  <si>
    <t xml:space="preserve">Verify and Set Horizontal &amp; Vertical Control </t>
  </si>
  <si>
    <t>Builidng Layout</t>
  </si>
  <si>
    <t>Parking Garage Layout</t>
  </si>
  <si>
    <t>Foundations Surveys</t>
  </si>
  <si>
    <t xml:space="preserve">Sitework </t>
  </si>
  <si>
    <t>Site boundary</t>
  </si>
  <si>
    <t>Detention Basins</t>
  </si>
  <si>
    <t>Utilities</t>
  </si>
  <si>
    <t>Curb Layout</t>
  </si>
  <si>
    <t>Sidewalks</t>
  </si>
  <si>
    <t>Trash Enclosure</t>
  </si>
  <si>
    <t>Transformer Pad</t>
  </si>
  <si>
    <t>Generator Enclosure</t>
  </si>
  <si>
    <t xml:space="preserve">Site Lighting </t>
  </si>
  <si>
    <t>Site As-builts</t>
  </si>
  <si>
    <t>SUBTOTAL</t>
  </si>
  <si>
    <t>BOND RATE</t>
  </si>
  <si>
    <t>BOND AMOUNT</t>
  </si>
  <si>
    <t xml:space="preserve">ADJUSTED TOTAL </t>
  </si>
  <si>
    <t>Cost per SF</t>
  </si>
  <si>
    <t>Cost per Unit</t>
  </si>
  <si>
    <t>QUALIFICATIONS</t>
  </si>
  <si>
    <t>EXCLUSIONS/OWNER PROVIDED ITEMS:</t>
  </si>
  <si>
    <t>ALTERNATES:</t>
  </si>
  <si>
    <t>PROPOSED VE (Provide Clear Description):</t>
  </si>
  <si>
    <t>FULLY LOADED LABOR RATES</t>
  </si>
  <si>
    <t>Laborer</t>
  </si>
  <si>
    <t>Mechanic</t>
  </si>
  <si>
    <t>Superintendent</t>
  </si>
  <si>
    <t>Project Manager</t>
  </si>
  <si>
    <t xml:space="preserve">SCHEDULE </t>
  </si>
  <si>
    <t>Prepared shop drawings/submittals</t>
  </si>
  <si>
    <t>Mobilization</t>
  </si>
  <si>
    <t>Total duration to complete scope of work</t>
  </si>
  <si>
    <t>Winner</t>
  </si>
  <si>
    <t>Bidder5</t>
  </si>
  <si>
    <t>Bidder6</t>
  </si>
  <si>
    <t>Oneliance</t>
  </si>
  <si>
    <t>Milclean USA</t>
  </si>
  <si>
    <t>Justin Dossie</t>
  </si>
  <si>
    <t>Karina Correa</t>
  </si>
  <si>
    <t>02 10</t>
  </si>
  <si>
    <t xml:space="preserve">(757) 812-5650 </t>
  </si>
  <si>
    <t xml:space="preserve">(954) 681-3641 </t>
  </si>
  <si>
    <t>jdossie@oneliance.com</t>
  </si>
  <si>
    <t>karina@milcleanusa.com</t>
  </si>
  <si>
    <t xml:space="preserve">Construction fence </t>
  </si>
  <si>
    <t>Construction gates</t>
  </si>
  <si>
    <t>Maintenance during construction</t>
  </si>
  <si>
    <t>Street Maintenance &amp; Cleaning</t>
  </si>
  <si>
    <t>Final Cleaning - garage - pressure wash</t>
  </si>
  <si>
    <t>Final Cleaning - building</t>
  </si>
  <si>
    <t>Final Cleaning - building windows exterior</t>
  </si>
  <si>
    <t>Concrete Wash-out</t>
  </si>
  <si>
    <t>Construction waste removal / recycle</t>
  </si>
  <si>
    <t>Temp Parking</t>
  </si>
  <si>
    <t/>
  </si>
  <si>
    <t>Bus - buy 2</t>
  </si>
  <si>
    <t>Bus - drivers - 2</t>
  </si>
  <si>
    <t>Bus - fuel &amp; maint</t>
  </si>
  <si>
    <t>Parking control</t>
  </si>
  <si>
    <t>Dumpster</t>
  </si>
  <si>
    <t>mo</t>
  </si>
  <si>
    <t>Floor Protection</t>
  </si>
  <si>
    <t>MOT</t>
  </si>
  <si>
    <t>Safety rails, Penetration Covers &amp; Maintenance of rails</t>
  </si>
  <si>
    <t>Polution Coverage</t>
  </si>
  <si>
    <t>Buck Hoist</t>
  </si>
  <si>
    <t>Bidder 7</t>
  </si>
  <si>
    <t>Bidder2</t>
  </si>
  <si>
    <t>Bidder 8</t>
  </si>
  <si>
    <t>Bidder 9</t>
  </si>
  <si>
    <t>DeWitt Custom Concrete</t>
  </si>
  <si>
    <t>2000 Concrete</t>
  </si>
  <si>
    <t>Starlite</t>
  </si>
  <si>
    <t>Baker Concrete</t>
  </si>
  <si>
    <t>Legomatic Construction</t>
  </si>
  <si>
    <t>Core Concrete</t>
  </si>
  <si>
    <t>Genesis Concrete Struct</t>
  </si>
  <si>
    <t>Leo's Concrete Specilaties</t>
  </si>
  <si>
    <t>Concrete</t>
  </si>
  <si>
    <t>Tim Streeter</t>
  </si>
  <si>
    <t>Dan Belanger</t>
  </si>
  <si>
    <t>Sebastian Lopez</t>
  </si>
  <si>
    <t>Sean Williams</t>
  </si>
  <si>
    <t>Allison Mickley</t>
  </si>
  <si>
    <t>Casey Isaac</t>
  </si>
  <si>
    <t>(786) 208.8458</t>
  </si>
  <si>
    <t>(407) 977-9001</t>
  </si>
  <si>
    <t>(239) 687.8581</t>
  </si>
  <si>
    <t>(561) 719-7607</t>
  </si>
  <si>
    <t>(407) 205-3776</t>
  </si>
  <si>
    <t xml:space="preserve">(386) 216-6335 </t>
  </si>
  <si>
    <t>tim@dewittcc.com</t>
  </si>
  <si>
    <t>DBelanger@dkcfl.com</t>
  </si>
  <si>
    <t>slopez@2000concrete.com</t>
  </si>
  <si>
    <t>SeWilliams@starlitebuild.com</t>
  </si>
  <si>
    <t>MickleyA@BakerConcrete.com</t>
  </si>
  <si>
    <t>caseyisaac@legomaticconstruction.com</t>
  </si>
  <si>
    <t>{2.0%}</t>
  </si>
  <si>
    <t>{6.0}</t>
  </si>
  <si>
    <t>+ 20" spoils</t>
  </si>
  <si>
    <t>Foundations</t>
  </si>
  <si>
    <t>Mat 36"</t>
  </si>
  <si>
    <t>cy</t>
  </si>
  <si>
    <t>SF</t>
  </si>
  <si>
    <t>Mat 48"</t>
  </si>
  <si>
    <t>Mat 60"</t>
  </si>
  <si>
    <t>Footing - F14.0</t>
  </si>
  <si>
    <t>EA</t>
  </si>
  <si>
    <t>CY</t>
  </si>
  <si>
    <t>Footing - F20.0</t>
  </si>
  <si>
    <t>Footing - F43.0</t>
  </si>
  <si>
    <t>Footing - CF2.5</t>
  </si>
  <si>
    <t>Footing - CF4.0</t>
  </si>
  <si>
    <t>Footing - CF7.0</t>
  </si>
  <si>
    <t>Footing - CF10.0</t>
  </si>
  <si>
    <t>Footing - CF16.0</t>
  </si>
  <si>
    <t>Footing - CMU walls</t>
  </si>
  <si>
    <t>to top of footing</t>
  </si>
  <si>
    <t>footings</t>
  </si>
  <si>
    <t>Slabs on grade</t>
  </si>
  <si>
    <t>SOG - 4"</t>
  </si>
  <si>
    <t>SOG - 5"</t>
  </si>
  <si>
    <t>CIP Walls</t>
  </si>
  <si>
    <t xml:space="preserve"> foundation level CIP wall between grid lines A.21 &amp; A.22, @ B.15 &amp; B.24</t>
  </si>
  <si>
    <t>8/S301</t>
  </si>
  <si>
    <t>12" thick - elev -3-4" to 5'-11"</t>
  </si>
  <si>
    <t xml:space="preserve"> foundation level CIP wall between grid lines A.19 &amp; A.27 @ B.15 &amp; B.24</t>
  </si>
  <si>
    <t>9/S302</t>
  </si>
  <si>
    <t>12" thick - elev -3-4" to 2'-2"</t>
  </si>
  <si>
    <t xml:space="preserve"> foundation level CIP wall between grid lines B.06 &amp; B.31 @ A.30</t>
  </si>
  <si>
    <t>10" thick - elev -2'-2" to 14'-4"</t>
  </si>
  <si>
    <t xml:space="preserve">12" thick - elevator pit walls </t>
  </si>
  <si>
    <t>1/S303</t>
  </si>
  <si>
    <t>CIP Columns</t>
  </si>
  <si>
    <t>Grid line A.31 &amp; B.08 - 2'-6" x 5'-2" (not sized on plan) - elev -3-4" to 5'-11"?</t>
  </si>
  <si>
    <t>Grid line A.31 &amp; B.30 - 2'-6" x 5'-2" (not sized on plan) - elev -3-4" to 5'-11"?</t>
  </si>
  <si>
    <t>Grid line A.31 &amp; B.15 - 5'-2" x 5'-0" (not sized on plan) - elev -3-4" to 5'-11"?</t>
  </si>
  <si>
    <t>Grid line A.31 &amp; B.24 - 5'-2" x 5'-0" (not sized on plan) - elev -3-4" to 5'-11"?</t>
  </si>
  <si>
    <t>CIP Pier</t>
  </si>
  <si>
    <t>P1 - continuious 18" thick</t>
  </si>
  <si>
    <t xml:space="preserve">P2 - - 3'-4" x 3'-4" - </t>
  </si>
  <si>
    <t>P3 - Grid A.22 &amp; B.15, A.22 &amp; B.24 - 2'-6" x 2'-6" - elev  -3-4" to 5'-11"</t>
  </si>
  <si>
    <t>PT Beams - at Grid Lines A.31 &amp; A.33 - second floor framing only</t>
  </si>
  <si>
    <t>1, 2, 3, 4/S321</t>
  </si>
  <si>
    <t>Set CIP embeds</t>
  </si>
  <si>
    <t>Set precast column &amp; wall anchor bolts</t>
  </si>
  <si>
    <t>Vapor barrier - 15 mil</t>
  </si>
  <si>
    <t>Excavation of footings</t>
  </si>
  <si>
    <t>Topping Slabs - Hollow Core - 3-1/2"</t>
  </si>
  <si>
    <t>Wash Pours</t>
  </si>
  <si>
    <t>Adjustment</t>
  </si>
  <si>
    <t>Backfill at footings</t>
  </si>
  <si>
    <t>Backfill to bring grade over footings up to bottom of SOG - use footing spoils</t>
  </si>
  <si>
    <t>Backfill at garage entry ramp - use footing spoils</t>
  </si>
  <si>
    <t>Handle footing spoils - excess haul off - assume 20" to top of footings</t>
  </si>
  <si>
    <t>8" CMU Walls</t>
  </si>
  <si>
    <t>walls - S112, S114  - B.15 to B.24 / A.18 - to 10'-0"</t>
  </si>
  <si>
    <t>walls - Addendum #5 added wall in trash room level 1</t>
  </si>
  <si>
    <t>Dumpster Enclosure</t>
  </si>
  <si>
    <t>Hardscape - sidewalks &amp; stabilization</t>
  </si>
  <si>
    <t>House keeping pads</t>
  </si>
  <si>
    <t>Addendum #5</t>
  </si>
  <si>
    <t>Addendum #6</t>
  </si>
  <si>
    <t>Addendum #7 - extend foundations</t>
  </si>
  <si>
    <t>ft</t>
  </si>
  <si>
    <t>proposal</t>
  </si>
  <si>
    <t>plugs</t>
  </si>
  <si>
    <t>sub add</t>
  </si>
  <si>
    <t>not included</t>
  </si>
  <si>
    <t>other sub</t>
  </si>
  <si>
    <t>total above</t>
  </si>
  <si>
    <t>delta</t>
  </si>
  <si>
    <t>Bidder1</t>
  </si>
  <si>
    <t>Eric Scherden</t>
  </si>
  <si>
    <t> 813-417-8796</t>
  </si>
  <si>
    <t xml:space="preserve"> escherden@metromont.com </t>
  </si>
  <si>
    <t>{0.525%}</t>
  </si>
  <si>
    <t>{4.0}</t>
  </si>
  <si>
    <t xml:space="preserve">Residence Hall Dorms </t>
  </si>
  <si>
    <t>All precast columns CLA 24x24</t>
  </si>
  <si>
    <t>E0.05, E1.01</t>
  </si>
  <si>
    <t xml:space="preserve">Field topped double Tee FTA </t>
  </si>
  <si>
    <t xml:space="preserve"> E0.05</t>
  </si>
  <si>
    <t xml:space="preserve">L Girders LGA 18x48 </t>
  </si>
  <si>
    <t xml:space="preserve">Factory topped Metrodeck 9" MDK for the roof  </t>
  </si>
  <si>
    <t xml:space="preserve"> E0.06, E2.06</t>
  </si>
  <si>
    <t xml:space="preserve">Factory topped Metrodeck 10" MDK Skimcoat for all floors </t>
  </si>
  <si>
    <t xml:space="preserve"> E0.06, E2.01</t>
  </si>
  <si>
    <t xml:space="preserve">Horizontzl insulated wall panels WPB 11" and 12" with return  </t>
  </si>
  <si>
    <t xml:space="preserve"> E0.07</t>
  </si>
  <si>
    <t xml:space="preserve">Horizontzl soild wall panels WPB 8"  </t>
  </si>
  <si>
    <t xml:space="preserve">Vertical insulated wall panels WPB 11" with return </t>
  </si>
  <si>
    <t xml:space="preserve">Vertical insulated wall panels Non-Thermal WPB 11" </t>
  </si>
  <si>
    <t xml:space="preserve">Vertical solid wall panels Non-Insulated WPB 8" </t>
  </si>
  <si>
    <t>Parking Garage</t>
  </si>
  <si>
    <t xml:space="preserve">All precast columns CLA 96x16 </t>
  </si>
  <si>
    <t>E1.01</t>
  </si>
  <si>
    <t xml:space="preserve">All precast columns CLA 24x33 </t>
  </si>
  <si>
    <t>Facyory topped double Tee FTA  DT</t>
  </si>
  <si>
    <t xml:space="preserve"> E0.05, E2.02</t>
  </si>
  <si>
    <t xml:space="preserve">Flat slabs FS 8" </t>
  </si>
  <si>
    <t xml:space="preserve">Litewall vertical MWV 8" </t>
  </si>
  <si>
    <t xml:space="preserve">R beams RBA 8x30 </t>
  </si>
  <si>
    <t xml:space="preserve">Vertical shear walls SWA 12" </t>
  </si>
  <si>
    <t xml:space="preserve"> E0.05 S113</t>
  </si>
  <si>
    <t xml:space="preserve">Spandrel SPA 8x43 </t>
  </si>
  <si>
    <t>T girders TGA 30x36</t>
  </si>
  <si>
    <t xml:space="preserve">Horizontzl insulated wall panels WPA 8", 12"  </t>
  </si>
  <si>
    <t xml:space="preserve">Horizontzl soild wall panels WPA 8"  </t>
  </si>
  <si>
    <t xml:space="preserve">Vertical solid wall panels Non-Insulated WPA 8" </t>
  </si>
  <si>
    <t>Fascia FCA 8x48</t>
  </si>
  <si>
    <t>Z Stairs, Landings, stringers, stair nose</t>
  </si>
  <si>
    <t>Steel beam supporting Metrodeck at each levels 2,3,4,5,6,&amp; Roof  4//EA (RFI1-13)</t>
  </si>
  <si>
    <t>E2.01A</t>
  </si>
  <si>
    <t>Diaphragm Steel (RFI1-14)</t>
  </si>
  <si>
    <t>S121, 124</t>
  </si>
  <si>
    <t>Pre-cast Beam above the hanger doors (RFI1-39 Add#1)</t>
  </si>
  <si>
    <t>2,3&amp;4 A558</t>
  </si>
  <si>
    <t xml:space="preserve">Alternates </t>
  </si>
  <si>
    <r>
      <rPr>
        <sz val="10"/>
        <color rgb="FF000000"/>
        <rFont val="Arial"/>
        <family val="2"/>
      </rPr>
      <t xml:space="preserve">Caulking at all precast-to-precast joints and pecast-to washpur joints Uerthan caulking at both sides with mineral wool filter at all fire rated joints at wall common with dormitory corridors, stair, and elevator shafts at </t>
    </r>
    <r>
      <rPr>
        <b/>
        <sz val="10"/>
        <color rgb="FF000000"/>
        <rFont val="Arial"/>
        <family val="2"/>
      </rPr>
      <t>Parking Garage</t>
    </r>
  </si>
  <si>
    <r>
      <rPr>
        <sz val="10"/>
        <color rgb="FF000000"/>
        <rFont val="Arial"/>
        <family val="2"/>
      </rPr>
      <t xml:space="preserve">Urethane caulking at exterior (1 layer) and interior (1Layer) Precast-to-precast wall panel, vertical joints and wall panel horizontal joints at </t>
    </r>
    <r>
      <rPr>
        <b/>
        <sz val="10"/>
        <color rgb="FF000000"/>
        <rFont val="Arial"/>
        <family val="2"/>
      </rPr>
      <t>Dorm Building</t>
    </r>
  </si>
  <si>
    <t>Barrier cabels at parking garage</t>
  </si>
  <si>
    <r>
      <rPr>
        <sz val="10"/>
        <color rgb="FF000000"/>
        <rFont val="Arial"/>
        <family val="2"/>
      </rPr>
      <t>Cast -in-place Wash pours strips and topping slabs  for</t>
    </r>
    <r>
      <rPr>
        <b/>
        <sz val="10"/>
        <color rgb="FF000000"/>
        <rFont val="Arial"/>
        <family val="2"/>
      </rPr>
      <t xml:space="preserve"> Parking Garage</t>
    </r>
  </si>
  <si>
    <r>
      <rPr>
        <sz val="10"/>
        <color rgb="FF000000"/>
        <rFont val="Arial"/>
        <family val="2"/>
      </rPr>
      <t xml:space="preserve">Cast -in-place Wash pours strips and  3-1/2" topping reinforced slabs over metrodeck floor areas at </t>
    </r>
    <r>
      <rPr>
        <b/>
        <sz val="10"/>
        <color rgb="FF000000"/>
        <rFont val="Arial"/>
        <family val="2"/>
      </rPr>
      <t>Dorm Building</t>
    </r>
  </si>
  <si>
    <t>S121</t>
  </si>
  <si>
    <t>Field topping slabe 2" fpr all stair landings, flatslabs, including trash rooms, elevator lobbies/Vistibules, electrical rooms, and mechanical rooms at elevated floors</t>
  </si>
  <si>
    <t>RFI1-17 add#1</t>
  </si>
  <si>
    <t>Monumental wall graphics  (Allowance) (see alternate</t>
  </si>
  <si>
    <t>Pre cast site dumpster enclosures walls</t>
  </si>
  <si>
    <t>Corrosion inhabitor and stainless steel connectors at the top level of garage</t>
  </si>
  <si>
    <t>Window opening chammfers and building corner extensions</t>
  </si>
  <si>
    <t>Signed and sealed bracing plan</t>
  </si>
  <si>
    <t>Fagman</t>
  </si>
  <si>
    <t>Crane Mats 6 months</t>
  </si>
  <si>
    <t>Building expansion allowance #11</t>
  </si>
  <si>
    <t>General scope</t>
  </si>
  <si>
    <t>BIM Model</t>
  </si>
  <si>
    <t>All cranes and equipment for installation</t>
  </si>
  <si>
    <t>Wood nailer for personnel door framing</t>
  </si>
  <si>
    <t>Window framing wood nailer</t>
  </si>
  <si>
    <t>Stair nosings</t>
  </si>
  <si>
    <t>Provide all steel embeds for the Pre-Cast walls, Columns,  and beams (installation by Cast-In Place Sub)</t>
  </si>
  <si>
    <t>S301</t>
  </si>
  <si>
    <t>Non-Shrink grout as required for all columns walls</t>
  </si>
  <si>
    <t>S302</t>
  </si>
  <si>
    <t>Fill all grout pocket after all connections</t>
  </si>
  <si>
    <t>S310</t>
  </si>
  <si>
    <t>Fill all keyway with CIP concrete for all slab-to slab or slab to wall connectins</t>
  </si>
  <si>
    <t>Addendum #7 - extending wings</t>
  </si>
  <si>
    <t>Architectural Precast</t>
  </si>
  <si>
    <t>03 45 00</t>
  </si>
  <si>
    <t>Tilt Wall Concrete</t>
  </si>
  <si>
    <t>03 47 00</t>
  </si>
  <si>
    <t xml:space="preserve">Project:   </t>
  </si>
  <si>
    <t>walls - S112, S114  - B.15 to B.24 / A.18</t>
  </si>
  <si>
    <t>canopy VE option</t>
  </si>
  <si>
    <t>Pilar Welding</t>
  </si>
  <si>
    <t>Suncor</t>
  </si>
  <si>
    <t>Paradise Panel and Steel</t>
  </si>
  <si>
    <t>Rapid Accurate Design</t>
  </si>
  <si>
    <t>Coastal Metal</t>
  </si>
  <si>
    <t>Steel</t>
  </si>
  <si>
    <t>Estimating</t>
  </si>
  <si>
    <t>Scott Kuiper</t>
  </si>
  <si>
    <t>Ralph Gainer</t>
  </si>
  <si>
    <t>Zach Thompson</t>
  </si>
  <si>
    <t>Laura Montes</t>
  </si>
  <si>
    <t>05 10 00</t>
  </si>
  <si>
    <t>561-524-9246</t>
  </si>
  <si>
    <t>305-359-1400</t>
  </si>
  <si>
    <t>305-597-5714 ext 206</t>
  </si>
  <si>
    <t xml:space="preserve"> 561-635-5907</t>
  </si>
  <si>
    <t>561-819-0308</t>
  </si>
  <si>
    <t>estimating@pilarwelding.com</t>
  </si>
  <si>
    <t>scott.k@suncor.net</t>
  </si>
  <si>
    <t>rgainer@panelsandsteel.com</t>
  </si>
  <si>
    <t>zt@radaf.com</t>
  </si>
  <si>
    <t>lmontes@coastalmetal.biz</t>
  </si>
  <si>
    <t>?</t>
  </si>
  <si>
    <t>{3.0%}</t>
  </si>
  <si>
    <t>Acknowledgement of RFIs</t>
  </si>
  <si>
    <t>Acknowledgement of addendums</t>
  </si>
  <si>
    <t>Acknowledgement of specs manual</t>
  </si>
  <si>
    <r>
      <rPr>
        <b/>
        <sz val="11"/>
        <color rgb="FF000000"/>
        <rFont val="Calibri"/>
        <family val="2"/>
        <scheme val="minor"/>
      </rPr>
      <t xml:space="preserve">Steel Shade devices (6) </t>
    </r>
    <r>
      <rPr>
        <b/>
        <i/>
        <sz val="11"/>
        <color rgb="FFFF0000"/>
        <rFont val="Calibri"/>
        <family val="2"/>
        <scheme val="minor"/>
      </rPr>
      <t xml:space="preserve"> - Excluded, see alternate</t>
    </r>
  </si>
  <si>
    <t>{212610}</t>
  </si>
  <si>
    <t>Aluminum Powdercoating 10 year warranty as per Add #5</t>
  </si>
  <si>
    <t>{alum powdercoated}</t>
  </si>
  <si>
    <t>Structural Steel as per details S500,S502,S503</t>
  </si>
  <si>
    <t>Steel Canopies devices (5) - AESS Cat 1 as per RFI #29</t>
  </si>
  <si>
    <t xml:space="preserve">RFI#200 Galvanized w/ white paint </t>
  </si>
  <si>
    <t>Structural Steel as per details S500,S501,S502,S503</t>
  </si>
  <si>
    <t>Water scuppers</t>
  </si>
  <si>
    <r>
      <rPr>
        <sz val="10"/>
        <color rgb="FF000000"/>
        <rFont val="Arial"/>
        <family val="2"/>
      </rPr>
      <t xml:space="preserve">ACM paneling </t>
    </r>
    <r>
      <rPr>
        <i/>
        <sz val="10"/>
        <color rgb="FFFF0000"/>
        <rFont val="Arial"/>
        <family val="2"/>
      </rPr>
      <t>- in Metal Panel</t>
    </r>
  </si>
  <si>
    <t>asked deduct</t>
  </si>
  <si>
    <t>Precast T flange support at CIP slab edge - foundation level CIP wall between grid lines A.21 &amp; A.22, B.15 &amp; B.24</t>
  </si>
  <si>
    <t>P</t>
  </si>
  <si>
    <r>
      <rPr>
        <sz val="10"/>
        <color rgb="FF000000"/>
        <rFont val="Arial"/>
        <family val="2"/>
      </rPr>
      <t xml:space="preserve">GALV L8x8x1/2 x 12" @ 4'-0" w/ </t>
    </r>
    <r>
      <rPr>
        <sz val="10"/>
        <color rgb="FF000000"/>
        <rFont val="Arial"/>
        <family val="2"/>
      </rPr>
      <t xml:space="preserve"> (132 LF of wall)</t>
    </r>
  </si>
  <si>
    <t>8/S301, S112,S114</t>
  </si>
  <si>
    <t>(2) 3/4" SS SCR ANCHORS w/ 6" EMBED @ 8"</t>
  </si>
  <si>
    <r>
      <rPr>
        <sz val="10"/>
        <color rgb="FF000000"/>
        <rFont val="Arial"/>
        <family val="2"/>
      </rPr>
      <t xml:space="preserve">Elevator Guide Rail bracing - confirm requirement with elev sub - </t>
    </r>
    <r>
      <rPr>
        <i/>
        <sz val="10"/>
        <color rgb="FFFF0000"/>
        <rFont val="Arial"/>
        <family val="2"/>
      </rPr>
      <t>Excluded</t>
    </r>
  </si>
  <si>
    <t>5 &amp; 6/S311</t>
  </si>
  <si>
    <t>Plates &amp; embed at PT Beams - 2nd Floor Framing only - Grid Lines A.31 &amp; A.33</t>
  </si>
  <si>
    <t>3/4"x10"x72" PL</t>
  </si>
  <si>
    <t>4/S321</t>
  </si>
  <si>
    <t xml:space="preserve">3/4"x12"x36" PL </t>
  </si>
  <si>
    <t>4/S321, S122, S124</t>
  </si>
  <si>
    <t>(10) 3/4" ⌀ x 8" LG HAS @ 8" EW ( at CIP columns)</t>
  </si>
  <si>
    <r>
      <rPr>
        <sz val="10"/>
        <color rgb="FF000000"/>
        <rFont val="Arial"/>
        <family val="2"/>
      </rPr>
      <t xml:space="preserve">GALV 1/2"x12"x1'-0" PL @ 4' OC  </t>
    </r>
    <r>
      <rPr>
        <i/>
        <sz val="10"/>
        <color rgb="FFFF0000"/>
        <rFont val="Arial"/>
        <family val="2"/>
      </rPr>
      <t>(170 LF of PT beam)</t>
    </r>
  </si>
  <si>
    <t>1 &amp; 2/S321</t>
  </si>
  <si>
    <t>(4)3/4" ⌀ x 8" LG HAS @ 8" EW</t>
  </si>
  <si>
    <r>
      <rPr>
        <sz val="10"/>
        <color rgb="FF000000"/>
        <rFont val="Arial"/>
        <family val="2"/>
      </rPr>
      <t xml:space="preserve">L6x4x3/8 LLV CONT </t>
    </r>
    <r>
      <rPr>
        <i/>
        <sz val="10"/>
        <color rgb="FFFF0000"/>
        <rFont val="Arial"/>
        <family val="2"/>
      </rPr>
      <t>(170 LF of PT beam)</t>
    </r>
  </si>
  <si>
    <t>1&amp; 2/S321</t>
  </si>
  <si>
    <r>
      <rPr>
        <sz val="10"/>
        <color rgb="FF000000"/>
        <rFont val="Arial"/>
        <family val="2"/>
      </rPr>
      <t xml:space="preserve">L8x6x1/2x12" LLV @ 3' OC   </t>
    </r>
    <r>
      <rPr>
        <i/>
        <sz val="10"/>
        <color rgb="FFFF0000"/>
        <rFont val="Arial"/>
        <family val="2"/>
      </rPr>
      <t>(170 LF of PT beam)</t>
    </r>
  </si>
  <si>
    <t>3/S321</t>
  </si>
  <si>
    <t>(2) 3/4" ADHESIVE ANCHORS w/ 6" EMBED      @ 8" THRU VERT SLOT</t>
  </si>
  <si>
    <r>
      <rPr>
        <sz val="10"/>
        <color rgb="FF000000"/>
        <rFont val="Arial"/>
        <family val="2"/>
      </rPr>
      <t xml:space="preserve">PL 1/2"x9"x0'-9"  </t>
    </r>
    <r>
      <rPr>
        <i/>
        <sz val="10"/>
        <color rgb="FFFF0000"/>
        <rFont val="Arial"/>
        <family val="2"/>
      </rPr>
      <t>(170 LF of PT beam)</t>
    </r>
  </si>
  <si>
    <t xml:space="preserve"> (4) 3/4"x6"LG HEADED STUDS @ 6" EW</t>
  </si>
  <si>
    <t>Top of CMU wall to Double Tees - walls - S112, S114  - B.15 to B.24 / A.18</t>
  </si>
  <si>
    <t>3/S400</t>
  </si>
  <si>
    <r>
      <rPr>
        <sz val="10"/>
        <color rgb="FF000000"/>
        <rFont val="Arial"/>
        <family val="2"/>
      </rPr>
      <t xml:space="preserve">3/8" PL x5" WIDE @ 4'-0"  </t>
    </r>
    <r>
      <rPr>
        <i/>
        <sz val="10"/>
        <color rgb="FFFF0000"/>
        <rFont val="Arial"/>
        <family val="2"/>
      </rPr>
      <t>(180 LF of CMU wall)</t>
    </r>
  </si>
  <si>
    <t>3/8" ⌀SCREW ANCHORS W/ 2" EMBED</t>
  </si>
  <si>
    <t>PL1/4"x5"x18" @ 4'-0"</t>
  </si>
  <si>
    <t>L6x4x5/16x3", BS @ 4'-0"</t>
  </si>
  <si>
    <t>6"x4"x1/4"x4" WIDE BENT PL @4'</t>
  </si>
  <si>
    <t xml:space="preserve">L6x6x3/8x4" @ 4'-0" BS </t>
  </si>
  <si>
    <t>3/8" ⌀ SCREW ANCHORS</t>
  </si>
  <si>
    <t>General Conditions and Installation</t>
  </si>
  <si>
    <t>Wing Shaped canopies</t>
  </si>
  <si>
    <t xml:space="preserve">Bidder 4 </t>
  </si>
  <si>
    <t>Chancey Metals</t>
  </si>
  <si>
    <t>Unlimited Welding</t>
  </si>
  <si>
    <t>Atlantic Central Enterprises, Inc</t>
  </si>
  <si>
    <t>Robert Rutherford</t>
  </si>
  <si>
    <t>Yailen Montes</t>
  </si>
  <si>
    <t>Steve Traulsen</t>
  </si>
  <si>
    <t>(561) 819-0308</t>
  </si>
  <si>
    <t>904-260-6880</t>
  </si>
  <si>
    <t>407-509-6877</t>
  </si>
  <si>
    <t>386-255-6227</t>
  </si>
  <si>
    <t>&lt;lmontes@coastalmetal.biz&gt;</t>
  </si>
  <si>
    <t xml:space="preserve">Estimating@chanceymetals.com </t>
  </si>
  <si>
    <t>Robert.Rutherford@unlimitedwelding.com</t>
  </si>
  <si>
    <t xml:space="preserve"> &lt;estimating@pilarwelding.com&gt;</t>
  </si>
  <si>
    <t>ace-st@cfl.rr.com</t>
  </si>
  <si>
    <t>Stair guardrailings (Stairs A,B,C,D)</t>
  </si>
  <si>
    <t>Railing specs (1 1/2" dia guardrail, 1 1/2" dia posts, 3/4" dia. metal pickets)</t>
  </si>
  <si>
    <r>
      <rPr>
        <sz val="11"/>
        <color rgb="FF000000"/>
        <rFont val="Calibri"/>
        <family val="2"/>
        <scheme val="minor"/>
      </rPr>
      <t>ESP painting</t>
    </r>
    <r>
      <rPr>
        <sz val="11"/>
        <color rgb="FFFF0000"/>
        <rFont val="Calibri"/>
        <family val="2"/>
        <scheme val="minor"/>
      </rPr>
      <t xml:space="preserve"> -</t>
    </r>
    <r>
      <rPr>
        <i/>
        <sz val="11"/>
        <color rgb="FFFF0000"/>
        <rFont val="Calibri"/>
        <family val="2"/>
        <scheme val="minor"/>
      </rPr>
      <t xml:space="preserve"> see in Painting</t>
    </r>
  </si>
  <si>
    <t>Stair wall mounted handrailings</t>
  </si>
  <si>
    <t>Railing specs (1 1/2" dia guardrail))</t>
  </si>
  <si>
    <r>
      <rPr>
        <sz val="11"/>
        <color rgb="FF000000"/>
        <rFont val="Calibri"/>
        <family val="2"/>
        <scheme val="minor"/>
      </rPr>
      <t xml:space="preserve">ESP painting </t>
    </r>
    <r>
      <rPr>
        <sz val="11"/>
        <color rgb="FFFF0000"/>
        <rFont val="Calibri"/>
        <family val="2"/>
        <scheme val="minor"/>
      </rPr>
      <t>-</t>
    </r>
    <r>
      <rPr>
        <i/>
        <sz val="11"/>
        <color rgb="FFFF0000"/>
        <rFont val="Calibri"/>
        <family val="2"/>
        <scheme val="minor"/>
      </rPr>
      <t xml:space="preserve"> see in Painting</t>
    </r>
  </si>
  <si>
    <t>Concealed brackets</t>
  </si>
  <si>
    <t>Cane detection rail</t>
  </si>
  <si>
    <t>Wired fence w/door at 7th floor Stair A&amp;C</t>
  </si>
  <si>
    <t>Facade Metal Screen 10ea @ 170 SF = 1700 SF</t>
  </si>
  <si>
    <t>RFI#25</t>
  </si>
  <si>
    <t>6"x6" galv steel frame</t>
  </si>
  <si>
    <t>4"x4"x3/32" mesh</t>
  </si>
  <si>
    <t>Aircraft graphics 16ga steel plate laser cut</t>
  </si>
  <si>
    <r>
      <rPr>
        <sz val="10"/>
        <color rgb="FF000000"/>
        <rFont val="Arial"/>
        <family val="2"/>
      </rPr>
      <t xml:space="preserve">20"x20" footings for screens </t>
    </r>
    <r>
      <rPr>
        <i/>
        <sz val="10"/>
        <color rgb="FFFF0000"/>
        <rFont val="Arial"/>
        <family val="2"/>
      </rPr>
      <t>- in Concrete</t>
    </r>
  </si>
  <si>
    <t>Finish</t>
  </si>
  <si>
    <t>{AAMA2604}</t>
  </si>
  <si>
    <t>Single Elevator</t>
  </si>
  <si>
    <t>Hoist Beam, Sum pit cover, Pit ladder</t>
  </si>
  <si>
    <t>Double Elevator</t>
  </si>
  <si>
    <t>Separator beams</t>
  </si>
  <si>
    <t>Garage Sliding gates</t>
  </si>
  <si>
    <t>Dumpster gates</t>
  </si>
  <si>
    <t>1/AS102</t>
  </si>
  <si>
    <t>Galv Steel 20Ga w/ 8"x8" galv tube</t>
  </si>
  <si>
    <t>Bollards (6" dia)</t>
  </si>
  <si>
    <t>1/AS102, A557</t>
  </si>
  <si>
    <t>General Conditions (equipment, mobilization, etc)</t>
  </si>
  <si>
    <r>
      <rPr>
        <sz val="10"/>
        <color rgb="FF000000"/>
        <rFont val="Arial"/>
        <family val="2"/>
      </rPr>
      <t>Hanger rod canopies -</t>
    </r>
    <r>
      <rPr>
        <i/>
        <sz val="10"/>
        <color rgb="FFFF0000"/>
        <rFont val="Arial"/>
        <family val="2"/>
      </rPr>
      <t xml:space="preserve"> in Div 13</t>
    </r>
  </si>
  <si>
    <t>A644</t>
  </si>
  <si>
    <t>HSS tubes and structural steel at elevator guide rails shown in S311 are excluded</t>
  </si>
  <si>
    <t>Alternate No. 4 Exposed anchors in lieu of concealed anchors at wall mounted railings</t>
  </si>
  <si>
    <t>Alternate No. 5 Primed and Painted railings in lieu of Electrospray ESP coating</t>
  </si>
  <si>
    <t>Add for garage corner guards</t>
  </si>
  <si>
    <t>roof blocking - pressure treated</t>
  </si>
  <si>
    <t>10/A540 - 2x4 (3) &amp;  2x8 (1)</t>
  </si>
  <si>
    <t>1, 4, 7/A540 - 2x6 (2)</t>
  </si>
  <si>
    <t>1/A520</t>
  </si>
  <si>
    <t>Project Carptenter</t>
  </si>
  <si>
    <t>WKS</t>
  </si>
  <si>
    <t>Project Carpenter Forman</t>
  </si>
  <si>
    <t>Wood Trusses</t>
  </si>
  <si>
    <t>06 17 00</t>
  </si>
  <si>
    <t>Astera, Inc.</t>
  </si>
  <si>
    <t>National Kitchen &amp; Bath, LLC.</t>
  </si>
  <si>
    <t>Catapult Construction</t>
  </si>
  <si>
    <t>Central Florida Millwork</t>
  </si>
  <si>
    <t>Hanna Raharjo</t>
  </si>
  <si>
    <t>Michael K Schwartz</t>
  </si>
  <si>
    <t>Mary Gwen</t>
  </si>
  <si>
    <t>06 20 00</t>
  </si>
  <si>
    <t xml:space="preserve">877-374-6782  </t>
  </si>
  <si>
    <t>954-294-1821</t>
  </si>
  <si>
    <t>312-722-1211</t>
  </si>
  <si>
    <t>hanna@asterakb.com</t>
  </si>
  <si>
    <t xml:space="preserve">Michael@nationalkb.com&gt; </t>
  </si>
  <si>
    <t>marygwen@mgcontractresources.com</t>
  </si>
  <si>
    <t>Common Areas</t>
  </si>
  <si>
    <t>Main Lobby 100</t>
  </si>
  <si>
    <t>1-4/A471</t>
  </si>
  <si>
    <t xml:space="preserve">Wood slats </t>
  </si>
  <si>
    <t>A473</t>
  </si>
  <si>
    <t xml:space="preserve">Ezo Wood  3D countour HD Oak </t>
  </si>
  <si>
    <t>3/A473</t>
  </si>
  <si>
    <t>4" Black steel base</t>
  </si>
  <si>
    <t>4/A473</t>
  </si>
  <si>
    <t>foam stone-texture cladding</t>
  </si>
  <si>
    <t>A471</t>
  </si>
  <si>
    <t>Reception desk</t>
  </si>
  <si>
    <t>A712, RFI#134, RFI#157</t>
  </si>
  <si>
    <t>SS1 - Solid surface countertop</t>
  </si>
  <si>
    <t>Metal brackets</t>
  </si>
  <si>
    <t>PL-4 cabinets</t>
  </si>
  <si>
    <t>Knee wall - in Drywall</t>
  </si>
  <si>
    <t>Lobby 102&amp;119</t>
  </si>
  <si>
    <t>2/A472</t>
  </si>
  <si>
    <t>QEM Sheet Moss dark green</t>
  </si>
  <si>
    <t>Ezo Wood  3D countour HD Oak</t>
  </si>
  <si>
    <t>Concrete textured wallpaper WP01&amp;WP02</t>
  </si>
  <si>
    <t>132 Kitchen, 1505 Kitchenette, 164 Kitchen</t>
  </si>
  <si>
    <t>A430,A431,A432</t>
  </si>
  <si>
    <t>Wall cabinets w/ adjustable shelves &amp; closure trim</t>
  </si>
  <si>
    <t>A710</t>
  </si>
  <si>
    <t>Base cabinets</t>
  </si>
  <si>
    <t>Countertop</t>
  </si>
  <si>
    <t>Removable access panel (ADA) - PCB or Plywood with plam finish</t>
  </si>
  <si>
    <t>All public restrooms (135&amp;136,158&amp;159, 140&amp;141, 149&amp;150)</t>
  </si>
  <si>
    <t>1/A430</t>
  </si>
  <si>
    <t>Vanity countertop &amp; Panel - solid surface</t>
  </si>
  <si>
    <t>12/A710</t>
  </si>
  <si>
    <t>Material specs:</t>
  </si>
  <si>
    <t xml:space="preserve"> 3/4" plywood w/ p.lam finish shelves and box</t>
  </si>
  <si>
    <t>3/4" moisture and water resistant particleboard construction is acceptable as per RFI#6</t>
  </si>
  <si>
    <t>Accessible pulls</t>
  </si>
  <si>
    <t>All exposed surfaces to be p.lam.</t>
  </si>
  <si>
    <t>Solid surface countertops as per Addendum#3 RFIs</t>
  </si>
  <si>
    <t>Installation</t>
  </si>
  <si>
    <t>LS</t>
  </si>
  <si>
    <t>Bidder4</t>
  </si>
  <si>
    <t>Architectural Woodwork</t>
  </si>
  <si>
    <t>06 40 00</t>
  </si>
  <si>
    <t>GCC</t>
  </si>
  <si>
    <t>Daniel Insulation</t>
  </si>
  <si>
    <t>Tri Tech</t>
  </si>
  <si>
    <t>FLUID-APPLIED MEMBRANE AIR BARRIERS</t>
  </si>
  <si>
    <t>GCP Applied Technologies; Perma-A-Barrier VPL</t>
  </si>
  <si>
    <t>Formed metal wall panels</t>
  </si>
  <si>
    <t>Composite metal panels</t>
  </si>
  <si>
    <t>Exterior openings - continue fluid applied membrane</t>
  </si>
  <si>
    <t>Windows</t>
  </si>
  <si>
    <t>Curtainwall</t>
  </si>
  <si>
    <t>Storefront</t>
  </si>
  <si>
    <t>Caulking</t>
  </si>
  <si>
    <t xml:space="preserve">Secondary at </t>
  </si>
  <si>
    <t>Expansion material &amp; caulk - 3&amp;4/A540</t>
  </si>
  <si>
    <t>Building to sidewalk</t>
  </si>
  <si>
    <t>Elevator pits waterproofing</t>
  </si>
  <si>
    <t>Volclay</t>
  </si>
  <si>
    <t>Carlise Miraclay</t>
  </si>
  <si>
    <t>Traffic Coating - garage upper level only? - can see where called for anywhere</t>
  </si>
  <si>
    <t xml:space="preserve">1. Carlisle Coatings &amp; Waterproofing, Inc.; CCW-5013. </t>
  </si>
  <si>
    <t xml:space="preserve">2. Pacific Polymers International, Inc.; Elasto-Deck 5000. </t>
  </si>
  <si>
    <t xml:space="preserve">3. Tamms Industries, Inc.; Tammsdeck System. </t>
  </si>
  <si>
    <t>Shower enclosure</t>
  </si>
  <si>
    <t>waterproofing</t>
  </si>
  <si>
    <t>mud set</t>
  </si>
  <si>
    <t>We have included waterproofing at the interior side of elevator pits only</t>
  </si>
  <si>
    <t>Traffic coating is include d at the top level of the garage only</t>
  </si>
  <si>
    <t>Water Proofing</t>
  </si>
  <si>
    <t>07 17 00</t>
  </si>
  <si>
    <t>Cladding &amp; Component</t>
  </si>
  <si>
    <t>Cynergy</t>
  </si>
  <si>
    <t>Quality Metals Inc</t>
  </si>
  <si>
    <t>Kistler</t>
  </si>
  <si>
    <t xml:space="preserve">Paradise Architectural </t>
  </si>
  <si>
    <t>Metal Panel</t>
  </si>
  <si>
    <t xml:space="preserve">Randy Sargent </t>
  </si>
  <si>
    <t>Richard Filiault</t>
  </si>
  <si>
    <t>Blake Bassett</t>
  </si>
  <si>
    <t xml:space="preserve">Jennifer Young      </t>
  </si>
  <si>
    <t>(770) 887-2777</t>
  </si>
  <si>
    <t>(704) 999-3825</t>
  </si>
  <si>
    <t xml:space="preserve">(407) 321-3181 </t>
  </si>
  <si>
    <t xml:space="preserve">(470) 831-4229 </t>
  </si>
  <si>
    <t xml:space="preserve">(305) 597-5714 </t>
  </si>
  <si>
    <t xml:space="preserve">jcumbess@ccsimagegroup.com </t>
  </si>
  <si>
    <t>rfiliault@cynergysystemsinc.com</t>
  </si>
  <si>
    <t>blake@qualitymetals.net</t>
  </si>
  <si>
    <t xml:space="preserve">Jennifer@KistlerUS.com </t>
  </si>
  <si>
    <t>rgainer@PanelsAndSteel.com</t>
  </si>
  <si>
    <t>{1.4}</t>
  </si>
  <si>
    <t>Prefinihsed Metal Panel System</t>
  </si>
  <si>
    <t>A600, 601</t>
  </si>
  <si>
    <t>Section 074213.13 - Formed Metal Wall Panels</t>
  </si>
  <si>
    <t>Manufacturers: Subject to compliance with requirements, provide basis of design product but products by one of the following may be submitted for substitution:</t>
  </si>
  <si>
    <t>AEP Span; a BlueScope Steel company.</t>
  </si>
  <si>
    <t>Alcoa Inc.</t>
  </si>
  <si>
    <t>Architectural Building Components.</t>
  </si>
  <si>
    <t>Architectural Metal Systems; a Nucor company.</t>
  </si>
  <si>
    <t>ATAS International, Inc.</t>
  </si>
  <si>
    <t>Berridge Manufacturing Company.</t>
  </si>
  <si>
    <t>CENTRIA Architectural Systems.</t>
  </si>
  <si>
    <t>Fabral.</t>
  </si>
  <si>
    <t>MBCI; a division of NCI Building Systems, L.P.</t>
  </si>
  <si>
    <t>Metal-Fab Manufacturing, LLC</t>
  </si>
  <si>
    <t>Morin; a Kingspan Group company.</t>
  </si>
  <si>
    <t>Petersen Alum Corp. (Basis of Design) PAC-CLAD HWP, Berridge</t>
  </si>
  <si>
    <t>Finish - Three-Coat Fluropolymer</t>
  </si>
  <si>
    <t xml:space="preserve">Section 074213.23  Metal Composite Material Wall Panels </t>
  </si>
  <si>
    <t xml:space="preserve">Products:  Subject to compliance with requirements. </t>
  </si>
  <si>
    <t xml:space="preserve">3A Composites USA, Inc.  Alucobond (FR)  (Basis of Design) </t>
  </si>
  <si>
    <t xml:space="preserve">Alcoa Inc; Reynonbond (FR) </t>
  </si>
  <si>
    <t xml:space="preserve">Mitsubishi Plastics Composites America, Inc. (FR) </t>
  </si>
  <si>
    <t>Finish - Two-Coat Fluropolymer</t>
  </si>
  <si>
    <t>Vertical at exterior elevations</t>
  </si>
  <si>
    <t>Canopy panels</t>
  </si>
  <si>
    <t>A641 - 4 locations</t>
  </si>
  <si>
    <t>A642 - 1 locations</t>
  </si>
  <si>
    <t>A643 - 2 locations</t>
  </si>
  <si>
    <t>Siding</t>
  </si>
  <si>
    <t>07 46 00</t>
  </si>
  <si>
    <t>P&amp;A Roofing</t>
  </si>
  <si>
    <t>Vince Niesen</t>
  </si>
  <si>
    <t>Shaun Tuthill</t>
  </si>
  <si>
    <t>( 904 ) 304-7400</t>
  </si>
  <si>
    <t xml:space="preserve">(407) 650-9541 </t>
  </si>
  <si>
    <t>Vince@JenkinsRoofingInc.com</t>
  </si>
  <si>
    <t>stuthill@pa-roofing.com</t>
  </si>
  <si>
    <t>Membrane Roofing</t>
  </si>
  <si>
    <t xml:space="preserve">Section 075218 - Styrene-Butadiene-Styrene (SBS) Modified Bituminous Membrane Roofing/Over Insulated Lightweight Concrete </t>
  </si>
  <si>
    <t>Warranty Period:  2 years from date of Substantial Completion</t>
  </si>
  <si>
    <t>Siplast 20 Year Roof System Guarantee</t>
  </si>
  <si>
    <t>Manufacturers: Siplast, Inc. (Basis of Design)  No substitution accepted</t>
  </si>
  <si>
    <t xml:space="preserve">Walktread: Paratread Roof Protection </t>
  </si>
  <si>
    <t>LWIC - R39</t>
  </si>
  <si>
    <t xml:space="preserve">Roof membrane </t>
  </si>
  <si>
    <t>Flashings at roof drains &amp; penetrations</t>
  </si>
  <si>
    <t>VTR</t>
  </si>
  <si>
    <t>Parapet coping</t>
  </si>
  <si>
    <t xml:space="preserve">parapet  </t>
  </si>
  <si>
    <t>parapet stair &amp; elevator</t>
  </si>
  <si>
    <t>parapet w/ gutter</t>
  </si>
  <si>
    <t>Roof expansion joints</t>
  </si>
  <si>
    <t>Gutters &amp; downspouts</t>
  </si>
  <si>
    <t>20 year warranty</t>
  </si>
  <si>
    <t>Exhaust fans - flashings</t>
  </si>
  <si>
    <t>RTU - flashings</t>
  </si>
  <si>
    <t>Canopies</t>
  </si>
  <si>
    <t>Fire Stop Systems</t>
  </si>
  <si>
    <t>07 76 00</t>
  </si>
  <si>
    <t>Floor beams</t>
  </si>
  <si>
    <t>Deck Angle</t>
  </si>
  <si>
    <t>Roof Beams</t>
  </si>
  <si>
    <t>Curtain Wall assembly</t>
  </si>
  <si>
    <t>Justin Cesaretti</t>
  </si>
  <si>
    <t xml:space="preserve">(689) 262-0407 </t>
  </si>
  <si>
    <t>justin.cesaretti@truteam.com</t>
  </si>
  <si>
    <t>Expansion joints shall be a maximum of 3", and their details and exact locations will be coordinated during the Precast Concrete Engineering Phase.
For the purpose of bidding, assume the following typical conditions:
•Horizontal expansion joints will occur between two precast slabs at each residential level.
•Vertical expansion joints will occur between two aligned precast wall panels along the south and north elevations, and at interior corners adjacent to the storefront systems in the study rooms on the east elevation.
•MM Systems or Watson Bowman Acme as the basis of design for pricing and coordination.</t>
  </si>
  <si>
    <t>A121 corridor ceiling</t>
  </si>
  <si>
    <t>vertical walls corridor</t>
  </si>
  <si>
    <t>1/A521</t>
  </si>
  <si>
    <t>A123 corridor ceiling</t>
  </si>
  <si>
    <t>corridor ceiling</t>
  </si>
  <si>
    <t>2/A521</t>
  </si>
  <si>
    <t>A121 corridor floor</t>
  </si>
  <si>
    <t>corridor floor</t>
  </si>
  <si>
    <t>A121 vertical corridor</t>
  </si>
  <si>
    <t>exterior vertical - metal panel - outside / inside</t>
  </si>
  <si>
    <t>3/A521</t>
  </si>
  <si>
    <t>A131 corridor ceiling</t>
  </si>
  <si>
    <t>exterior vertical - precast panel - outside / inside</t>
  </si>
  <si>
    <t>4/A521</t>
  </si>
  <si>
    <t>A133 corridor ceiling</t>
  </si>
  <si>
    <t>roof deck - fire barrier only</t>
  </si>
  <si>
    <t>5/A521</t>
  </si>
  <si>
    <t>A151 corridor ceiling</t>
  </si>
  <si>
    <t>A151 corridor floor</t>
  </si>
  <si>
    <t>A153 corridor ceiling</t>
  </si>
  <si>
    <t>A153 corridor floor</t>
  </si>
  <si>
    <t>A153 vertical corridor</t>
  </si>
  <si>
    <t>A161 corridor ceiling</t>
  </si>
  <si>
    <t>A161 corridor floor</t>
  </si>
  <si>
    <t>A161 vertical corridor</t>
  </si>
  <si>
    <t>A163 corridor ceiling</t>
  </si>
  <si>
    <t>A163 corridor floor</t>
  </si>
  <si>
    <t>A163 vertical corridor</t>
  </si>
  <si>
    <t>A170 roof deck</t>
  </si>
  <si>
    <t>Bidder8</t>
  </si>
  <si>
    <t>Bidder7</t>
  </si>
  <si>
    <t>Cook &amp; Boardman</t>
  </si>
  <si>
    <t>Unified Doors &amp; Hard</t>
  </si>
  <si>
    <t>Superior Hardware</t>
  </si>
  <si>
    <t>Allied Door &amp; Hardware</t>
  </si>
  <si>
    <t>Taylor-Cotton-Ridley</t>
  </si>
  <si>
    <t>Commercial Doorways</t>
  </si>
  <si>
    <t>JDR Doors &amp; Hardware</t>
  </si>
  <si>
    <t>Builders FirstSource</t>
  </si>
  <si>
    <t>APRO Construction Group</t>
  </si>
  <si>
    <t>Doors, Frames &amp; Hardware</t>
  </si>
  <si>
    <t>Mark Hill</t>
  </si>
  <si>
    <t xml:space="preserve">LynDea Drury </t>
  </si>
  <si>
    <t>Estimator</t>
  </si>
  <si>
    <t>08 10 00</t>
  </si>
  <si>
    <t>(321) 481-7500</t>
  </si>
  <si>
    <t xml:space="preserve">(407) 298-5114 </t>
  </si>
  <si>
    <t xml:space="preserve">(407) 960-7690 </t>
  </si>
  <si>
    <t xml:space="preserve">       </t>
  </si>
  <si>
    <t>mhill@allieddoors.com</t>
  </si>
  <si>
    <t xml:space="preserve">ldrury@taylorcottonridley.com </t>
  </si>
  <si>
    <t>bids@aprocg.com</t>
  </si>
  <si>
    <t>Door Schedules</t>
  </si>
  <si>
    <t>A630 to A632</t>
  </si>
  <si>
    <t>Common Area Doors</t>
  </si>
  <si>
    <t>HM Frames</t>
  </si>
  <si>
    <t>HM Frame 2-8 x 7-0</t>
  </si>
  <si>
    <t>HM Frame 2-8 x 7-0 45 min</t>
  </si>
  <si>
    <t>HM Frame 3-0 x 7-0</t>
  </si>
  <si>
    <t>HM Frame 3-0 x 7-0 45 min</t>
  </si>
  <si>
    <t>HM Frame 3-0 x 7-0 90 min</t>
  </si>
  <si>
    <t>HM Frame 3-2 x 7-0 90 min</t>
  </si>
  <si>
    <t>HM Frame 3-4 x 7-0 45 min</t>
  </si>
  <si>
    <t>HM Frame 3-4 x 7-0 90 min</t>
  </si>
  <si>
    <t>HM Frame 4-0 x 8-0</t>
  </si>
  <si>
    <t>HM Frame 5-0 x 7-0</t>
  </si>
  <si>
    <t>HM Frame 6-0 x 7-0</t>
  </si>
  <si>
    <t>HM Frame 6-0 x 7-0 45 min</t>
  </si>
  <si>
    <t>HM Frame 6-0 x 7-0 90 min</t>
  </si>
  <si>
    <t>HM Frame 6-0 x 8-0</t>
  </si>
  <si>
    <t>HM Frame 6-0 x 8-0 90 min</t>
  </si>
  <si>
    <t>HM Doors - # leafs</t>
  </si>
  <si>
    <t>SC WD Doors - # leafs</t>
  </si>
  <si>
    <t>Door - Type SC 3-0 x 7-0</t>
  </si>
  <si>
    <t>Door - Type SC 5-0 x 7-0</t>
  </si>
  <si>
    <t>Door - Type SC 6-0 x 7-0</t>
  </si>
  <si>
    <t>Vision Lites</t>
  </si>
  <si>
    <t>Door - Type F 3-0 x 7-0</t>
  </si>
  <si>
    <t>Door - Type F 6-0 x 7-0</t>
  </si>
  <si>
    <t>Door - Type F 6-0 x 8-0</t>
  </si>
  <si>
    <t>Unit Doors</t>
  </si>
  <si>
    <t>U1 - 3-0 x 7-0 - 20 min</t>
  </si>
  <si>
    <t>Steel Redi-Frames</t>
  </si>
  <si>
    <t>U2 - 2-10 x 7-0</t>
  </si>
  <si>
    <t>U3 - 2-10 x 7-0</t>
  </si>
  <si>
    <t>U4 - 5-0 x 7-0</t>
  </si>
  <si>
    <t>U5 - 2-8 x 7-0</t>
  </si>
  <si>
    <t>Guest &amp; Staff Unit Doors</t>
  </si>
  <si>
    <t>U1 - 3-0 x 7-0</t>
  </si>
  <si>
    <t>Kick Plates</t>
  </si>
  <si>
    <t>Hardware - Common Area</t>
  </si>
  <si>
    <t>Hardware Group 1</t>
  </si>
  <si>
    <t>Hardware Group 2</t>
  </si>
  <si>
    <t>Hardware Group 3</t>
  </si>
  <si>
    <t>Hardware Group 4</t>
  </si>
  <si>
    <t>Hardware Group 5</t>
  </si>
  <si>
    <t>Hardware Group 6</t>
  </si>
  <si>
    <t>Hardware Group 7</t>
  </si>
  <si>
    <t>Hardware Group 8</t>
  </si>
  <si>
    <t>Hardware Group 9</t>
  </si>
  <si>
    <t>Hardware Group 10</t>
  </si>
  <si>
    <t>Hardware Group 11</t>
  </si>
  <si>
    <t>Hardware Group 12</t>
  </si>
  <si>
    <t>Hardware Group 13</t>
  </si>
  <si>
    <t>Hardware Group 14</t>
  </si>
  <si>
    <t>Hardware Group 14B</t>
  </si>
  <si>
    <t>Hardware Group 15</t>
  </si>
  <si>
    <t>Hardware Group 16</t>
  </si>
  <si>
    <t>Hardware Group 17</t>
  </si>
  <si>
    <t>Hardware Group 18</t>
  </si>
  <si>
    <t>Hardware Group 19</t>
  </si>
  <si>
    <t>Hardware Group 20</t>
  </si>
  <si>
    <t>Hardware Group 21</t>
  </si>
  <si>
    <t>Hardware Group 22</t>
  </si>
  <si>
    <t>Hardware Group 23</t>
  </si>
  <si>
    <t>Hardware Group 24</t>
  </si>
  <si>
    <t>Hardware Group 25</t>
  </si>
  <si>
    <t>Hardware Group 26</t>
  </si>
  <si>
    <t>Hardware Group 27</t>
  </si>
  <si>
    <t>Hardware Group 28</t>
  </si>
  <si>
    <t>Hardware Group 29</t>
  </si>
  <si>
    <t>Hardware Group 30</t>
  </si>
  <si>
    <t>Hardware Group 31</t>
  </si>
  <si>
    <t>Hardware Group 32</t>
  </si>
  <si>
    <t>Hardware Group 33</t>
  </si>
  <si>
    <t>Hardware Group 34</t>
  </si>
  <si>
    <t>Hardware Group 35</t>
  </si>
  <si>
    <t>Hardware Group 36</t>
  </si>
  <si>
    <t>Hardware Group 37</t>
  </si>
  <si>
    <t>Hardware Group 38</t>
  </si>
  <si>
    <t>Hardware Group 39</t>
  </si>
  <si>
    <t>Hardware Group 40</t>
  </si>
  <si>
    <t>Hardware Group 41</t>
  </si>
  <si>
    <t>Hardware Group 42</t>
  </si>
  <si>
    <t>Hardware Group 43</t>
  </si>
  <si>
    <t>Hardware Group 44</t>
  </si>
  <si>
    <t>Hardware - Units</t>
  </si>
  <si>
    <t>U2</t>
  </si>
  <si>
    <t>U1</t>
  </si>
  <si>
    <t>U3</t>
  </si>
  <si>
    <t>U4</t>
  </si>
  <si>
    <t>U5</t>
  </si>
  <si>
    <t>Tax</t>
  </si>
  <si>
    <t>Installation Common</t>
  </si>
  <si>
    <t>Installation Units</t>
  </si>
  <si>
    <t>Install KD frames</t>
  </si>
  <si>
    <t>Contingency</t>
  </si>
  <si>
    <t>Door casings</t>
  </si>
  <si>
    <t>Retractable Screens</t>
  </si>
  <si>
    <t>08 30</t>
  </si>
  <si>
    <t>BID DOCUMENTS:</t>
  </si>
  <si>
    <t>Plans By Division</t>
  </si>
  <si>
    <t>Need Prequalification</t>
  </si>
  <si>
    <t>Prequalified</t>
  </si>
  <si>
    <t>Coast to Coast Garage Dr</t>
  </si>
  <si>
    <t>Southern Impact Welding</t>
  </si>
  <si>
    <t>Schweiss</t>
  </si>
  <si>
    <t>Natalie Morrison</t>
  </si>
  <si>
    <t>Nick</t>
  </si>
  <si>
    <t xml:space="preserve">Jeremy Rieke </t>
  </si>
  <si>
    <t>(954) 471-4698</t>
  </si>
  <si>
    <t>(352) 235-5211</t>
  </si>
  <si>
    <t xml:space="preserve">(800) 746-8273 </t>
  </si>
  <si>
    <t>nmorrison@c2cgaragedoors.com</t>
  </si>
  <si>
    <t>Sales@southernimpactwelding.com</t>
  </si>
  <si>
    <t>jeremy@schweissdoors.com</t>
  </si>
  <si>
    <t>Vertical Hydraulic Doors - 1st level</t>
  </si>
  <si>
    <t>Basis of Design:  Schweiss Bi-Fold Doors</t>
  </si>
  <si>
    <t>Electric Operator</t>
  </si>
  <si>
    <t>Factory Primer Finish</t>
  </si>
  <si>
    <t>Walk-thru Door</t>
  </si>
  <si>
    <t>External Sheeting</t>
  </si>
  <si>
    <t>Sliding Hangar Door - 5th level</t>
  </si>
  <si>
    <t>pr</t>
  </si>
  <si>
    <t>Basis of Design:  Door Engineering and Manufacturing</t>
  </si>
  <si>
    <t>ODC of Daytona</t>
  </si>
  <si>
    <t>Miner</t>
  </si>
  <si>
    <t>Door Systems of SF</t>
  </si>
  <si>
    <t>American Roll Up Door</t>
  </si>
  <si>
    <t>Jason Hardy</t>
  </si>
  <si>
    <t>Binky Conklin</t>
  </si>
  <si>
    <t>(386) 226-3820</t>
  </si>
  <si>
    <t xml:space="preserve">(407) 600-7260 </t>
  </si>
  <si>
    <t>jason@overheaddoordaytona.com</t>
  </si>
  <si>
    <t>bconklin@minercorp.com</t>
  </si>
  <si>
    <t xml:space="preserve">Overhead Coiling Door Fire rated </t>
  </si>
  <si>
    <t>137B - 8-0 x 8-0</t>
  </si>
  <si>
    <t>153B - 8-0 x 8-0</t>
  </si>
  <si>
    <t>Operation Cycles: not specified for fire rated oodr</t>
  </si>
  <si>
    <t>Insulated</t>
  </si>
  <si>
    <t>Locking Device</t>
  </si>
  <si>
    <t>Motorized</t>
  </si>
  <si>
    <t>Baked-Enamel or Powder-Coated Finish</t>
  </si>
  <si>
    <t>Hood</t>
  </si>
  <si>
    <t>Fire Rated - 45 min</t>
  </si>
  <si>
    <t>Contractors Glass</t>
  </si>
  <si>
    <t xml:space="preserve">A. Christian Glass </t>
  </si>
  <si>
    <t>Storm Troopers</t>
  </si>
  <si>
    <t>Miller Glass &amp; Glazing</t>
  </si>
  <si>
    <t>Jorge Salcedo</t>
  </si>
  <si>
    <t>Keith Taylor</t>
  </si>
  <si>
    <t>Jake Dable</t>
  </si>
  <si>
    <t xml:space="preserve">Jada Goksan </t>
  </si>
  <si>
    <t xml:space="preserve">(772) 219-3506 </t>
  </si>
  <si>
    <t>(904) 907-4378</t>
  </si>
  <si>
    <t>(561) 866-2122</t>
  </si>
  <si>
    <t>(754) 422-5617</t>
  </si>
  <si>
    <t>jorge_scsi@bellsouth.ne</t>
  </si>
  <si>
    <t>ktaylor@contractorsglass.net</t>
  </si>
  <si>
    <t>jake@a-christianglass.com</t>
  </si>
  <si>
    <t>jada@stormtroopersgroup.com</t>
  </si>
  <si>
    <t>{1.0%}</t>
  </si>
  <si>
    <t>{1.7}</t>
  </si>
  <si>
    <t>Manufacturers: Subject to compliance with requirements, provide products by one of the following:</t>
  </si>
  <si>
    <t>EFCO Corporation.</t>
  </si>
  <si>
    <t>Kawneer North America</t>
  </si>
  <si>
    <t>Truelite</t>
  </si>
  <si>
    <t>Vistawall Architectural Products</t>
  </si>
  <si>
    <t>YKK AP America Inc.</t>
  </si>
  <si>
    <t>ES Windows</t>
  </si>
  <si>
    <t>Sound Transmission: Provide aluminum-framed systems with fixed glazing and framing areas having the following sound-transmission characteristics:</t>
  </si>
  <si>
    <t>Exterior Storefronts: Acoustic: STC 32-36 depending on glazing.</t>
  </si>
  <si>
    <t>Interior Storefronts: Study Room to Hallway Separation: Minimum STC 35</t>
  </si>
  <si>
    <t xml:space="preserve">Fire rating: 20-minute rated glass with certification </t>
  </si>
  <si>
    <t>Vestibules into Residential Zones:</t>
  </si>
  <si>
    <t>Smoke-rated and self-closing doors required</t>
  </si>
  <si>
    <t>Minimum STC 32</t>
  </si>
  <si>
    <t>Impact - resistant safety glazing preferred.</t>
  </si>
  <si>
    <t>Office Partitions:</t>
  </si>
  <si>
    <t>Non rated, minimum STC 30</t>
  </si>
  <si>
    <t>Glazing laminated for safety and acoustic performance.</t>
  </si>
  <si>
    <t>Impact Rated - wind speed</t>
  </si>
  <si>
    <t>Quant</t>
  </si>
  <si>
    <t>W</t>
  </si>
  <si>
    <t>H</t>
  </si>
  <si>
    <t>Sills</t>
  </si>
  <si>
    <t>LF opening</t>
  </si>
  <si>
    <t>LF total</t>
  </si>
  <si>
    <t>SF total</t>
  </si>
  <si>
    <t>Doors</t>
  </si>
  <si>
    <t>CW-01</t>
  </si>
  <si>
    <t>CW-01 SF</t>
  </si>
  <si>
    <t>CW-02</t>
  </si>
  <si>
    <t>CW-03</t>
  </si>
  <si>
    <t>SF-01</t>
  </si>
  <si>
    <t>SF-02a</t>
  </si>
  <si>
    <t>SF-02b</t>
  </si>
  <si>
    <t>SF-02c</t>
  </si>
  <si>
    <t>SF-03a</t>
  </si>
  <si>
    <t>SF-03b</t>
  </si>
  <si>
    <t>SF-03c</t>
  </si>
  <si>
    <t>SF-04</t>
  </si>
  <si>
    <t>SF-05a</t>
  </si>
  <si>
    <t>SF-05b</t>
  </si>
  <si>
    <t>SF-06</t>
  </si>
  <si>
    <t>SF-08a</t>
  </si>
  <si>
    <t>SF-08b</t>
  </si>
  <si>
    <t>SF-09a</t>
  </si>
  <si>
    <t>SF-09b</t>
  </si>
  <si>
    <t>W1</t>
  </si>
  <si>
    <t>W1 sunshades</t>
  </si>
  <si>
    <t>Door leafs</t>
  </si>
  <si>
    <t>Interior Storefront</t>
  </si>
  <si>
    <t>SF-11a</t>
  </si>
  <si>
    <t>SF-12</t>
  </si>
  <si>
    <t>SF-13a - STC 35</t>
  </si>
  <si>
    <t>SF-13a</t>
  </si>
  <si>
    <t>SF-13b - STC 35</t>
  </si>
  <si>
    <t>SF-13b</t>
  </si>
  <si>
    <t>SF-14</t>
  </si>
  <si>
    <t>SF-15 - laminated</t>
  </si>
  <si>
    <t>SF-15</t>
  </si>
  <si>
    <t>SF-16 - laminated</t>
  </si>
  <si>
    <t>SF-16</t>
  </si>
  <si>
    <t>SF-17a - laminated</t>
  </si>
  <si>
    <t>SF-17a</t>
  </si>
  <si>
    <t>SF-17b - laminated</t>
  </si>
  <si>
    <t>SF-17b</t>
  </si>
  <si>
    <t>SF-18a - laminated</t>
  </si>
  <si>
    <t>SF-18a</t>
  </si>
  <si>
    <t>SF-18b - laminated</t>
  </si>
  <si>
    <t>SF-18b</t>
  </si>
  <si>
    <t>SF-19a - laminated</t>
  </si>
  <si>
    <t>SF-19a</t>
  </si>
  <si>
    <t>SF-19b - laminated</t>
  </si>
  <si>
    <t>SF-19b</t>
  </si>
  <si>
    <t>SF-20a - laminated</t>
  </si>
  <si>
    <t>SF-20a</t>
  </si>
  <si>
    <t>SF-20b - laminated</t>
  </si>
  <si>
    <t>SF-20b</t>
  </si>
  <si>
    <t>SF-21 - laminated</t>
  </si>
  <si>
    <t>SF-21</t>
  </si>
  <si>
    <t>sliders</t>
  </si>
  <si>
    <t>SF-22 - laminated</t>
  </si>
  <si>
    <t>SF-22</t>
  </si>
  <si>
    <t>SF-23a</t>
  </si>
  <si>
    <t>SF-23b</t>
  </si>
  <si>
    <t>SF-24</t>
  </si>
  <si>
    <t>SF-25</t>
  </si>
  <si>
    <t>SF-26a - 45 min - STC 35</t>
  </si>
  <si>
    <t>SF-26a</t>
  </si>
  <si>
    <t>SF-26b - 45 min - STC 35</t>
  </si>
  <si>
    <t>SF-26b</t>
  </si>
  <si>
    <t>SF-27a</t>
  </si>
  <si>
    <t>SF-27b</t>
  </si>
  <si>
    <t>SF-28a - 45 min - STC 35</t>
  </si>
  <si>
    <t>SF-28a</t>
  </si>
  <si>
    <t>SF-28b - 45 min - STC 35</t>
  </si>
  <si>
    <t>SF-28b</t>
  </si>
  <si>
    <t>W2</t>
  </si>
  <si>
    <t>Slider pair</t>
  </si>
  <si>
    <t>Laminated Glass</t>
  </si>
  <si>
    <t>Auto Operators</t>
  </si>
  <si>
    <t>Specified Finish</t>
  </si>
  <si>
    <t>Break metal</t>
  </si>
  <si>
    <t>Equipment</t>
  </si>
  <si>
    <t>BlueMax</t>
  </si>
  <si>
    <t>Wood Bucks</t>
  </si>
  <si>
    <t>Any changes associated with Addendum #5 as shown on drawing A600. G001 issued with Addendum #5 shows drawing A600 as being revised with Addedum #5. Drawing A600 was not issued with Addendum #5.</t>
  </si>
  <si>
    <t>Graf's Drywall</t>
  </si>
  <si>
    <t>A&amp;W Construction</t>
  </si>
  <si>
    <t>FL Crane &amp; Sons</t>
  </si>
  <si>
    <t>Collins Construction Company</t>
  </si>
  <si>
    <t>AW Baylor</t>
  </si>
  <si>
    <t>Acousti</t>
  </si>
  <si>
    <t>CS Montiel</t>
  </si>
  <si>
    <t>Mader Southeast</t>
  </si>
  <si>
    <t>Johnny Graf</t>
  </si>
  <si>
    <t>Tom Lewis</t>
  </si>
  <si>
    <t>Wilmer Ixmay</t>
  </si>
  <si>
    <t>Doug Kurtock</t>
  </si>
  <si>
    <t>Gil Hopton</t>
  </si>
  <si>
    <t>Jeremy Ownby</t>
  </si>
  <si>
    <t>Chace Petersen</t>
  </si>
  <si>
    <t>Jake Rubio</t>
  </si>
  <si>
    <t>09 29 00</t>
  </si>
  <si>
    <t>386-804-8331</t>
  </si>
  <si>
    <t>386-527-4429</t>
  </si>
  <si>
    <t>863-234-3525</t>
  </si>
  <si>
    <t>386-615-1967 ext 200</t>
  </si>
  <si>
    <t>601-209-8729</t>
  </si>
  <si>
    <t>614-330-7498</t>
  </si>
  <si>
    <t>386-589-1169</t>
  </si>
  <si>
    <t>407-877-8818</t>
  </si>
  <si>
    <t>johnny@grafsdrywall.com</t>
  </si>
  <si>
    <t>TomLewis496@gmail.com</t>
  </si>
  <si>
    <t>wixmay@flcrane.com</t>
  </si>
  <si>
    <t>Dkurtock@collinsfl.com</t>
  </si>
  <si>
    <t xml:space="preserve"> ghopton@awbaylor.com</t>
  </si>
  <si>
    <t>JeremyOwnby@acousti.com</t>
  </si>
  <si>
    <t>chace@1csmontiel.com</t>
  </si>
  <si>
    <t xml:space="preserve"> jrubio@madersoutheast.com</t>
  </si>
  <si>
    <t xml:space="preserve">  a. furnish all metal studs, channels, horizontal bracing, gypsum board products and insulation as scheduled</t>
  </si>
  <si>
    <t xml:space="preserve">  b. equipment, lifts, power tools, etc. as required </t>
  </si>
  <si>
    <r>
      <rPr>
        <b/>
        <sz val="10"/>
        <color rgb="FF000000"/>
        <rFont val="Arial"/>
        <family val="2"/>
      </rPr>
      <t xml:space="preserve">  c. </t>
    </r>
    <r>
      <rPr>
        <sz val="10"/>
        <color rgb="FF000000"/>
        <rFont val="Arial"/>
        <family val="2"/>
      </rPr>
      <t>Level 4 finish as typical</t>
    </r>
  </si>
  <si>
    <t xml:space="preserve">  d. provide in wall backing for cabinets, door frames, fire extinguishers, toilet accessories, etc. as required/scheduled.</t>
  </si>
  <si>
    <t xml:space="preserve">  e. include labor for wall and ceiling layout as required</t>
  </si>
  <si>
    <t xml:space="preserve">  f. provide fire caulking, sound caulking, etc. to complete partition/wall type for a complete wall and ceiling assembly.</t>
  </si>
  <si>
    <t xml:space="preserve">  g. OSHA requirements</t>
  </si>
  <si>
    <t xml:space="preserve">  h. daily clean up for your scope of work</t>
  </si>
  <si>
    <t>Partition Types (S): S4i, S6i, &amp; S8i</t>
  </si>
  <si>
    <t>G500</t>
  </si>
  <si>
    <t>Partition Types (SF):  SF1, SF3i, SF4i, SF4iR2 &amp; SF6i,</t>
  </si>
  <si>
    <t>Partition Types (SR):  SR6i &amp; SR6iR2,</t>
  </si>
  <si>
    <t>Partition Types (SH):  SH2iR2, SH4iR2, &amp; SH6iR2</t>
  </si>
  <si>
    <t>Partition Types (SH6):  SH4iD, SH4iDR2, &amp; SH6iR2</t>
  </si>
  <si>
    <t>5/8" Type X Drywall throughout per notes</t>
  </si>
  <si>
    <t xml:space="preserve">INTERIOR PARTITIONS </t>
  </si>
  <si>
    <t>Level 4 finish as typical</t>
  </si>
  <si>
    <t>A311</t>
  </si>
  <si>
    <t xml:space="preserve">F&amp;I - Drywall Celings and soffits per RCP </t>
  </si>
  <si>
    <t>F&amp;I - Drywall at the units</t>
  </si>
  <si>
    <t>asked</t>
  </si>
  <si>
    <t>F&amp;I - Drywall at the corridors and common areas</t>
  </si>
  <si>
    <t>F&amp;I - Drywall at the clubhouse</t>
  </si>
  <si>
    <t>F&amp;I - Insulation (R-11 UF, R-13 UF &amp; R-19 UF)</t>
  </si>
  <si>
    <t>F&amp;I - Moisture Resistant drywall at restroom</t>
  </si>
  <si>
    <t>F&amp;I - Tile backer board at wet wall / shower enclosures</t>
  </si>
  <si>
    <t xml:space="preserve">F&amp;I - Backing for restroom accessories,cabinetry, countertops &amp; grabbars. </t>
  </si>
  <si>
    <t xml:space="preserve">F&amp;I - FRP Panels in Janitor Closet </t>
  </si>
  <si>
    <t>06 64 000</t>
  </si>
  <si>
    <t>Instllation only - Door Frames (HM / WD)</t>
  </si>
  <si>
    <t>Installation only - Acess Panels</t>
  </si>
  <si>
    <t>EXTERIOR FRAMING</t>
  </si>
  <si>
    <t>4/A559 , 5/A641, A600, A601, A602 (Storefronts &amp; MF Canopies)</t>
  </si>
  <si>
    <t>F&amp;I - 16ga Studs &amp; Track 16" OC</t>
  </si>
  <si>
    <t>5/A521(Roof Expansion Joint)_x000D_</t>
  </si>
  <si>
    <t xml:space="preserve">Spraggins, Inc. </t>
  </si>
  <si>
    <t>Permiter Floors</t>
  </si>
  <si>
    <t xml:space="preserve">Jack Walsh </t>
  </si>
  <si>
    <t>Texas Flooring Contractors</t>
  </si>
  <si>
    <t xml:space="preserve">Tile </t>
  </si>
  <si>
    <t>Robert Riddley</t>
  </si>
  <si>
    <t>Nicko Barrera</t>
  </si>
  <si>
    <t>Michael Teitelbaum</t>
  </si>
  <si>
    <t>Timothy Greuter</t>
  </si>
  <si>
    <t>724-290-3332</t>
  </si>
  <si>
    <t>470-851-1859</t>
  </si>
  <si>
    <t>561-659-4846</t>
  </si>
  <si>
    <t>rridley@spragginsinc.com</t>
  </si>
  <si>
    <t>nicko.barrera@perimeterfloors.com</t>
  </si>
  <si>
    <t>michael@jackwalshcarpets.com</t>
  </si>
  <si>
    <t xml:space="preserve">
tim@texascontractfloors.com</t>
  </si>
  <si>
    <t>COMMON AREAS</t>
  </si>
  <si>
    <t>FT01 -  Floor Tile: Crossville, Owen Stone, Mittens OST04, Matte Grey, 24" x 24"</t>
  </si>
  <si>
    <t>TBD - Floor Tile: Specs TBD 12" x 24"</t>
  </si>
  <si>
    <t>WT01 - Wall Tile: Crossvile BRI26 Swatches/Sprucem Olive, 12" x 24" Subway Wall Tile</t>
  </si>
  <si>
    <t>WT02 - Wall Tile: Ruben Sorhegui Tile, PB757T, Semi Matt, 24" x 72" Subway Wall Tile</t>
  </si>
  <si>
    <t>Tile Labor for Install</t>
  </si>
  <si>
    <t>Floor protection</t>
  </si>
  <si>
    <t>UNITS</t>
  </si>
  <si>
    <t>FT02 - Floor Tile: Crossville, Owen Stone, Down - OST101, Matt, Grey, 24" x 24"</t>
  </si>
  <si>
    <t>Juan Arias</t>
  </si>
  <si>
    <t>Ben Puente</t>
  </si>
  <si>
    <t>Daniel Morgan</t>
  </si>
  <si>
    <t>09 41 00</t>
  </si>
  <si>
    <t>321-272-5003</t>
  </si>
  <si>
    <t>786-548-8382</t>
  </si>
  <si>
    <t>904-781-9355 ext 4401</t>
  </si>
  <si>
    <t>jarias@collinsfl.com</t>
  </si>
  <si>
    <t>bpuente@flcrane.com</t>
  </si>
  <si>
    <t>danielmorgan@acousti.com</t>
  </si>
  <si>
    <t>{1.9}</t>
  </si>
  <si>
    <t>1st Floor</t>
  </si>
  <si>
    <t xml:space="preserve"> 2' x 4' ACT Tile</t>
  </si>
  <si>
    <t xml:space="preserve"> 2' x 2' ACT Tile</t>
  </si>
  <si>
    <t>Axiom &amp; Angled Knife edge at Lobby Ceilings</t>
  </si>
  <si>
    <t>Detail 11/13 on A850</t>
  </si>
  <si>
    <t>2nd - 5th Floor</t>
  </si>
  <si>
    <t> A811, A812, A813, A814, A821, A822, A823, 
A824</t>
  </si>
  <si>
    <t>6th Floor</t>
  </si>
  <si>
    <t xml:space="preserve">    </t>
  </si>
  <si>
    <t>Manufacturer:</t>
  </si>
  <si>
    <t>ACT-1: Armstrong 15/16 White Prelude Ceiling Grid &amp; Fine Fissure Ceiling Tile #1732 Tegular (2" x 2")</t>
  </si>
  <si>
    <t>ACT-2: Armstrong 15/16 White Prelude Ceiling Grid &amp; Fine Fissure Ceiling Tile #1733 Tegular (2" x 4")</t>
  </si>
  <si>
    <t>ACTL: Add Sealant at ACT Permiter</t>
  </si>
  <si>
    <t>General Properties</t>
  </si>
  <si>
    <t>Carpet VCT</t>
  </si>
  <si>
    <t>Jennifer Nunez</t>
  </si>
  <si>
    <t>09 60 00 Flooring</t>
  </si>
  <si>
    <t>CPT01 - Carpet Tiles Flooring: J+J Flooring, Cubist Collection, 18" x 36"</t>
  </si>
  <si>
    <t>SY</t>
  </si>
  <si>
    <t>CPT02 - Carpet Tiles Flooring: Shaw Contract Stonework Tile 24" x 24"</t>
  </si>
  <si>
    <t>PVP01 - Vinyl Floor Planks with Wooden Parquet Texture: Shaw Contract, Colorlink 5mm thick, 8" x 48"</t>
  </si>
  <si>
    <t>Transitions</t>
  </si>
  <si>
    <t>Minor Floor Prep</t>
  </si>
  <si>
    <t>Carpet Labor for Install</t>
  </si>
  <si>
    <t>LVT Labor for Install</t>
  </si>
  <si>
    <t>CPT03 - Carpet Tiles Flooring: J+J Flooring, Amelia N9131, 12' W</t>
  </si>
  <si>
    <t>PVT01 - Vinyl Floor Planks with Wooden Parquet Texture: Shaw Contract, Inlet II 5mm thick, 9" x 48"</t>
  </si>
  <si>
    <t>Reducer</t>
  </si>
  <si>
    <t>Solid surface window sills (4"x3/4" x 4'-4" long) - Standard Carrara</t>
  </si>
  <si>
    <t>LVT (Alt #14): Shaw Branching Out 5mm Acoustic 6x48 /Color Praire Oak/ Herringbone: Deduct ($124,910)</t>
  </si>
  <si>
    <t>09 67</t>
  </si>
  <si>
    <t>SPR Services, Inc.</t>
  </si>
  <si>
    <t>MTD Painting</t>
  </si>
  <si>
    <t>Dunkman Paint &amp; Wallcovering</t>
  </si>
  <si>
    <t>Percopo Coatings Company</t>
  </si>
  <si>
    <t xml:space="preserve">S. David &amp; Co. </t>
  </si>
  <si>
    <t>Vintage Painting</t>
  </si>
  <si>
    <t>Gerardo Almaraz</t>
  </si>
  <si>
    <t>Mike Tietjen</t>
  </si>
  <si>
    <t>Paul Dunkman</t>
  </si>
  <si>
    <t>Edward Danow</t>
  </si>
  <si>
    <t>Steve Nordstrom</t>
  </si>
  <si>
    <t>Patrick Beuzet</t>
  </si>
  <si>
    <t>407-834-0031</t>
  </si>
  <si>
    <t>321-381-6724</t>
  </si>
  <si>
    <t>407-423-9935</t>
  </si>
  <si>
    <t>407-331-3805</t>
  </si>
  <si>
    <t>904-446-9520</t>
  </si>
  <si>
    <t>386-760-0611</t>
  </si>
  <si>
    <t>bids@sprservices.com</t>
  </si>
  <si>
    <t>mike.t@mtdpainting.com</t>
  </si>
  <si>
    <t>estimating@dunkmanpaint.com</t>
  </si>
  <si>
    <t>edanow@pccusa.com</t>
  </si>
  <si>
    <t>Steve@sdavid.com</t>
  </si>
  <si>
    <t>patrickb@vintagepaintinginc.com</t>
  </si>
  <si>
    <t>{2.0}</t>
  </si>
  <si>
    <t xml:space="preserve">Painting, incl.: </t>
  </si>
  <si>
    <t xml:space="preserve">  a. specified painting products as scheduled</t>
  </si>
  <si>
    <t xml:space="preserve">  b. equipment, lifts, sprayers, etc.</t>
  </si>
  <si>
    <t xml:space="preserve">  c. beauty bead caulking at interior and exterior work</t>
  </si>
  <si>
    <t xml:space="preserve">  d. protection for adjacent work, including flooring</t>
  </si>
  <si>
    <t xml:space="preserve">  e. OSHA requirements</t>
  </si>
  <si>
    <t xml:space="preserve">  f. daily cleaup </t>
  </si>
  <si>
    <t xml:space="preserve">  g. Above scope included for:</t>
  </si>
  <si>
    <t>Exterior:</t>
  </si>
  <si>
    <t>a. doors and frames</t>
  </si>
  <si>
    <t>b. stucco walls</t>
  </si>
  <si>
    <t>c. stucco bands</t>
  </si>
  <si>
    <t>d. soffits</t>
  </si>
  <si>
    <t>Interior:</t>
  </si>
  <si>
    <t>b. drywall partitions</t>
  </si>
  <si>
    <t>c. drywall ceilings</t>
  </si>
  <si>
    <t>Metal:</t>
  </si>
  <si>
    <t>a. interior metal railingw/ electrostatic coating</t>
  </si>
  <si>
    <t>b. interior stairwell handrail and guard rail</t>
  </si>
  <si>
    <t>Wall Covering: Furnish and Install Interior Wall Graphics (WP-01 to WP-08)</t>
  </si>
  <si>
    <t>Alternate No. 2 Epoxy Paint in Corridors in Lieu of standard paint</t>
  </si>
  <si>
    <t>Paint Parking Garage Walls &amp; Ceilings</t>
  </si>
  <si>
    <t>Paint Parking Garage Misc &amp; Metals (Bollards, Sprinkler Pipe, Corner Guards)</t>
  </si>
  <si>
    <t>EPA</t>
  </si>
  <si>
    <t>S. David Flooring</t>
  </si>
  <si>
    <t>Fluid Applied Flooring</t>
  </si>
  <si>
    <t>Paul Hoffman</t>
  </si>
  <si>
    <t>Travis Padget</t>
  </si>
  <si>
    <t>772-404-4751</t>
  </si>
  <si>
    <t>904-687-3275</t>
  </si>
  <si>
    <t xml:space="preserve">paul@epaflorida.com  </t>
  </si>
  <si>
    <t>travis@sdavidflooring.com</t>
  </si>
  <si>
    <t>{2.5%}</t>
  </si>
  <si>
    <t>Prep substrate / diamond grinding</t>
  </si>
  <si>
    <t>Fill / Repair Cracks as needed</t>
  </si>
  <si>
    <t>F&amp;I - Epoxy Flooring (Sherwin Willliams - Resdudeck)</t>
  </si>
  <si>
    <t>F&amp;I - Top coat (Aliphatic polyeurea elastomeric)</t>
  </si>
  <si>
    <t>EPF01 - Epoxy Flooring (Gray Color)</t>
  </si>
  <si>
    <t>2nd - 6th Floor</t>
  </si>
  <si>
    <t>Epoxy Flooring: Moisture Test</t>
  </si>
  <si>
    <t>Epoxy Flooring: Moisture Mitigating Primer Based on Moisture Test Results</t>
  </si>
  <si>
    <t>Epoxy Flooring: Mockups</t>
  </si>
  <si>
    <t>Identity Group</t>
  </si>
  <si>
    <t>Signage</t>
  </si>
  <si>
    <t>Desiree Reynolds</t>
  </si>
  <si>
    <t>316-200-1598</t>
  </si>
  <si>
    <t>desiree.reynolds@identitygroup.com</t>
  </si>
  <si>
    <t>ALLOWANCE ONLY PER ADDENDUM #3</t>
  </si>
  <si>
    <t>Interior Signage - INCLUDED</t>
  </si>
  <si>
    <t>Exterior Signage - EXCLUDED</t>
  </si>
  <si>
    <t>Signage: Furnish and Install (6) Exterior Wall Graphics (26' x 86')</t>
  </si>
  <si>
    <t>Terrick</t>
  </si>
  <si>
    <t>Interior Specialties</t>
  </si>
  <si>
    <t>Avena Inc.</t>
  </si>
  <si>
    <t>Toilet Partitions &amp; Bath Accessories</t>
  </si>
  <si>
    <t>Mike Cooper</t>
  </si>
  <si>
    <t>TJ Cline</t>
  </si>
  <si>
    <t>Carolyn Haley</t>
  </si>
  <si>
    <t>Hannah Raharjo</t>
  </si>
  <si>
    <t>10 20 00</t>
  </si>
  <si>
    <t>727-753-8078</t>
  </si>
  <si>
    <t>407-298-1909</t>
  </si>
  <si>
    <t xml:space="preserve">407-539-1303 </t>
  </si>
  <si>
    <t>770-789-2890</t>
  </si>
  <si>
    <t>Mcooper@specialtiesdirect.com</t>
  </si>
  <si>
    <t>tj-terrick@cfl.rr.com</t>
  </si>
  <si>
    <t>chaley@interiorspecialties.com</t>
  </si>
  <si>
    <t>TOILET PARTITIONS &amp; ACCESSORIES - PUBLIC</t>
  </si>
  <si>
    <t>TOILET PARTITIONS - NO SPEC GIVEN</t>
  </si>
  <si>
    <t>F1 - 42" Grab Bar</t>
  </si>
  <si>
    <t>F2 - 36" Grab Bar</t>
  </si>
  <si>
    <t>F3 - Toiler Tissue Dispenser</t>
  </si>
  <si>
    <t>F4 - Paper Towel Dispenser</t>
  </si>
  <si>
    <t>F5 - Soap Dispenser</t>
  </si>
  <si>
    <t>F6 - 2' 6" x 3' 8" Framed Mirror</t>
  </si>
  <si>
    <t>F15 - 24" Grab Bar</t>
  </si>
  <si>
    <t>F16 - Towel Bar</t>
  </si>
  <si>
    <t>Taxes</t>
  </si>
  <si>
    <t>TOILET PARTITIONS &amp; ACCESSORIES - UNITS (BOBRICK)</t>
  </si>
  <si>
    <t>F7 - Robe Hook</t>
  </si>
  <si>
    <t>F8 - Folding Shower Seat</t>
  </si>
  <si>
    <t>F9 - Shower Curtain Rod</t>
  </si>
  <si>
    <t>F12 - Medicine Cabinet</t>
  </si>
  <si>
    <t>F14 - 48" Grab Bar</t>
  </si>
  <si>
    <t>Operable Partitions</t>
  </si>
  <si>
    <t>10 22</t>
  </si>
  <si>
    <t>Fireplace</t>
  </si>
  <si>
    <t>10 30</t>
  </si>
  <si>
    <t>10 30 00</t>
  </si>
  <si>
    <t>FIRE EXTINGUISHERS</t>
  </si>
  <si>
    <t>G110 / G120</t>
  </si>
  <si>
    <t>SR - Fire Extinguishers (Semi-Recessed Stainless Steel Cabinet)</t>
  </si>
  <si>
    <t>SM - Fire Extinguishers (Surface Mounted Cabinet)</t>
  </si>
  <si>
    <t>EX - Fire Extingusher (Surface Mounted)</t>
  </si>
  <si>
    <t>Fire Extinguishers: Furnish and Install 5# ABC Fire Extinguishers in Units</t>
  </si>
  <si>
    <t>Laundry Equipment</t>
  </si>
  <si>
    <t xml:space="preserve">11 11 </t>
  </si>
  <si>
    <t>GE Appliances</t>
  </si>
  <si>
    <t>Anthony DiPalmero</t>
  </si>
  <si>
    <t>561-236-1106</t>
  </si>
  <si>
    <t>anthony.dipalermo@geappliances.com</t>
  </si>
  <si>
    <t>{7.1}</t>
  </si>
  <si>
    <t>APPLIANCES (GE APPLIANCES AS SPECIFIED ON PLANS)</t>
  </si>
  <si>
    <t>Mobility Accessible Suites</t>
  </si>
  <si>
    <t>REFRIGERATOR WITH ICE MAKER - GSE25GYPFS</t>
  </si>
  <si>
    <t>MICROWAVE (COUNTERTOP) - PCST22U1WSS</t>
  </si>
  <si>
    <t>EXHAUST RANGE HOOD W / REMOTE SWITCH - JVX5305SJSS</t>
  </si>
  <si>
    <t>RANGE (DROP IN) - JD630SFSS</t>
  </si>
  <si>
    <t>WASHER (FRONT LOAD) - GFW550SPNGWW</t>
  </si>
  <si>
    <t>DRYER (FRONT LOAD) - GTX33EASKWW</t>
  </si>
  <si>
    <t>DISHWASHER (ADA) 32" HIGH - GDF650SYV</t>
  </si>
  <si>
    <t>Standard Units</t>
  </si>
  <si>
    <t>REFRIGERATOR WITH ICE MAKER - GTS19KYNRFS</t>
  </si>
  <si>
    <t>MICROWAVE / EXHAUST - PSA9120SPSS</t>
  </si>
  <si>
    <t>RANGE (FREE STANDING) - GRF600AVSS</t>
  </si>
  <si>
    <t>WASHER (TOP LOAD) - GTW325ASWWW</t>
  </si>
  <si>
    <t>DISHWASHER - GDF650SYV</t>
  </si>
  <si>
    <t>Staff Apartments</t>
  </si>
  <si>
    <t>COMPACT WASHER / DRYER COMBINATION - GUD27ESSU</t>
  </si>
  <si>
    <t>DISHWASHER (ADA) 32'' HIGH - GDT2265</t>
  </si>
  <si>
    <t>Lecture Hall</t>
  </si>
  <si>
    <t>WALL OVEN / MICROWAVE - JT380SH</t>
  </si>
  <si>
    <t>Applainces</t>
  </si>
  <si>
    <t>Sub Bond</t>
  </si>
  <si>
    <t>Wall Protection</t>
  </si>
  <si>
    <t>12 30</t>
  </si>
  <si>
    <t xml:space="preserve">Raise &amp; Shine Blinds Inc. </t>
  </si>
  <si>
    <t xml:space="preserve">CQ Insulation, Inc. </t>
  </si>
  <si>
    <t>Contexture</t>
  </si>
  <si>
    <t>Windows Treatment</t>
  </si>
  <si>
    <t>Morr Kadoch</t>
  </si>
  <si>
    <t>Alex Lowry</t>
  </si>
  <si>
    <t>Matt Bretz</t>
  </si>
  <si>
    <t>11 30</t>
  </si>
  <si>
    <t>786-999-2450</t>
  </si>
  <si>
    <t>419-205-4837</t>
  </si>
  <si>
    <t>610-357-2320</t>
  </si>
  <si>
    <t>info@raiseshineblinds.com</t>
  </si>
  <si>
    <t>a.lowry@cqinsulation.com</t>
  </si>
  <si>
    <t>mbretz@contextureUSA.com</t>
  </si>
  <si>
    <t>Manual Roller Shades at Clubhouse</t>
  </si>
  <si>
    <t xml:space="preserve">Manual Roller Shades at storefronts </t>
  </si>
  <si>
    <t>Manual Roller Shades at Windows</t>
  </si>
  <si>
    <t>KCMA cert</t>
  </si>
  <si>
    <t>Revised proposal 8/14</t>
  </si>
  <si>
    <t>Revised proposal 8/19</t>
  </si>
  <si>
    <t>Revised proposal 8/21</t>
  </si>
  <si>
    <t>preferred by ERAU</t>
  </si>
  <si>
    <t>Heron Stone</t>
  </si>
  <si>
    <t>Allied Interior</t>
  </si>
  <si>
    <t xml:space="preserve">Apro </t>
  </si>
  <si>
    <t>Condesa</t>
  </si>
  <si>
    <t>Victoria Santamaria</t>
  </si>
  <si>
    <t>Travis T Miller</t>
  </si>
  <si>
    <t>Isacc Butanda</t>
  </si>
  <si>
    <t>Chyna Cruz</t>
  </si>
  <si>
    <t xml:space="preserve">Lis </t>
  </si>
  <si>
    <t>12 35 00</t>
  </si>
  <si>
    <t>954-389-9444</t>
  </si>
  <si>
    <t>407-766-6420</t>
  </si>
  <si>
    <t xml:space="preserve"> (214)-306-6877 Ext:151</t>
  </si>
  <si>
    <t>407-960-7690</t>
  </si>
  <si>
    <t xml:space="preserve"> &lt;vsantamaria@heronstone.com&gt;</t>
  </si>
  <si>
    <t>Travism@skylinecabinetry.com</t>
  </si>
  <si>
    <t xml:space="preserve">&lt;issacb@alliedinteriorsolutions.com&gt; </t>
  </si>
  <si>
    <t>Chyna@aprocg.com</t>
  </si>
  <si>
    <t>&lt;lis@condesaspaces.com&gt;</t>
  </si>
  <si>
    <t>{2%}</t>
  </si>
  <si>
    <t>{1.5%}</t>
  </si>
  <si>
    <t>{2.15%}</t>
  </si>
  <si>
    <t>{2.3}</t>
  </si>
  <si>
    <t>Units Cabinets (Kitchen and Vanities)</t>
  </si>
  <si>
    <t>Section 123530 Add#1</t>
  </si>
  <si>
    <t>Frameless, plastic laminate finish on particleboard or plywood construction</t>
  </si>
  <si>
    <t>{melamine PCB}</t>
  </si>
  <si>
    <t>{melamine plyw}</t>
  </si>
  <si>
    <t>3/4" particleaboard or 5/8" plywood shelves</t>
  </si>
  <si>
    <t>Back mounted deco pulls, concealed hinges, self-closing</t>
  </si>
  <si>
    <t>Standard suites (93 ea) - 4 bathrooms, 1 kitchen</t>
  </si>
  <si>
    <t>Wall cabinets (17LF x 93)</t>
  </si>
  <si>
    <t>Base cabinets (9.5LF x 93)</t>
  </si>
  <si>
    <t>Pantry/Linen/Closet shelves</t>
  </si>
  <si>
    <t>8/A711</t>
  </si>
  <si>
    <t>Vanity cabinets</t>
  </si>
  <si>
    <r>
      <rPr>
        <sz val="10"/>
        <color rgb="FF000000"/>
        <rFont val="Arial"/>
        <family val="2"/>
      </rPr>
      <t xml:space="preserve">Medicine cabinet </t>
    </r>
    <r>
      <rPr>
        <i/>
        <sz val="10"/>
        <color rgb="FFFF0000"/>
        <rFont val="Arial"/>
        <family val="2"/>
      </rPr>
      <t>- in Specialties?</t>
    </r>
  </si>
  <si>
    <t>Closets (Bedroom closets)</t>
  </si>
  <si>
    <t>closets</t>
  </si>
  <si>
    <t>ADA Suites(10 ea) - 4 bathrooms, 1 kitchen</t>
  </si>
  <si>
    <t>pole &amp; shelf</t>
  </si>
  <si>
    <t>Wall cabinets  (17LF x 10) -w/ removable panel</t>
  </si>
  <si>
    <t>Base cabinets (6.5LF x 10)</t>
  </si>
  <si>
    <r>
      <rPr>
        <sz val="10"/>
        <color rgb="FF000000"/>
        <rFont val="Arial"/>
        <family val="2"/>
      </rPr>
      <t xml:space="preserve">Vanity cabinets </t>
    </r>
    <r>
      <rPr>
        <i/>
        <sz val="10"/>
        <color rgb="FFFF0000"/>
        <rFont val="Arial"/>
        <family val="2"/>
      </rPr>
      <t>- excluded as per add#2</t>
    </r>
  </si>
  <si>
    <t>asked to deduct</t>
  </si>
  <si>
    <t>Staff Suites (2ea) - 3bathrooms, 2 kitchens</t>
  </si>
  <si>
    <t>Wall cabinets  (24LF x 2)</t>
  </si>
  <si>
    <t>Base cabinets (13.5LF x 2)</t>
  </si>
  <si>
    <t>Island cabinets (4.5LF x 2)</t>
  </si>
  <si>
    <t>Water and moisture resistant particleboard is acceptable core material</t>
  </si>
  <si>
    <t>RFI#6</t>
  </si>
  <si>
    <t>All cabinets shall be 3/4"</t>
  </si>
  <si>
    <t>All casework to confirm the design intent on Sheet A710</t>
  </si>
  <si>
    <t>KCMA certification</t>
  </si>
  <si>
    <t>Undercabinet lights valance (light rail)</t>
  </si>
  <si>
    <r>
      <rPr>
        <sz val="10"/>
        <color rgb="FF000000"/>
        <rFont val="Arial"/>
        <family val="2"/>
      </rPr>
      <t xml:space="preserve">Undercabinet LED lights </t>
    </r>
    <r>
      <rPr>
        <i/>
        <sz val="10"/>
        <color rgb="FFFF0000"/>
        <rFont val="Arial"/>
        <family val="2"/>
      </rPr>
      <t>- in Electrical</t>
    </r>
  </si>
  <si>
    <t>Addendum #7 - Change backsplash to 4"</t>
  </si>
  <si>
    <t>Add alternate to include preferred vendor (Catapult Construction)</t>
  </si>
  <si>
    <t>Add alternate for plywood construction</t>
  </si>
  <si>
    <t>w/Heavenly Pros</t>
  </si>
  <si>
    <t>to deduct vanity tops</t>
  </si>
  <si>
    <t>cultured marble</t>
  </si>
  <si>
    <t>Catapult Construction/Heavenly Pros</t>
  </si>
  <si>
    <t>Precision Marble Orlando</t>
  </si>
  <si>
    <t>Heavenly Pros</t>
  </si>
  <si>
    <t xml:space="preserve">Andrea Buenrostro </t>
  </si>
  <si>
    <t>Luis Jimenez</t>
  </si>
  <si>
    <t xml:space="preserve">407-832-4585 </t>
  </si>
  <si>
    <t>&lt;andrea@marbleorlando.com&gt;</t>
  </si>
  <si>
    <t>{2.15}</t>
  </si>
  <si>
    <t>Kitchen CounterTops (Solid Surface)</t>
  </si>
  <si>
    <t>Countertop: 1/2" solid surface laminated to 3/4" particleboard</t>
  </si>
  <si>
    <t>Section 123530</t>
  </si>
  <si>
    <t>{3cm quartz}</t>
  </si>
  <si>
    <t>{3cm quartz lvl1}</t>
  </si>
  <si>
    <t>Backsplash: 1/2" solid surface with wood-trimmed edges  (full height)</t>
  </si>
  <si>
    <t>Manuf: DuPont, Formica, Swan, Wilsonart</t>
  </si>
  <si>
    <t>Island countertop</t>
  </si>
  <si>
    <t>Countertop support brackets for kitchen islands</t>
  </si>
  <si>
    <t>Desk countertop</t>
  </si>
  <si>
    <t>5,6/A433</t>
  </si>
  <si>
    <t xml:space="preserve">Kitchen Sinks as per specs </t>
  </si>
  <si>
    <t>Section 224216</t>
  </si>
  <si>
    <t>Protective film</t>
  </si>
  <si>
    <t>Standard suites (93 ea) - 4 bathrooms, 1 kitchen ((19 SF top + 30SFbacksplash) x 93)</t>
  </si>
  <si>
    <t>ADA Suites(10 ea) - 4 bathrooms, 1 kitchen ((19 SF top + 27SF backsplash) x10)</t>
  </si>
  <si>
    <t>Staff Suites (2ea) - 3bathrooms, 2 kitchens ((39SF top + 45SF backsplash) x 2)</t>
  </si>
  <si>
    <t>ADA Staff Suites (2ea) - 3bathrooms, 2 kitchens ((39SF top + 16SF backsplash) x 2)</t>
  </si>
  <si>
    <t xml:space="preserve"> asked to deduct</t>
  </si>
  <si>
    <t xml:space="preserve">Vanity CounterTops </t>
  </si>
  <si>
    <t>Section 123661</t>
  </si>
  <si>
    <t>Countertop: 1/2" cultured marble, dripless edge</t>
  </si>
  <si>
    <t>{cultured marble}</t>
  </si>
  <si>
    <t>Backsplash: 1/2" cultured marble</t>
  </si>
  <si>
    <t>Integral sinks: 18"Lx 13"W x 5-1/2" deep</t>
  </si>
  <si>
    <r>
      <rPr>
        <sz val="10"/>
        <color rgb="FF000000"/>
        <rFont val="Arial"/>
        <family val="2"/>
      </rPr>
      <t xml:space="preserve">Vanity Sinks as per specs </t>
    </r>
    <r>
      <rPr>
        <i/>
        <sz val="10"/>
        <color rgb="FFFF0000"/>
        <rFont val="Arial"/>
        <family val="2"/>
      </rPr>
      <t>(Revise RF#101 - sinks per arch, contradicts Plumbing schedule)</t>
    </r>
  </si>
  <si>
    <t>Standard suites (93 ea) - 4 bathrooms, 1 kitchen (5 SF x 93 x 4)</t>
  </si>
  <si>
    <t>ADA Suites(10 ea) - 4 bathrooms, 1 kitchen - no vanity top, wall mounted sink</t>
  </si>
  <si>
    <t>A435 Add#2</t>
  </si>
  <si>
    <t>Staff Suites (2ea) - 3bathrooms, 2 kitchens (5SF x 3 x 2)</t>
  </si>
  <si>
    <t>ADA Staff Suites (2ea) - 3bathrooms, 2 kitchens (5SF x 3 x 2)</t>
  </si>
  <si>
    <t>RFI#102 - solid surface/countertops locations</t>
  </si>
  <si>
    <t>Alternate No. 3 Plastic laminate countertops ilo solid surface</t>
  </si>
  <si>
    <t>Tile backsplash at units kitchen ilo solid surface</t>
  </si>
  <si>
    <t>VE option</t>
  </si>
  <si>
    <t>Mitchell Metals</t>
  </si>
  <si>
    <t>Perfection Architectural Systems</t>
  </si>
  <si>
    <t>Mitch Knowles</t>
  </si>
  <si>
    <t>Tias Larson</t>
  </si>
  <si>
    <t>770-431-7300</t>
  </si>
  <si>
    <t>407-671-6225</t>
  </si>
  <si>
    <t xml:space="preserve"> mitch@mitchellmetals.net </t>
  </si>
  <si>
    <t>estimating@perfectionarch.com</t>
  </si>
  <si>
    <t>Pre engineered rod canopies at roof level (6)</t>
  </si>
  <si>
    <t>A644, A170</t>
  </si>
  <si>
    <t>{4 canopies}</t>
  </si>
  <si>
    <t>10 year manufacturer warranty</t>
  </si>
  <si>
    <t>Section 133423</t>
  </si>
  <si>
    <t>2 coat Kynar finish</t>
  </si>
  <si>
    <t>Approved manuf: PAS, Mapes, MASA, Mitchell</t>
  </si>
  <si>
    <t>Downspouts</t>
  </si>
  <si>
    <t>HB Adjustment to match specs</t>
  </si>
  <si>
    <t>KONE</t>
  </si>
  <si>
    <t>TK</t>
  </si>
  <si>
    <t>Schindler</t>
  </si>
  <si>
    <t>Taylor Vaughan</t>
  </si>
  <si>
    <t>Jonathan Davis</t>
  </si>
  <si>
    <t xml:space="preserve">(407) 812-8033 </t>
  </si>
  <si>
    <t>(407) 832-1465</t>
  </si>
  <si>
    <t>taylor.vaughan@kone.com</t>
  </si>
  <si>
    <t>Jonathan.Davis@tkElevator.com</t>
  </si>
  <si>
    <t xml:space="preserve">Manufacturers:  Subject to compliance with requirements, provide products by one of the following: </t>
  </si>
  <si>
    <t xml:space="preserve">Otis Elevator Co. </t>
  </si>
  <si>
    <t xml:space="preserve">Schindler Elevator Corp. </t>
  </si>
  <si>
    <t xml:space="preserve">ThyssenKrupp Elevator </t>
  </si>
  <si>
    <t xml:space="preserve">KONE Elevators  </t>
  </si>
  <si>
    <t xml:space="preserve">Group Number: One. </t>
  </si>
  <si>
    <t xml:space="preserve">Elevator Number(s): One and Two. </t>
  </si>
  <si>
    <t xml:space="preserve">Rated Load: 3500 lb (1589 kg). </t>
  </si>
  <si>
    <t xml:space="preserve">Rated Speed: 150 fpm (0.75 m/s) minimum. </t>
  </si>
  <si>
    <t>Standby-powered lowering</t>
  </si>
  <si>
    <t>Card-reader operation</t>
  </si>
  <si>
    <t>Dual Car-Control Stations: Provide two car-control stations at each elevator</t>
  </si>
  <si>
    <t xml:space="preserve">Group Number: Two. </t>
  </si>
  <si>
    <t xml:space="preserve">Elevator Number(s): Three. </t>
  </si>
  <si>
    <t>Single Car-Control Stations: Provide single car-control stations in each elevator</t>
  </si>
  <si>
    <t xml:space="preserve">Group Number: Three. </t>
  </si>
  <si>
    <t xml:space="preserve">Elevator Number(s): Four. </t>
  </si>
  <si>
    <t>Cab Finishes</t>
  </si>
  <si>
    <t xml:space="preserve">Front Walls (Return Panels): Satin stainless steel, No. 4 finish. </t>
  </si>
  <si>
    <t xml:space="preserve">Car Fixtures: Satin stainless steel, No. 4 finish. </t>
  </si>
  <si>
    <t xml:space="preserve">Side and Rear Wall Panels. </t>
  </si>
  <si>
    <t xml:space="preserve">Reveals: Satin stainless steel, No. 4 finish. </t>
  </si>
  <si>
    <t xml:space="preserve">Door Faces (Interior):  Satin stainless steel, No. 4 finish. </t>
  </si>
  <si>
    <t xml:space="preserve">Door Sills: Aluminum. </t>
  </si>
  <si>
    <t xml:space="preserve">Ceiling: Satin stainless steel, No. 4 finish. </t>
  </si>
  <si>
    <t xml:space="preserve">Handrails: 1-1/2 inches (38 mm) round satin stainless steel, No. 4 finish. </t>
  </si>
  <si>
    <t xml:space="preserve">Floor recessed and prepared to receive porcelain tile. </t>
  </si>
  <si>
    <t xml:space="preserve">Group Battery-Powered Automatic Evacuation:  Provide if no emergency generator is provided by Owner. </t>
  </si>
  <si>
    <t>Hoistway Entrances</t>
  </si>
  <si>
    <t>Hoistway Entrances - Fire Rated - 1-1/2 hours</t>
  </si>
  <si>
    <t>Emergency Communication System</t>
  </si>
  <si>
    <t>Firefighters' Two-Way Telephone Communication Service</t>
  </si>
  <si>
    <t>Car Position Indicator</t>
  </si>
  <si>
    <t>Hall Push-Button Stations</t>
  </si>
  <si>
    <t xml:space="preserve">Provide hooks for protective pads in all cars and  two complete set(s) of full-height protective pads. </t>
  </si>
  <si>
    <t>Pit Access Ladders</t>
  </si>
  <si>
    <t>Temp use - one time cost for re-inspection</t>
  </si>
  <si>
    <t>Temp use - per 30 days</t>
  </si>
  <si>
    <t>Temp use - operator</t>
  </si>
  <si>
    <t>Run time for MEP</t>
  </si>
  <si>
    <t>Temp protection</t>
  </si>
  <si>
    <t xml:space="preserve">total </t>
  </si>
  <si>
    <t>per stop</t>
  </si>
  <si>
    <t>Scaffolding</t>
  </si>
  <si>
    <t>14 80</t>
  </si>
  <si>
    <t>Atlas</t>
  </si>
  <si>
    <t>Taurus Chutes</t>
  </si>
  <si>
    <t>Wolters Grace</t>
  </si>
  <si>
    <t>In/EX Systems</t>
  </si>
  <si>
    <t>Wilkinson High-Rise</t>
  </si>
  <si>
    <t>Trash Chutes</t>
  </si>
  <si>
    <t>Jennifer Ponder</t>
  </si>
  <si>
    <t>Maria Mercado</t>
  </si>
  <si>
    <t xml:space="preserve">Paris Nabers </t>
  </si>
  <si>
    <t>Tom Horan</t>
  </si>
  <si>
    <t>(678) 762-1088</t>
  </si>
  <si>
    <t>(305)497-0714</t>
  </si>
  <si>
    <t>(901) 508-8147</t>
  </si>
  <si>
    <t xml:space="preserve">(678) 766-8201  </t>
  </si>
  <si>
    <t>jennifer@atlas-disposal.com</t>
  </si>
  <si>
    <t>sales01@tauruschutesinc.com</t>
  </si>
  <si>
    <t>paris@woltgrace.com</t>
  </si>
  <si>
    <t>tom@inexsystems.com</t>
  </si>
  <si>
    <t xml:space="preserve">Manufacturers:  Subject to compliance with requirements, available manufacturers offering products that may be incorporated into the Work include, but are not limited to, the following: </t>
  </si>
  <si>
    <t xml:space="preserve">American Chute Systems, Inc. </t>
  </si>
  <si>
    <t xml:space="preserve">Chutes International. </t>
  </si>
  <si>
    <t xml:space="preserve">Midland Chutes. </t>
  </si>
  <si>
    <t xml:space="preserve">U.S. Chutes. </t>
  </si>
  <si>
    <t xml:space="preserve">Valiant Products, Inc. </t>
  </si>
  <si>
    <t xml:space="preserve">Western Chutes; Div. of Buchanan Company, Inc. </t>
  </si>
  <si>
    <t xml:space="preserve">Wilkinson Hi-Rise, LLC. </t>
  </si>
  <si>
    <t xml:space="preserve">Chutes  </t>
  </si>
  <si>
    <t>24" diameter as shown on plans and not per sepecification.</t>
  </si>
  <si>
    <t>24"</t>
  </si>
  <si>
    <t>30"</t>
  </si>
  <si>
    <t xml:space="preserve">Chutes:Aluminum-coated, cold-rolled, commercial steel sheet; ASTM A 463/A 463M, Type 1 with not less than T1-40 (T1M-120) coating. Thickness:  0.060 inch (1.6 mm). </t>
  </si>
  <si>
    <t>Intake Door Assemblies:  ASTM A 240/A 240M, Type 304 stainless-steel, self-closing units with positive latch and latch handle ; as required to provide fire-protection and temperature-rise ratings indicated; and with frame suitable for enclosing chase cons</t>
  </si>
  <si>
    <t xml:space="preserve">Intake Door Locks - Cylinder locks with keys that are removable only when cylinder is locked. </t>
  </si>
  <si>
    <t>Intake Door Fire Rating - 2HR</t>
  </si>
  <si>
    <t>1-1/2 HR</t>
  </si>
  <si>
    <t xml:space="preserve">Discharge-Door Assemblies: Aluminum-coated-steel doors as required to provide fire-protectionand temperature-rise ratings indicated; equipped with fusible links that cause doors to close in the event of fire. </t>
  </si>
  <si>
    <t>Heat- and Smoke Detector System:  Interlock system with temperature-rise elements that locks chute doors when temperature in chute reaches a predetermined, adjustable temperature.  Locate smoke detector outside discharge door with solenoid to close discha</t>
  </si>
  <si>
    <t>Access Door Assemblies: Manufacturer's standard ASTM A 240/A 240M, Type 302/304 stainless-steel doors; as required to provide fire-protection and temperature-rise ratings indicated; with frame suitable for enclosing chase construction; and in satin or No.</t>
  </si>
  <si>
    <t xml:space="preserve">Manual Control System:  Control system with manual switches that lock doors of chute during shutdown hours and service operations. </t>
  </si>
  <si>
    <t>Compactor</t>
  </si>
  <si>
    <t>Compactor shall be a Basis of Design Wilkinson Model No. 400-C5 fully auto-matic, electric eye controlled, hydraulically operated, stationary, ram compactor displacing 54 cubic yards of refuse per hour.</t>
  </si>
  <si>
    <t>33 cy</t>
  </si>
  <si>
    <t>Roof Vent</t>
  </si>
  <si>
    <t>Fire Sprinklers</t>
  </si>
  <si>
    <t>Flushing Spray Unit</t>
  </si>
  <si>
    <t>Sanitizing Unit</t>
  </si>
  <si>
    <t>Intake Door Baffles</t>
  </si>
  <si>
    <t>Sound Dampening</t>
  </si>
  <si>
    <t xml:space="preserve">Provide three (3), each trash room U-Line’s H-2639, 1/2 cubic yard, standard duty, tilt trucks. </t>
  </si>
  <si>
    <t>Sanitizing Unit - install access door &amp; connect plumbing</t>
  </si>
  <si>
    <t>Flushing Spray Head - installation</t>
  </si>
  <si>
    <t>Sprinkler connection</t>
  </si>
  <si>
    <t>Manual Control Box - installation</t>
  </si>
  <si>
    <t>Addendum No. 5 - side wall vent &amp; louver in lieu of roof vent</t>
  </si>
  <si>
    <t>Precision Fire</t>
  </si>
  <si>
    <t>Swanson Fire</t>
  </si>
  <si>
    <t>Century Fire</t>
  </si>
  <si>
    <t xml:space="preserve">Fire Safety </t>
  </si>
  <si>
    <t>Jon Arrowsmith</t>
  </si>
  <si>
    <t>Johnathan Ortiz</t>
  </si>
  <si>
    <t>Peter Amato</t>
  </si>
  <si>
    <t>David Rose</t>
  </si>
  <si>
    <t xml:space="preserve"> jon@precisionfs.com </t>
  </si>
  <si>
    <t xml:space="preserve"> johnathan@swansonfire.com </t>
  </si>
  <si>
    <t xml:space="preserve"> pamato@centuryfp.com </t>
  </si>
  <si>
    <t xml:space="preserve"> david.rose@firesafety-inc.com </t>
  </si>
  <si>
    <t>Residential Hall</t>
  </si>
  <si>
    <t>Automatic -Wet standpipes in stair cases 2-1/2" NFPA 14 standards</t>
  </si>
  <si>
    <t>F001</t>
  </si>
  <si>
    <t>Automatic fire sprinkler system NFPA 13</t>
  </si>
  <si>
    <t>Electric driven 750 GPM fire pump with controller and automatic transfer switches, jockey pump, jockey pump controller, exterior test header with hose vaves , pipe fittings and valves NFPA 20 standards</t>
  </si>
  <si>
    <t>Fire department connection</t>
  </si>
  <si>
    <t>Provide water flow indicating switches and control valves at the pump room</t>
  </si>
  <si>
    <t>Spriklers head shall be Fast response 155 F</t>
  </si>
  <si>
    <t>CPVC pipies in living areas and black steel schdule 10 2 1/2" and larger pipes, and schedule 40 black steel for 2" and smaller pipes</t>
  </si>
  <si>
    <t>All required system control valves</t>
  </si>
  <si>
    <t xml:space="preserve">Dry Sprinkler valve cabinet w viking TOTALPAC3 </t>
  </si>
  <si>
    <t>Dry Pipe Valve w control valve w heat trace to prevent freezing (Excluded)</t>
  </si>
  <si>
    <t>Provide Dry pipe automatic sprinklers NFPA 13</t>
  </si>
  <si>
    <t>{wet system}</t>
  </si>
  <si>
    <t xml:space="preserve">Sprinklers shall be brass type instaled on galvanized steel piping </t>
  </si>
  <si>
    <t>General Scope</t>
  </si>
  <si>
    <t>All required testing as per code and drawings</t>
  </si>
  <si>
    <t xml:space="preserve">Microbial Induced Corrosion (MIC) lab test </t>
  </si>
  <si>
    <t>PIM coordination</t>
  </si>
  <si>
    <t>Fire stop for all penetrations</t>
  </si>
  <si>
    <t>Provide all required access panels</t>
  </si>
  <si>
    <t>Warranty 1 year</t>
  </si>
  <si>
    <t>Permit fees</t>
  </si>
  <si>
    <t>Bidder3</t>
  </si>
  <si>
    <t>SR Plumbing</t>
  </si>
  <si>
    <t>G&amp;M Mechanical</t>
  </si>
  <si>
    <t>Medic Air Systems</t>
  </si>
  <si>
    <t>Paramount Plumbing,</t>
  </si>
  <si>
    <t xml:space="preserve">Clayton Shaheen </t>
  </si>
  <si>
    <t>Jerry Schneider</t>
  </si>
  <si>
    <t>Justin Jacobs</t>
  </si>
  <si>
    <t xml:space="preserve">(386) 365-8979 </t>
  </si>
  <si>
    <t xml:space="preserve">(407) 275-9614 </t>
  </si>
  <si>
    <t>(904) 894-7261</t>
  </si>
  <si>
    <t>claytons@explumbing.com</t>
  </si>
  <si>
    <t>jerry@srplumbing.com</t>
  </si>
  <si>
    <t>justin@gandmmechanical.com</t>
  </si>
  <si>
    <t>Below ground piping</t>
  </si>
  <si>
    <t>water - 1-1/2" &amp; &lt; -  type L copper, PVC</t>
  </si>
  <si>
    <t>PVC</t>
  </si>
  <si>
    <t>water - 2" &amp; &gt; -  type K copper</t>
  </si>
  <si>
    <t>waste - cast iron or PVC</t>
  </si>
  <si>
    <t>storm - cast iron or PVC</t>
  </si>
  <si>
    <t>gas - steel pipe</t>
  </si>
  <si>
    <t>Above ground piping</t>
  </si>
  <si>
    <t>water - 1-1/2" &amp; &lt; -  type L copper, CPVC, PEX</t>
  </si>
  <si>
    <t>CPVC</t>
  </si>
  <si>
    <t>water - 2" &amp; &gt; -  type L copper</t>
  </si>
  <si>
    <t>inc</t>
  </si>
  <si>
    <t xml:space="preserve">condensate piping </t>
  </si>
  <si>
    <t>Equipment Schedule</t>
  </si>
  <si>
    <t>AD-1 - AREA DRAIN</t>
  </si>
  <si>
    <t>BP-1 - BOOSTER PUMP</t>
  </si>
  <si>
    <t>BP-1</t>
  </si>
  <si>
    <t>BV-1 - BALANCING VALE</t>
  </si>
  <si>
    <t>BV-1</t>
  </si>
  <si>
    <t>ECO-1 - EXT CLEANOUT</t>
  </si>
  <si>
    <t>EPS-1 - GAS EMERGENCY POWER SHUT-OFF</t>
  </si>
  <si>
    <t>FCO - FLOOR CLEANOUT</t>
  </si>
  <si>
    <t>FD-1 - FLOOR DRAIN</t>
  </si>
  <si>
    <t>FD-1</t>
  </si>
  <si>
    <t>FD-2 - FLOOR DRAIN</t>
  </si>
  <si>
    <t>FD-2</t>
  </si>
  <si>
    <t>FS-1 - FLOOR SINK</t>
  </si>
  <si>
    <t>GAS REGULATOR</t>
  </si>
  <si>
    <t>GC-1 - GAS CONTROL BOX</t>
  </si>
  <si>
    <t>GD-1 GARAGE DRAIN</t>
  </si>
  <si>
    <t>GI-1 - GREASE INTERCEPTOR</t>
  </si>
  <si>
    <t xml:space="preserve">PRV-1 - </t>
  </si>
  <si>
    <t>PRV-1</t>
  </si>
  <si>
    <t>GSV-1 - GAS SOLENOID VALVE</t>
  </si>
  <si>
    <t>RCP-1</t>
  </si>
  <si>
    <t>GWH-1 - GAS WATER HEATER</t>
  </si>
  <si>
    <t>GWH-1</t>
  </si>
  <si>
    <t>HB-1 - HOSE BIB</t>
  </si>
  <si>
    <t>HD-1</t>
  </si>
  <si>
    <t>HD-1 - HUB DRAIN</t>
  </si>
  <si>
    <t>HB-1</t>
  </si>
  <si>
    <t>IMB-1 - ICE MAKER BOX</t>
  </si>
  <si>
    <t>IMB-1</t>
  </si>
  <si>
    <t>RCP-1 - RECIRCULATION PUMP</t>
  </si>
  <si>
    <t>RD-1 - ROOF DRAIN</t>
  </si>
  <si>
    <t>RD-2 - ROOF DRAIN OVERFLOW</t>
  </si>
  <si>
    <t>RH-1 - ROOF HYDRANT</t>
  </si>
  <si>
    <t>RPBFP-1 - REDUCED PRESSURE BACKFLOW PREVENTER</t>
  </si>
  <si>
    <t>SI-1 - SOLIDS INTERCEPTOR</t>
  </si>
  <si>
    <r>
      <t xml:space="preserve">TD-1 - TRENCH DRAIN - </t>
    </r>
    <r>
      <rPr>
        <b/>
        <sz val="11"/>
        <color rgb="FFFF0000"/>
        <rFont val="Calibri"/>
        <family val="2"/>
        <scheme val="minor"/>
      </rPr>
      <t>made an Allowance per Addendum #8</t>
    </r>
  </si>
  <si>
    <t>TMV-1 - THERMOSTATIC MIXING VALVE</t>
  </si>
  <si>
    <t>TMV-1</t>
  </si>
  <si>
    <t>WCO - WALL CLEANOUT</t>
  </si>
  <si>
    <t>WH-1 - WALL HYDRANT</t>
  </si>
  <si>
    <t>WH-1</t>
  </si>
  <si>
    <t>ELEVATOR SUMP PUMP</t>
  </si>
  <si>
    <t xml:space="preserve">Plumbing drawings P-101 &amp; P-103 show a O/S INT-1. This equipment is not listed on the plumbing schedules nor is it called for in the specifications. </t>
  </si>
  <si>
    <t>Common Plumbing Fixture Schedule</t>
  </si>
  <si>
    <t>EWC-1 - ELECTRIC WATER COOLER</t>
  </si>
  <si>
    <t>EWC-1</t>
  </si>
  <si>
    <t>L-1 - LAVATORY</t>
  </si>
  <si>
    <t>L-1</t>
  </si>
  <si>
    <t>L-2 - LAVATORY</t>
  </si>
  <si>
    <t>L-2</t>
  </si>
  <si>
    <t>MS-1 - MOP SINK</t>
  </si>
  <si>
    <t>S-1 - KICTHEN SINK</t>
  </si>
  <si>
    <t>S-1</t>
  </si>
  <si>
    <t>UR-1 - URINAL &amp; FLUSH VALVE</t>
  </si>
  <si>
    <t>UR-1</t>
  </si>
  <si>
    <t>UR-2 - URINAL &amp; FLUSH VALVE</t>
  </si>
  <si>
    <t>UR-2</t>
  </si>
  <si>
    <t>WC-1 - WATER CLOSET &amp; FLUSH VALVE</t>
  </si>
  <si>
    <t>WC-1</t>
  </si>
  <si>
    <t>WC-2 - WATER CLOSET &amp; FLUSH VALVE</t>
  </si>
  <si>
    <t>WC-2</t>
  </si>
  <si>
    <t>Units Plumbing Fixture Schedule</t>
  </si>
  <si>
    <t>G&amp;S</t>
  </si>
  <si>
    <t>HC Units</t>
  </si>
  <si>
    <t>Std Units</t>
  </si>
  <si>
    <t>AAV-1 - AIR ADMITTANCE VALVE</t>
  </si>
  <si>
    <t>AAV-1</t>
  </si>
  <si>
    <t>SH-1 - SHOWER - shower enclosure &amp; fixture</t>
  </si>
  <si>
    <t>SH-1</t>
  </si>
  <si>
    <t>SH-2 - SHOWER ADA</t>
  </si>
  <si>
    <t>SH-2</t>
  </si>
  <si>
    <t>WB-1 - WALL BOX</t>
  </si>
  <si>
    <t>WB-1</t>
  </si>
  <si>
    <t>Pipe Guards - Beacon Industries BDSG-48</t>
  </si>
  <si>
    <t>2/A510</t>
  </si>
  <si>
    <t>purchase</t>
  </si>
  <si>
    <t>tax</t>
  </si>
  <si>
    <t>shipping</t>
  </si>
  <si>
    <t>install</t>
  </si>
  <si>
    <t>Allowance No. 9 - exterior gas line</t>
  </si>
  <si>
    <t>Plumbing fixtures are included as shown on the Plumbing Drawings only.</t>
  </si>
  <si>
    <t>Roof drain pipe guards are included at the roof deck level only</t>
  </si>
  <si>
    <t>Plumbing drawings P-101 &amp; P-103 show a O/S INT-1. This equipment is not listed on the plumbing schedules nor is it called for in the specifications. We do not have enough information to price this. We exclude the 2 ea O/S INT-1.</t>
  </si>
  <si>
    <t>Discount to use alternate trim package by Olympia. L-6160B, T-2302, K-5030, &amp; T-2302-ADA.</t>
  </si>
  <si>
    <t>Discount to use standard tank type 1.28gpf water closets by Gerber in units. GRN31212 &amp; GRN31218.</t>
  </si>
  <si>
    <t>preferred</t>
  </si>
  <si>
    <t>Bidder 10</t>
  </si>
  <si>
    <t>Bidder 11</t>
  </si>
  <si>
    <t>Bidder 12</t>
  </si>
  <si>
    <t xml:space="preserve">Ferran Services </t>
  </si>
  <si>
    <t>Medic Air</t>
  </si>
  <si>
    <t xml:space="preserve">Hill York </t>
  </si>
  <si>
    <t>J.R. Hobbs</t>
  </si>
  <si>
    <t>McCloskey</t>
  </si>
  <si>
    <t xml:space="preserve">McDonald </t>
  </si>
  <si>
    <t>Meridian Mechanical Services</t>
  </si>
  <si>
    <t>Wright Brothers</t>
  </si>
  <si>
    <t>Triad Mechanical</t>
  </si>
  <si>
    <t>Brandon Ulmer</t>
  </si>
  <si>
    <t>Paul Parker</t>
  </si>
  <si>
    <t>Cale Janssen</t>
  </si>
  <si>
    <t>Brian Davis</t>
  </si>
  <si>
    <t>Marco Gomez</t>
  </si>
  <si>
    <t>McCloskey Mechanical</t>
  </si>
  <si>
    <t>Shadrek Parker</t>
  </si>
  <si>
    <t>Scott Wallick</t>
  </si>
  <si>
    <t>Bruce Aung</t>
  </si>
  <si>
    <t>Anderson Vergara</t>
  </si>
  <si>
    <t>407-781-1779</t>
  </si>
  <si>
    <t xml:space="preserve"> 407-356-7757</t>
  </si>
  <si>
    <t>386-760-2356</t>
  </si>
  <si>
    <t>321-261-1643</t>
  </si>
  <si>
    <t>470-738-2431</t>
  </si>
  <si>
    <t>856-784-5080</t>
  </si>
  <si>
    <t>407-280-5461</t>
  </si>
  <si>
    <t xml:space="preserve"> 888-552-0026</t>
  </si>
  <si>
    <t>561-386-8215</t>
  </si>
  <si>
    <t>470-370-4924</t>
  </si>
  <si>
    <t>bulmer@energyair.com</t>
  </si>
  <si>
    <t>pparker@ferran-services.com</t>
  </si>
  <si>
    <t>cjanssen@medicairsystems.com</t>
  </si>
  <si>
    <t>bdavis@hillyork.com</t>
  </si>
  <si>
    <t>mgomez@jrhobbs.com</t>
  </si>
  <si>
    <t>dcbids@mccloskeymechanical.com</t>
  </si>
  <si>
    <t>shadrek@mcdonaldair.com</t>
  </si>
  <si>
    <t>swallick@meridianmechanical.com</t>
  </si>
  <si>
    <t>baung@wrightbrotherscs.com</t>
  </si>
  <si>
    <t>andersonvergara@triadmechanical.com</t>
  </si>
  <si>
    <t>**Chilled water from the loop surrounding the building, no chiller required**</t>
  </si>
  <si>
    <t>Corridors (Chilled water fan coil units - in mech rooms) BOD: IEC, Model MPY</t>
  </si>
  <si>
    <t>BOH (Chilled water fan coil units - wall mounted - no duct) Manuf: Multiaqua</t>
  </si>
  <si>
    <t>Common Areas (Chilled water fan coil units - in mech rooms) BOD: IEC, Model MPY</t>
  </si>
  <si>
    <t>Units (Chilled water fan coil units - in AC closets) BOD: IEC, Model MPY</t>
  </si>
  <si>
    <t>DOAS (BOD: Valent) - fresh air to units and corridors</t>
  </si>
  <si>
    <t>Elevators (RTUs) - BOD: Trane</t>
  </si>
  <si>
    <t>Telecom RM (Split system w/ outdoor condensor&amp;compressor) BOD: Mitsubishi, 21.3 SEER2</t>
  </si>
  <si>
    <t>Electric heaters - serving stairs - Manuf: Qmark</t>
  </si>
  <si>
    <t xml:space="preserve">Chiller pumps w/VFD (BOD: Bell&amp;Gossett, approved manuf:) </t>
  </si>
  <si>
    <t>Exhaust Fans (Manuf: Greenheck)</t>
  </si>
  <si>
    <t xml:space="preserve">EF-1 Units Bathrooms </t>
  </si>
  <si>
    <t>EF-2,3 Unit Chases - located in the roof - serving unit chases (plumbing vent risers)</t>
  </si>
  <si>
    <t>EF-4,5 Restrooms 1st floor</t>
  </si>
  <si>
    <t>GF-1,2,3,4 Garage exhaust fans</t>
  </si>
  <si>
    <t>Air distribution (Metal Aire and Greenheck)</t>
  </si>
  <si>
    <t xml:space="preserve">4W,SW,RD - Diffusers, Registers and Grilles </t>
  </si>
  <si>
    <t xml:space="preserve">RG - Return grilles </t>
  </si>
  <si>
    <t xml:space="preserve">TG - Transfer grilles </t>
  </si>
  <si>
    <t>EG - Exhaust grilles</t>
  </si>
  <si>
    <t>EL - Exhaust louvers - Greenheck</t>
  </si>
  <si>
    <t>OAL - OA Intake Louvers - Greenheck</t>
  </si>
  <si>
    <t>EL - Garage Exhaust lovers - Greenheck</t>
  </si>
  <si>
    <t>Water piping</t>
  </si>
  <si>
    <r>
      <rPr>
        <sz val="10"/>
        <color rgb="FF000000"/>
        <rFont val="Arial"/>
        <family val="2"/>
      </rPr>
      <t>Underground CHW - (Site 8" pipe as per RFI#17), preinsulated HDPE or Aquatherm -</t>
    </r>
    <r>
      <rPr>
        <i/>
        <sz val="10"/>
        <color rgb="FFFF0000"/>
        <rFont val="Arial"/>
        <family val="2"/>
      </rPr>
      <t xml:space="preserve"> qualify</t>
    </r>
  </si>
  <si>
    <t>RFI#17, 18</t>
  </si>
  <si>
    <t>steel pipe</t>
  </si>
  <si>
    <t>Aboveground CHW - black steel Sch 40</t>
  </si>
  <si>
    <t>Spec 232113</t>
  </si>
  <si>
    <t>Insulated Chilled Water pipes outside building footprint</t>
  </si>
  <si>
    <t>Condensate piping - Type M Copper</t>
  </si>
  <si>
    <t>Spec 230518</t>
  </si>
  <si>
    <t>Type L Copper</t>
  </si>
  <si>
    <t xml:space="preserve">HVAC Controls -  Approved: Trane, ALC, Johnson Controls, Siemens, KMC </t>
  </si>
  <si>
    <t>JCI</t>
  </si>
  <si>
    <t>Ductwork as per schedule in M602</t>
  </si>
  <si>
    <t>Exhaust: single wall sheet metal, spiral round where exposed, no insulation</t>
  </si>
  <si>
    <t>Premanuf subduct riser</t>
  </si>
  <si>
    <t>Note 3/M421
4/M503</t>
  </si>
  <si>
    <t>Dryer exhaust: 4" galv sheet metal dryer vent to exterior vent cap.</t>
  </si>
  <si>
    <t>Supply: single wall sheet metal, concealed 2" external wrap, exposed 1 1/2" rigid board</t>
  </si>
  <si>
    <t>Outside Air: single wall sheet metal, concealed 2" external wrap, exposed 1 1/2" rigid board</t>
  </si>
  <si>
    <t>Dryer boxes</t>
  </si>
  <si>
    <t>Dryer vent caps</t>
  </si>
  <si>
    <t>Shop Drawings and Submittals</t>
  </si>
  <si>
    <t>Access Panels</t>
  </si>
  <si>
    <t>Air Filters</t>
  </si>
  <si>
    <t>Temp. Construction Filters</t>
  </si>
  <si>
    <r>
      <rPr>
        <sz val="10"/>
        <color rgb="FF000000"/>
        <rFont val="Arial"/>
        <family val="2"/>
      </rPr>
      <t>Certified Test and Balance only in Common Areas</t>
    </r>
    <r>
      <rPr>
        <i/>
        <sz val="10"/>
        <color rgb="FFFF0000"/>
        <rFont val="Arial"/>
        <family val="2"/>
      </rPr>
      <t xml:space="preserve"> -  See alternate</t>
    </r>
  </si>
  <si>
    <t>common areas and  10% type of unit</t>
  </si>
  <si>
    <r>
      <rPr>
        <sz val="10"/>
        <color rgb="FF000000"/>
        <rFont val="Arial"/>
        <family val="2"/>
      </rPr>
      <t xml:space="preserve">Equipment, </t>
    </r>
    <r>
      <rPr>
        <i/>
        <sz val="10"/>
        <color rgb="FFFF0000"/>
        <rFont val="Arial"/>
        <family val="2"/>
      </rPr>
      <t xml:space="preserve">crane </t>
    </r>
    <r>
      <rPr>
        <sz val="10"/>
        <color rgb="FF000000"/>
        <rFont val="Arial"/>
        <family val="2"/>
      </rPr>
      <t>and Labor Warranties per SPecifications</t>
    </r>
  </si>
  <si>
    <t>Roof curbs (18" plenum rated insulated for DOAS)</t>
  </si>
  <si>
    <t>Note14/DOAS sch M602</t>
  </si>
  <si>
    <t>Condensate piping</t>
  </si>
  <si>
    <t>Rooftop stands w/ vibration isolators, Florida approved</t>
  </si>
  <si>
    <t>Note6/EF sch M602</t>
  </si>
  <si>
    <t>Vibration isolators for chiller pumps</t>
  </si>
  <si>
    <t>3/M504</t>
  </si>
  <si>
    <t>Fire/Smoke dampers</t>
  </si>
  <si>
    <t>Firestopping of all penetrations</t>
  </si>
  <si>
    <r>
      <rPr>
        <sz val="10"/>
        <color rgb="FF000000"/>
        <rFont val="Arial"/>
        <family val="2"/>
      </rPr>
      <t xml:space="preserve">Intumescent paint at back of mech room doors - </t>
    </r>
    <r>
      <rPr>
        <i/>
        <sz val="10"/>
        <color rgb="FFFF0000"/>
        <rFont val="Arial"/>
        <family val="2"/>
      </rPr>
      <t>in Painting</t>
    </r>
  </si>
  <si>
    <t>BIM Modeling</t>
  </si>
  <si>
    <t>{101,099}</t>
  </si>
  <si>
    <r>
      <rPr>
        <sz val="10"/>
        <color rgb="FF000000"/>
        <rFont val="Arial"/>
        <family val="2"/>
      </rPr>
      <t xml:space="preserve">Relocation of existing chilled waters - temporary service to Advanced Flight Simulation Center - RFI#216 </t>
    </r>
    <r>
      <rPr>
        <i/>
        <sz val="10"/>
        <color rgb="FFFF0000"/>
        <rFont val="Arial"/>
        <family val="2"/>
      </rPr>
      <t>- to exclude</t>
    </r>
  </si>
  <si>
    <t>To integrate Residence Units to campus BAS system</t>
  </si>
  <si>
    <t>see alternate</t>
  </si>
  <si>
    <t>Allowance No. 10 of $100,000 for misc mech devices</t>
  </si>
  <si>
    <t>Test and Balance in Residential Units</t>
  </si>
  <si>
    <t>Remove Electric Heaters at Stairwells</t>
  </si>
  <si>
    <t>Fiberglass ductwork ilo sheet metal</t>
  </si>
  <si>
    <t>Vn</t>
  </si>
  <si>
    <t>Contigo Electric R2</t>
  </si>
  <si>
    <t>Boys Electrical</t>
  </si>
  <si>
    <t>Power Design</t>
  </si>
  <si>
    <t xml:space="preserve">Randal </t>
  </si>
  <si>
    <t>Giles Electric</t>
  </si>
  <si>
    <t>Bartram</t>
  </si>
  <si>
    <t>Eddie Sanchez</t>
  </si>
  <si>
    <t>Brian Trumble 1015</t>
  </si>
  <si>
    <t>Joshua Komis</t>
  </si>
  <si>
    <t>Tim Goff 508</t>
  </si>
  <si>
    <t>Tyler Scholz</t>
  </si>
  <si>
    <t xml:space="preserve">Nick Stevonson </t>
  </si>
  <si>
    <t>david@contigoelectric.com</t>
  </si>
  <si>
    <t>btrumble@boyselectrical.com</t>
  </si>
  <si>
    <t>jkomis@powerdesigninc.us</t>
  </si>
  <si>
    <t>tgoff@randallconstruction.com</t>
  </si>
  <si>
    <t xml:space="preserve"> tyler.scholz@gileselectriccompany.com </t>
  </si>
  <si>
    <t>{1.6}</t>
  </si>
  <si>
    <t xml:space="preserve">Light Fixtures  </t>
  </si>
  <si>
    <t>Disconnect, remove or relocate all existing electrical  material and equipment that interferes with new installation</t>
  </si>
  <si>
    <t>E010</t>
  </si>
  <si>
    <t>Light fixtures By Sesco Lighting as per Lighting Package dated 07/15/25</t>
  </si>
  <si>
    <t>{1908580}</t>
  </si>
  <si>
    <t>Lighting control panel</t>
  </si>
  <si>
    <t>Bases of design for Low Voltage lighting control system shall be Wattstopper DLM. All lighting control devices shall be able to be controlled via Wattstopper LMCT-100-2 handheld wireless configuration tool</t>
  </si>
  <si>
    <t>E121</t>
  </si>
  <si>
    <t>Site light fixtures as per schedule (Gardco PureForm&amp; Form 10 Led)</t>
  </si>
  <si>
    <t>E003,004</t>
  </si>
  <si>
    <t xml:space="preserve">Concrete site lighting pole bases </t>
  </si>
  <si>
    <t>p</t>
  </si>
  <si>
    <t>Garage &amp; Canopy light fixtures as per schedule (Gradco SoftView &amp;GeoForm</t>
  </si>
  <si>
    <t>E003</t>
  </si>
  <si>
    <t>All required emergency exits and emergency egress lights as per drawings and it shall be connected to the emergency system lighting circuits</t>
  </si>
  <si>
    <t>Provide flight obstruction lights as required by the FAA</t>
  </si>
  <si>
    <t>E270</t>
  </si>
  <si>
    <t>DC-powered linear light fixtures installed on the window fins at student bedrooms and lighting integrated into the first floor canopy will be installed as per the instructions and details in (RFI 1-37 ADD#1)</t>
  </si>
  <si>
    <t>RFI1-37</t>
  </si>
  <si>
    <t>Lighting control system devices such as occupancy sensors, daylight sensors, vacancy sensors, wall switches, power racks, ETC shall be as required by the lighting controls manufacturer and coordinated with their shop drawings, the quantities, types and locations of devices shown on the lighting control shop drawings shall supersede devices indicated on the floor plan</t>
  </si>
  <si>
    <t>Conduits, Cables &amp; Switches</t>
  </si>
  <si>
    <t>All required Light switches as per drawings and it shall be 120 V rated unless otherwise noted</t>
  </si>
  <si>
    <t>All required feeders as per schedule</t>
  </si>
  <si>
    <t>E601,602</t>
  </si>
  <si>
    <t xml:space="preserve">All conductors shall be copper (#12 MIN) </t>
  </si>
  <si>
    <t>E001</t>
  </si>
  <si>
    <t>Secondary service feeders</t>
  </si>
  <si>
    <t>Power utility company conduits</t>
  </si>
  <si>
    <t>Minimum size conduit shall be 3/4" unless noted otherwise</t>
  </si>
  <si>
    <t>Provide A UL924 emergency bypass relay in each room with emergency lighting to overrode the lighting control to turn on emergency lighting fixtures during a power outage event</t>
  </si>
  <si>
    <t>Provide Junction boxes for future EV charging station 208V/1P,(2)40A level 2 -level6 8/ea parking garage</t>
  </si>
  <si>
    <t>E011,221</t>
  </si>
  <si>
    <t>Provide all required conduit pathways, pull strings. boxes and rough-ins necessary to accommodate the future EV system (add#1 RFI 1-20)</t>
  </si>
  <si>
    <t>RFI1-20</t>
  </si>
  <si>
    <t>Provide Junction boxes for Fire protection dry-pipe cabinet power connections 1/ea floor from level 2 to level 6 parking garage</t>
  </si>
  <si>
    <t>E262</t>
  </si>
  <si>
    <t>Utility 480Y/277V transformer/Meters to new locations per drawing</t>
  </si>
  <si>
    <t>E011</t>
  </si>
  <si>
    <t>Empty conduits for low voltage scope</t>
  </si>
  <si>
    <t>All conduit shall extend 6" above transformer pad, conduit shall have insulated grounding bushing bonded by #4 bare copper</t>
  </si>
  <si>
    <t>E424</t>
  </si>
  <si>
    <t>Copper ground  Bus Bar</t>
  </si>
  <si>
    <t>E502</t>
  </si>
  <si>
    <t xml:space="preserve">Provide and install surge protection </t>
  </si>
  <si>
    <t>Telaphone utility company conduits</t>
  </si>
  <si>
    <t>Switchboards / Panels</t>
  </si>
  <si>
    <t>Switchboard MSB1 3000 A 480Y/277V at main electrical room</t>
  </si>
  <si>
    <t>E601,791</t>
  </si>
  <si>
    <t>Branch Panels Ah1,Ah3,Ah5 &amp; Ah6</t>
  </si>
  <si>
    <t>E601,701</t>
  </si>
  <si>
    <r>
      <rPr>
        <sz val="10"/>
        <color rgb="FF000000"/>
        <rFont val="Arial"/>
        <family val="2"/>
      </rPr>
      <t xml:space="preserve">Branch Panels ALDP1,AL1A, AL1B, AL1C, &amp; </t>
    </r>
    <r>
      <rPr>
        <sz val="10"/>
        <color rgb="FFFF0000"/>
        <rFont val="Arial"/>
        <family val="2"/>
      </rPr>
      <t>AL1D</t>
    </r>
  </si>
  <si>
    <t>E601,702</t>
  </si>
  <si>
    <t>BranchPanels AL2, 3, 4, 5, 6, ALT1, 2, 4, &amp; 6</t>
  </si>
  <si>
    <t>E601,703,704</t>
  </si>
  <si>
    <r>
      <rPr>
        <sz val="10"/>
        <color rgb="FF000000"/>
        <rFont val="Arial"/>
        <family val="2"/>
      </rPr>
      <t>Branch panels AEMH1, 3, 5, 6, AEML1, 3, 5, AEQH1, AEQL1, A</t>
    </r>
    <r>
      <rPr>
        <sz val="10"/>
        <color rgb="FF2F75B5"/>
        <rFont val="Arial"/>
        <family val="2"/>
      </rPr>
      <t>EQL3, AEQL5</t>
    </r>
  </si>
  <si>
    <t>E601,705,706</t>
  </si>
  <si>
    <t>Branch Panels BH1, 3, 5, 6</t>
  </si>
  <si>
    <t>E601,711</t>
  </si>
  <si>
    <t>Branch panels BLDP1, BL1A, 1B, 1C, 1D</t>
  </si>
  <si>
    <t>E601,712</t>
  </si>
  <si>
    <r>
      <rPr>
        <sz val="10"/>
        <color rgb="FF000000"/>
        <rFont val="Arial"/>
        <family val="2"/>
      </rPr>
      <t xml:space="preserve">Branch panels BL2, 3, 4, 5, 6, </t>
    </r>
    <r>
      <rPr>
        <sz val="10"/>
        <color rgb="FFFF0000"/>
        <rFont val="Arial"/>
        <family val="2"/>
      </rPr>
      <t>BLT1</t>
    </r>
    <r>
      <rPr>
        <sz val="10"/>
        <color rgb="FF000000"/>
        <rFont val="Arial"/>
        <family val="2"/>
      </rPr>
      <t>, 2, 4, 6</t>
    </r>
  </si>
  <si>
    <t>E601,713,714</t>
  </si>
  <si>
    <t>Branch Panels BEMH1, 3, 5, BEML1, 3, 5</t>
  </si>
  <si>
    <t>E601,715</t>
  </si>
  <si>
    <r>
      <rPr>
        <sz val="10"/>
        <color rgb="FF000000"/>
        <rFont val="Arial"/>
        <family val="2"/>
      </rPr>
      <t xml:space="preserve">Branch Panels BEQH1, BEQL1, </t>
    </r>
    <r>
      <rPr>
        <sz val="10"/>
        <color rgb="FF2F75B5"/>
        <rFont val="Arial"/>
        <family val="2"/>
      </rPr>
      <t>BEQL3, BEQL5</t>
    </r>
  </si>
  <si>
    <t>E602,716</t>
  </si>
  <si>
    <t>Transformers T-AEM1 75KVA, T-AEQ175KVA, TA1 500 KVA &amp; TB1 500KVA</t>
  </si>
  <si>
    <t>E601</t>
  </si>
  <si>
    <t>Transformers T-BEM1 75KVA, T-BEQ17 5KVA</t>
  </si>
  <si>
    <t>E602</t>
  </si>
  <si>
    <t xml:space="preserve">ATS 600 A 4-Pole </t>
  </si>
  <si>
    <t>ATS for fire protection service</t>
  </si>
  <si>
    <t>Diesel Genrator 1000 KW</t>
  </si>
  <si>
    <t xml:space="preserve">1000 KW </t>
  </si>
  <si>
    <t>Residential Switchboard MSB2 4000 A</t>
  </si>
  <si>
    <t>E603</t>
  </si>
  <si>
    <t>Main Floor panels A2D, A3D, A4D, A5D, A6D, B2D, B3D, B4d, B5d, B6D</t>
  </si>
  <si>
    <t xml:space="preserve">Units Panels 200 A </t>
  </si>
  <si>
    <t>Fire Alarm</t>
  </si>
  <si>
    <t>Fire Alarm complete system including wiring, panels and all dvices</t>
  </si>
  <si>
    <t>System to be Notifier Network OYNXWORKS as per addend.#3 RFI#71</t>
  </si>
  <si>
    <t>AFF</t>
  </si>
  <si>
    <t>Utilize low frequency Sounder bases</t>
  </si>
  <si>
    <t>LV</t>
  </si>
  <si>
    <t>Only EMT or rigid conduit shall be used above ground</t>
  </si>
  <si>
    <t>T001</t>
  </si>
  <si>
    <t>Voice / Data / CATV empty conduit</t>
  </si>
  <si>
    <t>Voice / Data / CATV empty wiring</t>
  </si>
  <si>
    <t>Access Conyrol conduit stub ups</t>
  </si>
  <si>
    <t>Access control wiring and devices</t>
  </si>
  <si>
    <t>Sound system conduit stub ups</t>
  </si>
  <si>
    <t>Sound system woring and devices</t>
  </si>
  <si>
    <t>BDA Empty Conduits</t>
  </si>
  <si>
    <t>Demarcation Cabinet</t>
  </si>
  <si>
    <t>Deduct LV Wiring included in base</t>
  </si>
  <si>
    <t>Any conduits / sleeves required to be inside pre-cast  panels shall be embedded within the pre-cast panels in fabrication stage at pre-cast subcontractor Site</t>
  </si>
  <si>
    <t>RF1-21, 37</t>
  </si>
  <si>
    <t>Temporary power and lighting</t>
  </si>
  <si>
    <t>Fire stopping and fire caulking</t>
  </si>
  <si>
    <t>Disposal of electrical depris</t>
  </si>
  <si>
    <t>Electrical Service Coordination with FPL (Allowance)</t>
  </si>
  <si>
    <t>Electrical Panels (Allowance)</t>
  </si>
  <si>
    <t>Permit Fee</t>
  </si>
  <si>
    <t>Allowance No. 12 of $250,000 is to be included for rerouting of existing site fiber discovered after bids were received.</t>
  </si>
  <si>
    <t>Contigo Electric</t>
  </si>
  <si>
    <t>Maxuwell Lightning</t>
  </si>
  <si>
    <t>Bonded</t>
  </si>
  <si>
    <t>Lighting Protection</t>
  </si>
  <si>
    <t>Jamie Kroft</t>
  </si>
  <si>
    <t xml:space="preserve">Provide complete NFPA 780 Lightning protection </t>
  </si>
  <si>
    <t>All equipment exposed to wind forces shall be installed and rated for 180 MPH rating</t>
  </si>
  <si>
    <t>Diego Vasquez</t>
  </si>
  <si>
    <t>Joy Communications</t>
  </si>
  <si>
    <t>Titan Technology</t>
  </si>
  <si>
    <t>PCR1</t>
  </si>
  <si>
    <t>PCS R</t>
  </si>
  <si>
    <t>Com Design</t>
  </si>
  <si>
    <t>Coranet</t>
  </si>
  <si>
    <t>Qualiti Cbale Contractors</t>
  </si>
  <si>
    <t>PCS</t>
  </si>
  <si>
    <t>Peter Engle</t>
  </si>
  <si>
    <t>Paul Webster</t>
  </si>
  <si>
    <t>Gary Nugent</t>
  </si>
  <si>
    <t>Mike Vecchioli</t>
  </si>
  <si>
    <t>Ralph Daly</t>
  </si>
  <si>
    <t>Omar Hernandez</t>
  </si>
  <si>
    <t xml:space="preserve"> pengle@joycomm.com </t>
  </si>
  <si>
    <t>pwebster@titanelectric-se.com</t>
  </si>
  <si>
    <t>garyn@preferredcabling.com</t>
  </si>
  <si>
    <t>mvecchioli@comdesigninc.com</t>
  </si>
  <si>
    <t>rdaly@coranet.com</t>
  </si>
  <si>
    <t xml:space="preserve"> ohernandez@qcciflorida.com </t>
  </si>
  <si>
    <t>Cabling for all systems as per drawings</t>
  </si>
  <si>
    <t>Cat 6A PVC cable as specified</t>
  </si>
  <si>
    <t>Fiber &amp; Copper Cabling</t>
  </si>
  <si>
    <t>CAT 6A PVC cable as specified</t>
  </si>
  <si>
    <t>Cables will be supported with J-hooks and Velcro</t>
  </si>
  <si>
    <t>All CAT 6A Pvc cables will be terminated &amp; labeled on 48-port patch panels</t>
  </si>
  <si>
    <t>Instll all LV systems device and equipment furnished by the owner</t>
  </si>
  <si>
    <t>Vedio Survelillence System</t>
  </si>
  <si>
    <t>Ceiling mounted cameras C</t>
  </si>
  <si>
    <t>Wall mounted cameras C</t>
  </si>
  <si>
    <t>Pole mounted cameras C</t>
  </si>
  <si>
    <t>Video Monitor outlet VM</t>
  </si>
  <si>
    <t>Pan/Tilt/Zoom, Weatherprrof, Dome camera. Bullet Camera are all pplicable to te Video surveillance system</t>
  </si>
  <si>
    <t>Wall mounted Card readers CR</t>
  </si>
  <si>
    <t>Door possitiom switch DP</t>
  </si>
  <si>
    <t>Biometric Readers BR</t>
  </si>
  <si>
    <t>Push Button PB</t>
  </si>
  <si>
    <t>Electronic lock EL</t>
  </si>
  <si>
    <t>Electronic Strike ES</t>
  </si>
  <si>
    <t>Card reader w/keypad, reader shall allow keypad entry as a aubistite in case card/badge/fob/etc is missing</t>
  </si>
  <si>
    <t>Access Control (Allowance) #13</t>
  </si>
  <si>
    <t>Alarm System</t>
  </si>
  <si>
    <t>Keypad K</t>
  </si>
  <si>
    <t>Door Contact DC</t>
  </si>
  <si>
    <t>Window Contact WC</t>
  </si>
  <si>
    <t>Duress Button DB</t>
  </si>
  <si>
    <t>Glass Break detector  wall mounted GB</t>
  </si>
  <si>
    <t>Glass Break detector ceiling mounted GB</t>
  </si>
  <si>
    <t>Motion detector wall mounted M</t>
  </si>
  <si>
    <t>Motion detector ceiling  mounted M</t>
  </si>
  <si>
    <t>Sound detector wall mounted S</t>
  </si>
  <si>
    <t>Bibration detector wall mounted V</t>
  </si>
  <si>
    <t>Alarm strobe A</t>
  </si>
  <si>
    <t>Acive Infrared, Passive Infrared, and Ultrasonic are applicable to alarm system</t>
  </si>
  <si>
    <t>Paging System</t>
  </si>
  <si>
    <t>Paging Speaker ceiling mounted PS</t>
  </si>
  <si>
    <t>Paging Speaker wall mounted PS</t>
  </si>
  <si>
    <t>Pagig microphone PM</t>
  </si>
  <si>
    <t>Lay-In recessed  round and square flush monted are applicable to the system</t>
  </si>
  <si>
    <t>TV System</t>
  </si>
  <si>
    <t>TV outlets (1) RG-6 Coax Wall mounted TV</t>
  </si>
  <si>
    <t>TV outlets (1) RG-6 Coax Ceiling mounted TV</t>
  </si>
  <si>
    <t>Data Distribution</t>
  </si>
  <si>
    <t>Data outlet wall mounted</t>
  </si>
  <si>
    <t>Data outlet ceiling mounted</t>
  </si>
  <si>
    <t>Telephone outlet wall mounted</t>
  </si>
  <si>
    <t>Telephone outlet ceiling mounted</t>
  </si>
  <si>
    <t>Dat/Telephone out;et wall mounted</t>
  </si>
  <si>
    <t>Dat/Telephone out;et ciling mounted</t>
  </si>
  <si>
    <t>Wirless access point pole mounted WAP</t>
  </si>
  <si>
    <t>Wirless access point wall mounted WAP</t>
  </si>
  <si>
    <t>Wirless access point ceilingl mounted WAP</t>
  </si>
  <si>
    <t>Distributed antenna system ceiling mounted DAS</t>
  </si>
  <si>
    <t>Audiovisual (AV) System</t>
  </si>
  <si>
    <t>Audiovisula outlet wall mounted</t>
  </si>
  <si>
    <t>Audiovisula outlet ceiling mounted</t>
  </si>
  <si>
    <t>Spekers ceiling mounted S</t>
  </si>
  <si>
    <t>Spekers wall mounted S</t>
  </si>
  <si>
    <t>Microphone ceiling mounted M</t>
  </si>
  <si>
    <t>Microphone wall mounted M</t>
  </si>
  <si>
    <t>Microphone tabeltop mounted M</t>
  </si>
  <si>
    <t>Volume control V</t>
  </si>
  <si>
    <t>Amplifier wall mounted AMP</t>
  </si>
  <si>
    <t>Touch screen wall mounted TSC</t>
  </si>
  <si>
    <t>Touch screen tabeltop mounted TSC</t>
  </si>
  <si>
    <t>Control panel wall mounted CP</t>
  </si>
  <si>
    <t>Camera ceiling mounted</t>
  </si>
  <si>
    <t>Projector suspended from ceiling P</t>
  </si>
  <si>
    <t>Acces Control</t>
  </si>
  <si>
    <t>Nautilus</t>
  </si>
  <si>
    <t>CTS</t>
  </si>
  <si>
    <t>Bi-Directional Amplifier</t>
  </si>
  <si>
    <t>Jimmy Bradford</t>
  </si>
  <si>
    <t>Michael Vines</t>
  </si>
  <si>
    <t>27 53</t>
  </si>
  <si>
    <t xml:space="preserve"> jbradford@nautilusrf.com </t>
  </si>
  <si>
    <t xml:space="preserve"> mvines@cts1.com </t>
  </si>
  <si>
    <t>Complete BDA  and DAS systems</t>
  </si>
  <si>
    <t xml:space="preserve">Pre-construction services </t>
  </si>
  <si>
    <t>Permit drawings, project management, equipment, installation and close-out</t>
  </si>
  <si>
    <t>Textura Fee 0.22%</t>
  </si>
  <si>
    <t>Mann Wirless</t>
  </si>
  <si>
    <t xml:space="preserve">Fire Alarm   </t>
  </si>
  <si>
    <t>Jeremy Garcia</t>
  </si>
  <si>
    <t>28 46</t>
  </si>
  <si>
    <t xml:space="preserve"> jgarcia@mannwireless.com </t>
  </si>
  <si>
    <t>PALM BEACH COUNTY LOCAL BUSINESS TAX RECEIPT</t>
  </si>
  <si>
    <t>Fire alarm control panel FACP with voice EVAC and mass notification</t>
  </si>
  <si>
    <t>E605</t>
  </si>
  <si>
    <t>Fire alarm terminal cabinet FATC / NAC panels</t>
  </si>
  <si>
    <t>All required smoke detectors and heat detectors as per drawings and specs</t>
  </si>
  <si>
    <t>Provide duct smoke detectors, installed bu HVAC sub</t>
  </si>
  <si>
    <t>Povide and  install elevator equipment room smoke and heat detectors</t>
  </si>
  <si>
    <t>All equipment shall be U.L. listed</t>
  </si>
  <si>
    <t>All required strops and pull stations as per drawings</t>
  </si>
  <si>
    <t>All wiring to be class B.Wiring is style Y for notification appliance circuits, style B for initiating device circuits, and style 4 for signaling line circuits</t>
  </si>
  <si>
    <t>Dewatering</t>
  </si>
  <si>
    <t>31 23 00</t>
  </si>
  <si>
    <t>D &amp; W Paving</t>
  </si>
  <si>
    <t>Drewry Site Dev</t>
  </si>
  <si>
    <t>Black Sands Dev</t>
  </si>
  <si>
    <t>JW Weber</t>
  </si>
  <si>
    <t>Earthwork</t>
  </si>
  <si>
    <t>Chad Durrance</t>
  </si>
  <si>
    <t>Allison Worsham</t>
  </si>
  <si>
    <t>31 30 00</t>
  </si>
  <si>
    <t>(386) 258-5440</t>
  </si>
  <si>
    <t xml:space="preserve">(386) 944-9351 </t>
  </si>
  <si>
    <t>dwpaving@dwpavinginc.com</t>
  </si>
  <si>
    <t>mvelez_blacksandsdg@outlook.com</t>
  </si>
  <si>
    <t>GENERAL</t>
  </si>
  <si>
    <t>Survey / layout / as-builts</t>
  </si>
  <si>
    <t>Testing</t>
  </si>
  <si>
    <t>SWPPP</t>
  </si>
  <si>
    <t>Misc</t>
  </si>
  <si>
    <t>Remobilization after soil stabilization</t>
  </si>
  <si>
    <t>EROSION CONTROL</t>
  </si>
  <si>
    <t>Silt Fence</t>
  </si>
  <si>
    <t>Construction  entrance</t>
  </si>
  <si>
    <t>Construction  entrance - maintain by sub</t>
  </si>
  <si>
    <t>Construction  entrance - maintain by HB</t>
  </si>
  <si>
    <t xml:space="preserve">Dust Control </t>
  </si>
  <si>
    <t>Street Sweeping</t>
  </si>
  <si>
    <t>Inlet Protection - new</t>
  </si>
  <si>
    <t>Inlet Protection - existing</t>
  </si>
  <si>
    <t>DEMOLITION</t>
  </si>
  <si>
    <t>Remove existing trees</t>
  </si>
  <si>
    <t>Light Poles</t>
  </si>
  <si>
    <t>Signs</t>
  </si>
  <si>
    <t>Demo existing asphalt, curb, sidewalk</t>
  </si>
  <si>
    <t>Demo existing utilities</t>
  </si>
  <si>
    <t>Demo existing utilities contingency</t>
  </si>
  <si>
    <t>EARTHWORK</t>
  </si>
  <si>
    <t>Clear &amp; Grub</t>
  </si>
  <si>
    <t>Grading</t>
  </si>
  <si>
    <t>Fill existing wet detention area</t>
  </si>
  <si>
    <t>Cut to fill</t>
  </si>
  <si>
    <t>Import / Export</t>
  </si>
  <si>
    <t>Grade Dry Retention #1 - rework exist</t>
  </si>
  <si>
    <t>Grade Dry Retention #2 - rework exist</t>
  </si>
  <si>
    <t>Grade Dry Retention #3 - rework exist</t>
  </si>
  <si>
    <t>Grade Dry Retention #4</t>
  </si>
  <si>
    <t>Rough Grade Site</t>
  </si>
  <si>
    <t>Fine Grade Site</t>
  </si>
  <si>
    <t>Fine Grade green areas</t>
  </si>
  <si>
    <t>Rough &amp; Fine Grade around bldg</t>
  </si>
  <si>
    <t>Back-fill at curb/planters</t>
  </si>
  <si>
    <t>ASPHALT PAVING</t>
  </si>
  <si>
    <t xml:space="preserve">10" stabilized sub-grade </t>
  </si>
  <si>
    <t>sy</t>
  </si>
  <si>
    <t>8" Lime rock  base</t>
  </si>
  <si>
    <t>Paving - 1 1/2" Sp 9.5</t>
  </si>
  <si>
    <t>Addendum #1 - Bidders shall carry full replacement of asphalt in areas currently 
labeled as “asphalt overlay” on Sheet C3,</t>
  </si>
  <si>
    <t>Paving - mill existing - NA</t>
  </si>
  <si>
    <t>Paving - 1 1/2" Sp 9.5 (replace existing in lieu of mill &amp; overlay)</t>
  </si>
  <si>
    <t>Open cut &amp; repair</t>
  </si>
  <si>
    <t xml:space="preserve">CONCRETE </t>
  </si>
  <si>
    <t>Sidewalks - LBR-40 stabilized base</t>
  </si>
  <si>
    <t>Sidewalks - 6" conc</t>
  </si>
  <si>
    <t>HC ramp w/ det warning</t>
  </si>
  <si>
    <t>Type D Curb</t>
  </si>
  <si>
    <t>Type F Curb</t>
  </si>
  <si>
    <t>Type V - 2’ wide valley gutter</t>
  </si>
  <si>
    <t>GRAVEL &amp; PATH</t>
  </si>
  <si>
    <t>Path - 6" LBR-40 stabilized base</t>
  </si>
  <si>
    <t>inc above</t>
  </si>
  <si>
    <t>UTILITIES</t>
  </si>
  <si>
    <t>Sanitary</t>
  </si>
  <si>
    <t>PVC - 06"</t>
  </si>
  <si>
    <t>PVC - 08"</t>
  </si>
  <si>
    <t>PVC - 10"</t>
  </si>
  <si>
    <t>Clean-out</t>
  </si>
  <si>
    <t>Clean-out - 2 way</t>
  </si>
  <si>
    <t>Grease Trap - 1000 gal</t>
  </si>
  <si>
    <t>Wye - 10x8</t>
  </si>
  <si>
    <t>Wye - 8x6</t>
  </si>
  <si>
    <t>Storm Drainage</t>
  </si>
  <si>
    <t>C Inlet w/ apron</t>
  </si>
  <si>
    <t>C Inlet on J</t>
  </si>
  <si>
    <t>C Inlet</t>
  </si>
  <si>
    <t>E Inlet on J w/ apron</t>
  </si>
  <si>
    <t>E Inlet w/ apron</t>
  </si>
  <si>
    <t>E Inlet</t>
  </si>
  <si>
    <t>Junct Manhole</t>
  </si>
  <si>
    <t>MES - 18"</t>
  </si>
  <si>
    <t>MES - 24"</t>
  </si>
  <si>
    <t>Rock Trench - 1.65'</t>
  </si>
  <si>
    <t>cf</t>
  </si>
  <si>
    <t>Rock Trench - 1.75'</t>
  </si>
  <si>
    <t>Rock Trench - 2.15'</t>
  </si>
  <si>
    <t>HDPE Perf - 18"</t>
  </si>
  <si>
    <t>HDPE - 15"</t>
  </si>
  <si>
    <t>HDPE - 18"</t>
  </si>
  <si>
    <t>HDPE - 24"</t>
  </si>
  <si>
    <t>HDPE - 30"</t>
  </si>
  <si>
    <t>RCP - 18"</t>
  </si>
  <si>
    <t>RCP - 24"</t>
  </si>
  <si>
    <t>RCP - 30"</t>
  </si>
  <si>
    <t>Yard Drain - 10"</t>
  </si>
  <si>
    <t>Splash Pad</t>
  </si>
  <si>
    <t>Water &amp; Fire</t>
  </si>
  <si>
    <t>Fire Hyd - New</t>
  </si>
  <si>
    <t>Fire Hyd - Relocated</t>
  </si>
  <si>
    <t>FDC - Relocated</t>
  </si>
  <si>
    <t>Chilled Water Lines - See HVAC</t>
  </si>
  <si>
    <t>Chilled Water Lines - increase to 12"</t>
  </si>
  <si>
    <t>STRIPING - SUFFACE - Thermoplastic</t>
  </si>
  <si>
    <t>STD space</t>
  </si>
  <si>
    <t>HC Space w/ signage</t>
  </si>
  <si>
    <t>Stop Bar - 24"</t>
  </si>
  <si>
    <t>Crosswalk</t>
  </si>
  <si>
    <t>Arrow</t>
  </si>
  <si>
    <t>Signage - stop</t>
  </si>
  <si>
    <t>Wheel stops - pinned</t>
  </si>
  <si>
    <t>STRIPING - GARAGE - Painted</t>
  </si>
  <si>
    <t>Crosshatch</t>
  </si>
  <si>
    <t>Wheel stops - epoxy</t>
  </si>
  <si>
    <t>Ground Hog</t>
  </si>
  <si>
    <t>Crane Road</t>
  </si>
  <si>
    <t>balance number</t>
  </si>
  <si>
    <t>total</t>
  </si>
  <si>
    <t>Keller North America</t>
  </si>
  <si>
    <t>Bauer Foundation Corp</t>
  </si>
  <si>
    <t>Earth Tech Menard</t>
  </si>
  <si>
    <t>Geopier Foundation Co</t>
  </si>
  <si>
    <t xml:space="preserve">Paublo Iglesias  </t>
  </si>
  <si>
    <t>Shrey Lunagaria</t>
  </si>
  <si>
    <t>Bryan Plaskett</t>
  </si>
  <si>
    <t>(727) 744-6715</t>
  </si>
  <si>
    <t>(727) 531-2577</t>
  </si>
  <si>
    <t>(813) 245-8707</t>
  </si>
  <si>
    <t>paublo.iglesias@keller-na.com</t>
  </si>
  <si>
    <t>Shrey.Lunagaria@bauerfoundations.com</t>
  </si>
  <si>
    <t>Bryan.Plaskett@menardusa.com</t>
  </si>
  <si>
    <t>{1.2%}</t>
  </si>
  <si>
    <t>Rigid Inclusions / Vibro Replacement</t>
  </si>
  <si>
    <t>Ramed Agregate</t>
  </si>
  <si>
    <t>We anticipate the depth of improvement for proposed foundations will be on the order of 35 to 40 feet below existing grade</t>
  </si>
  <si>
    <t>Load test</t>
  </si>
  <si>
    <t>Water supply meter &amp; usage</t>
  </si>
  <si>
    <t xml:space="preserve">Water contaiment </t>
  </si>
  <si>
    <t>Layout reference points</t>
  </si>
  <si>
    <t>Preconstruction survey</t>
  </si>
  <si>
    <t>Vibration Monitoring</t>
  </si>
  <si>
    <t>Remove spoils</t>
  </si>
  <si>
    <t>Regrade prior to foundations</t>
  </si>
  <si>
    <t>Added borings at exist retention pond when filled</t>
  </si>
  <si>
    <t>Piles</t>
  </si>
  <si>
    <t>31 63 00</t>
  </si>
  <si>
    <t>PaverScape</t>
  </si>
  <si>
    <t>ACP</t>
  </si>
  <si>
    <t>J.A. Pavers</t>
  </si>
  <si>
    <t>Golden Pavers</t>
  </si>
  <si>
    <t>Pavers</t>
  </si>
  <si>
    <t>Brett Emery</t>
  </si>
  <si>
    <t xml:space="preserve">Jeff Oxley </t>
  </si>
  <si>
    <t>Roger Smith</t>
  </si>
  <si>
    <t>Cyntia Santos</t>
  </si>
  <si>
    <t>(407) 704-9327</t>
  </si>
  <si>
    <t>(904) 661-6689</t>
  </si>
  <si>
    <t>(352) 396-0232</t>
  </si>
  <si>
    <t>(904) 339-1536</t>
  </si>
  <si>
    <t>brett.paverscape@gmail.com</t>
  </si>
  <si>
    <t>joxley@acpfl.com</t>
  </si>
  <si>
    <t xml:space="preserve">roger@japaversinc.com </t>
  </si>
  <si>
    <t>golden_pavers@yahoo.com</t>
  </si>
  <si>
    <t>Concrete Pavers</t>
  </si>
  <si>
    <t>CONCRETE PAVER:H-SERIES, GALAXY, (50% ) 6" X 24"X4" DEPTH, (50%) 12"X24"X4" DEPTH;COLOR: (50%) HGL-33 AND (50%) HGL-40, RANDOM COLOR MIXED</t>
  </si>
  <si>
    <t>1/LS-3.03</t>
  </si>
  <si>
    <t>thinset w/ add mixture</t>
  </si>
  <si>
    <t>Permaloc aluminum edge restraint</t>
  </si>
  <si>
    <t xml:space="preserve">6" concrete base </t>
  </si>
  <si>
    <t>12" compacted subgrade - inc site work</t>
  </si>
  <si>
    <t xml:space="preserve">SWITCH TO A 2.75” PAVER </t>
  </si>
  <si>
    <t xml:space="preserve">SAND SET INSTALLTION </t>
  </si>
  <si>
    <t>ALTERNATE PAVER SPEC</t>
  </si>
  <si>
    <t>LandscapeForms</t>
  </si>
  <si>
    <t>Ground Control Systems</t>
  </si>
  <si>
    <t>Hunter Lunardini</t>
  </si>
  <si>
    <t>Brady O'Neill</t>
  </si>
  <si>
    <t xml:space="preserve">(800) 441-1945 </t>
  </si>
  <si>
    <t xml:space="preserve">(209) 481-7219 </t>
  </si>
  <si>
    <t>hunterl@landscapeforms.com</t>
  </si>
  <si>
    <t>brady@groundcontrolsystems.com</t>
  </si>
  <si>
    <t xml:space="preserve">Seat Bench -1 </t>
  </si>
  <si>
    <t>LUNGO MARE, MODULE A ( 79"X158"), CUSTOM ERAU SILVER COLOR</t>
  </si>
  <si>
    <t>Seat Bench -2</t>
  </si>
  <si>
    <t>MILENIO, STYLE: (2)ANGEL LEFT, (2)ANGEL RIGHT,  COLOR: BEIGE ESCOFET CONCRETE</t>
  </si>
  <si>
    <t>MILENIO, STYLE: (10) STRAIGHT,  COLOR: BEIGE ESCOFET CONCRETE</t>
  </si>
  <si>
    <t>Seat Bench -3</t>
  </si>
  <si>
    <t>(4) STAY BENCH, BACKED, CUSTOM ERAU SILVER COLOR</t>
  </si>
  <si>
    <t>Trash Receptacle</t>
  </si>
  <si>
    <t>(8) PITCH LITTER, SIDE OPENING, 28 GAL. BLACK POLY LINER, SURFACE MOUNTABLE, CUSTOM ERAU SILVER COLOR</t>
  </si>
  <si>
    <t>Bike Rack</t>
  </si>
  <si>
    <t>(6)"LOOP" BICYCLE RACK, COLOR: CUSTOM ERAU SILVER.</t>
  </si>
  <si>
    <t>Shipping &amp; Handling</t>
  </si>
  <si>
    <t>Estimated Tax</t>
  </si>
  <si>
    <t>Concrete Pads for benches</t>
  </si>
  <si>
    <t>Small Crane to off-load &amp; set benches w/ operator - need 7,000 lb capacity</t>
  </si>
  <si>
    <t>day</t>
  </si>
  <si>
    <t xml:space="preserve">Labor to set benches, trash recept, bike racks - 4 </t>
  </si>
  <si>
    <t>hrs</t>
  </si>
  <si>
    <t>Anchors for trash recept, bike racks</t>
  </si>
  <si>
    <t>Skateboard Rack</t>
  </si>
  <si>
    <t>Streetscapes</t>
  </si>
  <si>
    <t>10 level - BOARD CAPACITY VERTICAL LOCKING SKATEBOARD RACK; MODEL #SM10X, SURFACE MOUNT, BY GROUND CONTROL SYSTEMS, COLOR - STANDARD SILVER. SEE DETAIL I/H1.04</t>
  </si>
  <si>
    <t>Labor to set racks - 2</t>
  </si>
  <si>
    <t>Bike Racks - garage</t>
  </si>
  <si>
    <t>Labor to set racks - 20</t>
  </si>
  <si>
    <t>Anchors for bike racks</t>
  </si>
  <si>
    <t>=</t>
  </si>
  <si>
    <t>Verdego Landscape</t>
  </si>
  <si>
    <t>Lake Conway Landscape</t>
  </si>
  <si>
    <t>Scapes of North Florida</t>
  </si>
  <si>
    <t xml:space="preserve">White Oaks Landscape </t>
  </si>
  <si>
    <t>Down to Earth</t>
  </si>
  <si>
    <t xml:space="preserve">Sterling Silver Scape </t>
  </si>
  <si>
    <t>Juniper</t>
  </si>
  <si>
    <t>Landscape &amp; Irrigation</t>
  </si>
  <si>
    <t>David Simmons</t>
  </si>
  <si>
    <t>Ryan Mahanna</t>
  </si>
  <si>
    <t>John Hackerson</t>
  </si>
  <si>
    <t>Jesse Bell</t>
  </si>
  <si>
    <t>Steve Holland</t>
  </si>
  <si>
    <t xml:space="preserve">Alice Capehart </t>
  </si>
  <si>
    <t>J.R. Worley</t>
  </si>
  <si>
    <t>32 80</t>
  </si>
  <si>
    <t>(386) 585-0591</t>
  </si>
  <si>
    <t>(407) 402-2128</t>
  </si>
  <si>
    <t xml:space="preserve">(352) 327-9395 </t>
  </si>
  <si>
    <t xml:space="preserve">(850) 346-4369 </t>
  </si>
  <si>
    <t xml:space="preserve">(321) 237-1672 </t>
  </si>
  <si>
    <t xml:space="preserve">407-846-3225 </t>
  </si>
  <si>
    <t>(239) 218-9700</t>
  </si>
  <si>
    <t>dsimmons@verdego.com</t>
  </si>
  <si>
    <t>Ryan@LakeConwayLandscaping.com</t>
  </si>
  <si>
    <t>jhackerson@scapesnfl.com</t>
  </si>
  <si>
    <t>jesse.bell@whiteoakslandscape.com</t>
  </si>
  <si>
    <t>steve.holland@down2earthinc.com</t>
  </si>
  <si>
    <t>estimating@sterlingsilverlandscaping.com</t>
  </si>
  <si>
    <t>jr@juniperlandscaping.com</t>
  </si>
  <si>
    <t>Project Management</t>
  </si>
  <si>
    <t>TREES</t>
  </si>
  <si>
    <t>Yaupon Holly Tree Form</t>
  </si>
  <si>
    <t>Southern Red Cedar</t>
  </si>
  <si>
    <t>Live Oak</t>
  </si>
  <si>
    <t>Bald Cypress</t>
  </si>
  <si>
    <t>PALMS</t>
  </si>
  <si>
    <t>Carnavon Gorge Palm</t>
  </si>
  <si>
    <t>Medjool Date Palm</t>
  </si>
  <si>
    <t>Cabbage Palmetto</t>
  </si>
  <si>
    <t>SHRUBS</t>
  </si>
  <si>
    <t>Orange Bromeliad</t>
  </si>
  <si>
    <t>Rojo Congo Philodendron</t>
  </si>
  <si>
    <t>Bird of Paradise</t>
  </si>
  <si>
    <t>SHRUB AREAS</t>
  </si>
  <si>
    <t>African Lilly</t>
  </si>
  <si>
    <t>Variegated Shell Ginger</t>
  </si>
  <si>
    <t>Soft Touch Japanese Holly</t>
  </si>
  <si>
    <t>Macho Fern</t>
  </si>
  <si>
    <t>Philodendon</t>
  </si>
  <si>
    <t>Lady Palm</t>
  </si>
  <si>
    <t>Indain Hawthorn</t>
  </si>
  <si>
    <t>Firecracker Plant</t>
  </si>
  <si>
    <t>Sand Cordgrass</t>
  </si>
  <si>
    <t>Florida Gamagrass</t>
  </si>
  <si>
    <t>Florida Coontie</t>
  </si>
  <si>
    <t>GROUND COVERS</t>
  </si>
  <si>
    <t>Big Blue Lirope</t>
  </si>
  <si>
    <t>Super Blue Lirope</t>
  </si>
  <si>
    <t>Asiatic Jasmine</t>
  </si>
  <si>
    <t>SOD/SEED</t>
  </si>
  <si>
    <t>Sod A - St. Augustine Grass</t>
  </si>
  <si>
    <t>Sod D - Emerald Zoysia</t>
  </si>
  <si>
    <t>Sod B at elongated detention basin - shown</t>
  </si>
  <si>
    <t>Sod B at elongated detention basin - not shown</t>
  </si>
  <si>
    <t>Irrigation System</t>
  </si>
  <si>
    <t>Irrigation System - contingency</t>
  </si>
  <si>
    <t>Miscellaneous</t>
  </si>
  <si>
    <t>Mulch</t>
  </si>
  <si>
    <t>Compost Soil Mix</t>
  </si>
  <si>
    <t>Tree staking</t>
  </si>
  <si>
    <t>Palm Rootball Anchoring</t>
  </si>
  <si>
    <t>Tree Protection</t>
  </si>
  <si>
    <t>Synthetic Turf</t>
  </si>
  <si>
    <t>Coquina Sheel Boulders</t>
  </si>
  <si>
    <t>Decomposed Granite</t>
  </si>
  <si>
    <t>DECOMPOSED GREY GRANITE, DUST TO 1/4" SIZE - 3" compacted</t>
  </si>
  <si>
    <t>6/LS-3.03</t>
  </si>
  <si>
    <t>compacted subgrade - inc sitework</t>
  </si>
  <si>
    <t>filter fabric</t>
  </si>
  <si>
    <t xml:space="preserve"> see below</t>
  </si>
  <si>
    <t>aluminum edging</t>
  </si>
  <si>
    <t>Crushed Coquina Mulch - B</t>
  </si>
  <si>
    <t>CRUSHED COQUINA MULCH, 1/4" - 1/2" SIZE - 3" compacted</t>
  </si>
  <si>
    <t>2/LS-3.03</t>
  </si>
  <si>
    <t>Crushed Coquina Mulch - C</t>
  </si>
  <si>
    <t>3/LS-3.03</t>
  </si>
  <si>
    <t>Wells</t>
  </si>
  <si>
    <t>33 40 00</t>
  </si>
  <si>
    <t>Cranes and Hoist</t>
  </si>
  <si>
    <t xml:space="preserve">41 22 </t>
  </si>
  <si>
    <t>OCIP Insurance per exhibit</t>
  </si>
  <si>
    <t>Crane SK405.20 by Maxim Crane Works 10/04/23</t>
  </si>
  <si>
    <t>Jib L05 (219 ft Max HR)</t>
  </si>
  <si>
    <t>Single Trolley</t>
  </si>
  <si>
    <t>Base S35 Anchor Stools</t>
  </si>
  <si>
    <t>Tip Capacity 10141 @219'</t>
  </si>
  <si>
    <t>Max capacity 22046 lbs @105'</t>
  </si>
  <si>
    <t>Init/Fin Hook Ht 99ft</t>
  </si>
  <si>
    <t>Base S32 Anchor Stools</t>
  </si>
  <si>
    <t>Init/Fin Hook Ht 137ft</t>
  </si>
  <si>
    <t>Jib L04 (199 ft Max HR)</t>
  </si>
  <si>
    <t>Base S60 Anchor Stools</t>
  </si>
  <si>
    <t>Tip Capacity 13007 @199'</t>
  </si>
  <si>
    <t>Max capacity 22046 lbs @123'</t>
  </si>
  <si>
    <t>Init/Fin Hook Ht 176ft</t>
  </si>
  <si>
    <t>Single Hoist by United Hoist Equipment 4/16/2024</t>
  </si>
  <si>
    <t>Tower Height 85ft</t>
  </si>
  <si>
    <t>No. of gates 6</t>
  </si>
  <si>
    <t>Capacity 6000</t>
  </si>
  <si>
    <t>Twin Hoist by United Hoist Equipment  4/16/2024</t>
  </si>
  <si>
    <t>No. of gates 12</t>
  </si>
  <si>
    <t>Crane</t>
  </si>
  <si>
    <t>Hoist</t>
  </si>
  <si>
    <t xml:space="preserve">General Conditions </t>
  </si>
  <si>
    <t>1.00LS</t>
  </si>
  <si>
    <t>Construction Layout And As-Built Survey</t>
  </si>
  <si>
    <t xml:space="preserve">Erosion Control </t>
  </si>
  <si>
    <t>2,600.00LF</t>
  </si>
  <si>
    <t>Silt Fence Maintenance</t>
  </si>
  <si>
    <t>6.00MO</t>
  </si>
  <si>
    <t>Inlet Protection</t>
  </si>
  <si>
    <t>22.00EACH</t>
  </si>
  <si>
    <t>Turbidity Barrier</t>
  </si>
  <si>
    <t>100.00LF</t>
  </si>
  <si>
    <t xml:space="preserve">Site Prep And Mass Grading </t>
  </si>
  <si>
    <t>Clear/Grub/Disk Site</t>
  </si>
  <si>
    <t>Site Cut To Fill</t>
  </si>
  <si>
    <t>600.00CY</t>
  </si>
  <si>
    <t>Import Fill, Place And Compact</t>
  </si>
  <si>
    <t>19,500.00CY</t>
  </si>
  <si>
    <t>Machine Grade Rough</t>
  </si>
  <si>
    <t>28,300.00SY</t>
  </si>
  <si>
    <t>Machine Grade Fine</t>
  </si>
  <si>
    <t>Site Grade Final (Pre-Landscape)</t>
  </si>
  <si>
    <t>Sod Dry Retention Areas</t>
  </si>
  <si>
    <t>4,200.00SY</t>
  </si>
  <si>
    <t xml:space="preserve">Paving Onsite </t>
  </si>
  <si>
    <t>12" Stabilized Subgrade, LBR40</t>
  </si>
  <si>
    <t>8,600.00SY</t>
  </si>
  <si>
    <t>6-1/2" FDOT Rock Base, LBR100</t>
  </si>
  <si>
    <t>8,100.00SY</t>
  </si>
  <si>
    <t>3/4" Asphalt Bottom Lift, Type S</t>
  </si>
  <si>
    <t>8,000.00SY</t>
  </si>
  <si>
    <t>3/4" Asphalt Top Lift, Type S</t>
  </si>
  <si>
    <t xml:space="preserve">Vehicular Brick Pavers (Standard Size/Color/Pattern) </t>
  </si>
  <si>
    <t>85.00SY</t>
  </si>
  <si>
    <t>Concrete Pavement 6"</t>
  </si>
  <si>
    <t>1,500.00SF</t>
  </si>
  <si>
    <t>Type D Curb (Machined)</t>
  </si>
  <si>
    <t>4,250.00LF</t>
  </si>
  <si>
    <t>Type D Curb (Hand Formed)</t>
  </si>
  <si>
    <t>110.00LF</t>
  </si>
  <si>
    <t>2' Valley Gutter Curb</t>
  </si>
  <si>
    <t>250.00LF</t>
  </si>
  <si>
    <t>Header Curb</t>
  </si>
  <si>
    <t>145.00LF</t>
  </si>
  <si>
    <t>Concrete Sidewalk 4"</t>
  </si>
  <si>
    <t>14,000.00SF</t>
  </si>
  <si>
    <t>Concrete Bike Rack 4"</t>
  </si>
  <si>
    <t>120.00SF</t>
  </si>
  <si>
    <t>ADA Ramp</t>
  </si>
  <si>
    <t>7.00EACH</t>
  </si>
  <si>
    <t xml:space="preserve">Guardrail (Includes TL-3 Guardrail And TL-2 End Sections) (Excludes Asphalt Mowing Strip) </t>
  </si>
  <si>
    <t>650.00LF</t>
  </si>
  <si>
    <t>Striping And Signage</t>
  </si>
  <si>
    <t xml:space="preserve">Storm Drainage </t>
  </si>
  <si>
    <t>4" HDPE RWL (Includes All Fittings)</t>
  </si>
  <si>
    <t>55.00LF</t>
  </si>
  <si>
    <t>6" HDPE RWL (Includes All Fittings)</t>
  </si>
  <si>
    <t>76.00LF</t>
  </si>
  <si>
    <t>8" HDPE RWL (Includes All Fittings)</t>
  </si>
  <si>
    <t>271.00LF</t>
  </si>
  <si>
    <t>12" HDPE</t>
  </si>
  <si>
    <t>560.00LF</t>
  </si>
  <si>
    <t>15" HDPE</t>
  </si>
  <si>
    <t>467.00LF</t>
  </si>
  <si>
    <t>18" HDPE</t>
  </si>
  <si>
    <t>142.00LF</t>
  </si>
  <si>
    <t>24" HDPE</t>
  </si>
  <si>
    <t>1,775.00LF</t>
  </si>
  <si>
    <t>24" Cap</t>
  </si>
  <si>
    <t>61.00LF</t>
  </si>
  <si>
    <t>12" HDPE Perforated W/2'x2' Under Drain</t>
  </si>
  <si>
    <t>153.00LF</t>
  </si>
  <si>
    <t>Cleanout With Concrete Collar</t>
  </si>
  <si>
    <t>4.00EACH</t>
  </si>
  <si>
    <t>Yard Drain</t>
  </si>
  <si>
    <t>8.00EACH</t>
  </si>
  <si>
    <t>Type C Catch Basin W/USF 6212</t>
  </si>
  <si>
    <t>1.00EACH</t>
  </si>
  <si>
    <t>Type C Water Control Structure W/USF 6611</t>
  </si>
  <si>
    <t>Type E Structure W/USF 6290</t>
  </si>
  <si>
    <t>5.00EACH</t>
  </si>
  <si>
    <t>5' X 6' Control Structure</t>
  </si>
  <si>
    <t>4' Round PC Catch Basin W/USF 4155-6209</t>
  </si>
  <si>
    <t>4' Round PG Curb Inlet W/USF 5130-6168</t>
  </si>
  <si>
    <t>9.00EACH</t>
  </si>
  <si>
    <t>4' Round PV Valley Inlet W/USF 5113-6194</t>
  </si>
  <si>
    <t>2.00EACH</t>
  </si>
  <si>
    <t>4' Manhole W/USF 170-F</t>
  </si>
  <si>
    <t>24" Concrete Headwall</t>
  </si>
  <si>
    <t>Storm Drainage Dewatering</t>
  </si>
  <si>
    <t>3,560.00LF</t>
  </si>
  <si>
    <t>Clean/Final Storm Drainage</t>
  </si>
  <si>
    <t xml:space="preserve">Sanitary Sewer </t>
  </si>
  <si>
    <t>8" SDR26 (6-8)</t>
  </si>
  <si>
    <t>30.00LF</t>
  </si>
  <si>
    <t>8" SDR26 (8-10)</t>
  </si>
  <si>
    <t>220.00LF</t>
  </si>
  <si>
    <t>4' Dia Manhole (6-8)</t>
  </si>
  <si>
    <t>4' Dia Manhole (8-10)</t>
  </si>
  <si>
    <t>6" SDR26-Sewer Services</t>
  </si>
  <si>
    <t>278.00LF</t>
  </si>
  <si>
    <t xml:space="preserve">4" PVC Sanitary Sewer-Grease Trap (Includes All Fittings And Cleanouts) </t>
  </si>
  <si>
    <t>Grease Trap</t>
  </si>
  <si>
    <t>Sanitary Sewer Dewatering</t>
  </si>
  <si>
    <t>Test/Final Sanitary Sewer</t>
  </si>
  <si>
    <t xml:space="preserve">Force Main And Lift Station </t>
  </si>
  <si>
    <t>4" C900 Force Main</t>
  </si>
  <si>
    <t>305.00LF</t>
  </si>
  <si>
    <t>MJ Fittings</t>
  </si>
  <si>
    <t>Lift Station</t>
  </si>
  <si>
    <t>Test/Final Force Main</t>
  </si>
  <si>
    <t xml:space="preserve">Potable Water Main </t>
  </si>
  <si>
    <t>8" C900 DR18 Water Main</t>
  </si>
  <si>
    <t>1,343.00LF</t>
  </si>
  <si>
    <t>8" Ductile Iron Water Main</t>
  </si>
  <si>
    <t>50.00LF</t>
  </si>
  <si>
    <t>8" Gate Valve Assembly</t>
  </si>
  <si>
    <t>6" C900 DR18 Water Main</t>
  </si>
  <si>
    <t>6" Gate Valve Assembly</t>
  </si>
  <si>
    <t>4" Single Water Service W/RPZ</t>
  </si>
  <si>
    <t>Fire Hydrant Assembly W/Gate Valve</t>
  </si>
  <si>
    <t>4" Gate Valve Assembly</t>
  </si>
  <si>
    <t>Lift Station Water Service</t>
  </si>
  <si>
    <t>Test/Final Water Main</t>
  </si>
  <si>
    <t xml:space="preserve">Fire Main </t>
  </si>
  <si>
    <t>6" Ductile Iron Fire Main</t>
  </si>
  <si>
    <t>135.00LF</t>
  </si>
  <si>
    <t>6" DDCV</t>
  </si>
  <si>
    <t>4" Ductile Iron Fire Main</t>
  </si>
  <si>
    <t>15.00LF</t>
  </si>
  <si>
    <t>MJDI Fittings</t>
  </si>
  <si>
    <t>4" Fire Department Connection</t>
  </si>
  <si>
    <t>6" Fire Line Stub Out</t>
  </si>
  <si>
    <t>Final/Test Fire Main</t>
  </si>
  <si>
    <t>1,700.00LF</t>
  </si>
  <si>
    <t>Aggregate Construction Entrance</t>
  </si>
  <si>
    <t>Construction Entrance Maintenance</t>
  </si>
  <si>
    <t>12.00MO</t>
  </si>
  <si>
    <t>Demo Existing Asphalt</t>
  </si>
  <si>
    <t>900.00SY</t>
  </si>
  <si>
    <t>Remove Existing Guardrail</t>
  </si>
  <si>
    <t>700.00CY</t>
  </si>
  <si>
    <t>11,500.00CY</t>
  </si>
  <si>
    <t>11,600.00SY</t>
  </si>
  <si>
    <t>3,800.00SY</t>
  </si>
  <si>
    <t>2,400.00SY</t>
  </si>
  <si>
    <t>2,300.00SY</t>
  </si>
  <si>
    <t>8" FDOT Base Rock, LBR40</t>
  </si>
  <si>
    <t>150.00SY</t>
  </si>
  <si>
    <t>2,200.00SY</t>
  </si>
  <si>
    <t>Vehicular Brick Pavers (Standard</t>
  </si>
  <si>
    <t>65.00SY</t>
  </si>
  <si>
    <t xml:space="preserve">Size/Color/Pattern) </t>
  </si>
  <si>
    <t>700.00LF</t>
  </si>
  <si>
    <t>320.00LF</t>
  </si>
  <si>
    <t>650.00SF</t>
  </si>
  <si>
    <t xml:space="preserve">Paving Offsite </t>
  </si>
  <si>
    <t>210.00SY</t>
  </si>
  <si>
    <t>13-1/2" FDOT Rock Base, LBR100</t>
  </si>
  <si>
    <t>200.00SY</t>
  </si>
  <si>
    <t>1-1/2" Asphalt Bottom Lift, Type S</t>
  </si>
  <si>
    <t>1" Asphalt Top Lift, Type S</t>
  </si>
  <si>
    <r>
      <t>Storm Drainage</t>
    </r>
    <r>
      <rPr>
        <sz val="8"/>
        <color theme="1"/>
        <rFont val="Times New Roman"/>
        <family val="1"/>
      </rPr>
      <t xml:space="preserve"> </t>
    </r>
  </si>
  <si>
    <t>EACH</t>
  </si>
  <si>
    <t>Sanitary Sewer</t>
  </si>
  <si>
    <t>4" PVC Sanitary Sewer-Grease Trap (Includes All Fittings And Cleanouts)</t>
  </si>
  <si>
    <t>Force Main And Lift Station</t>
  </si>
  <si>
    <t>Potable Water Main</t>
  </si>
  <si>
    <t>Fire Main</t>
  </si>
  <si>
    <t xml:space="preserve">Final/Test Fire Main </t>
  </si>
  <si>
    <t>Unit AL-1a</t>
  </si>
  <si>
    <t>Unit AL-0a</t>
  </si>
  <si>
    <t>Unit A1-da</t>
  </si>
  <si>
    <t>Unit AL-1b</t>
  </si>
  <si>
    <t>Unit A1-db</t>
  </si>
  <si>
    <t>Unit MC-0a</t>
  </si>
  <si>
    <t>Unit MC-0c</t>
  </si>
  <si>
    <t>Unit MC-0b</t>
  </si>
  <si>
    <t>Unit MC-2b</t>
  </si>
  <si>
    <t>Unit MC-2a</t>
  </si>
  <si>
    <t>Unit MC-0d</t>
  </si>
  <si>
    <t>Unit MC-1a</t>
  </si>
  <si>
    <t>drywall</t>
  </si>
  <si>
    <t>ceiling height</t>
  </si>
  <si>
    <t>demsing - full height 1/2</t>
  </si>
  <si>
    <t>exterior wall furring with insulation</t>
  </si>
  <si>
    <t>drywall ceiling</t>
  </si>
  <si>
    <t>green board</t>
  </si>
  <si>
    <t>millwork</t>
  </si>
  <si>
    <t>kitchenette base cabinet</t>
  </si>
  <si>
    <t>kitchenette upper cabinet</t>
  </si>
  <si>
    <t>bath base cabinet</t>
  </si>
  <si>
    <t>16x20 shelves - 5</t>
  </si>
  <si>
    <t>wood base</t>
  </si>
  <si>
    <t>shelf &amp; pole</t>
  </si>
  <si>
    <t>DFH</t>
  </si>
  <si>
    <t>sliding closet  pr 4-0x7-0</t>
  </si>
  <si>
    <t>3-0x7-0 slider privacy set</t>
  </si>
  <si>
    <t>3-0x7-0 privacy set</t>
  </si>
  <si>
    <t>3-0x7-0 passage set</t>
  </si>
  <si>
    <t>3-0x7-0 electronic lock, closer</t>
  </si>
  <si>
    <t>Finishes</t>
  </si>
  <si>
    <t>flooring - LVT</t>
  </si>
  <si>
    <t>flooring - tile</t>
  </si>
  <si>
    <t>flooring - tile base</t>
  </si>
  <si>
    <t>paint walls</t>
  </si>
  <si>
    <t>paint ceilings</t>
  </si>
  <si>
    <t>paint base</t>
  </si>
  <si>
    <t>paint doors &amp; frames</t>
  </si>
  <si>
    <t>paint shelves</t>
  </si>
  <si>
    <t>paint shelf &amp; pole</t>
  </si>
  <si>
    <t>Accessories</t>
  </si>
  <si>
    <t>36" grab bar</t>
  </si>
  <si>
    <t>42" grab bar</t>
  </si>
  <si>
    <t>TP holder</t>
  </si>
  <si>
    <t>mirror</t>
  </si>
  <si>
    <t>Window treatment</t>
  </si>
  <si>
    <t>window blinds</t>
  </si>
  <si>
    <t>stove top</t>
  </si>
  <si>
    <t>refrigerator</t>
  </si>
  <si>
    <t>plumbing</t>
  </si>
  <si>
    <t>kitchen sink</t>
  </si>
  <si>
    <t>lav</t>
  </si>
  <si>
    <t>toilet</t>
  </si>
  <si>
    <t>HC shower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</si>
</sst>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00"/>
    <numFmt numFmtId="166" formatCode="mm/dd/yy;@"/>
    <numFmt numFmtId="167" formatCode="_(&quot;$&quot;* #,##0_);_(&quot;$&quot;* \(#,##0\);_(&quot;$&quot;* &quot;-&quot;??_);_(@_)"/>
    <numFmt numFmtId="168" formatCode="m/d/yy;@"/>
    <numFmt numFmtId="169" formatCode="[&lt;=9999999]###\-####;\(###\)\ ###\-####"/>
    <numFmt numFmtId="170" formatCode="&quot;$&quot;#,##0"/>
    <numFmt numFmtId="171" formatCode="\$#,##0.00"/>
    <numFmt numFmtId="172" formatCode="_(* #,##0.000000_);_(* \(#,##0.000000\);_(* &quot;-&quot;??_);_(@_)"/>
    <numFmt numFmtId="173" formatCode="_(* #,##0.00000_);_(* \(#,##0.00000\);_(* &quot;-&quot;??_);_(@_)"/>
    <numFmt numFmtId="174" formatCode="0\)"/>
    <numFmt numFmtId="175" formatCode="[$-409]mmmm\ d\,\ yyyy;@"/>
    <numFmt numFmtId="176" formatCode="#,##0.0"/>
    <numFmt numFmtId="177" formatCode="00\ 00\ 00"/>
    <numFmt numFmtId="178" formatCode="_(&quot;$&quot;* #,##0.0_);_(&quot;$&quot;* \(#,##0.0\);_(&quot;$&quot;* &quot;-&quot;?_);_(@_)"/>
    <numFmt numFmtId="179" formatCode="0.0%"/>
    <numFmt numFmtId="180" formatCode="#,##0\ "/>
    <numFmt numFmtId="181" formatCode="&quot;$&quot;#,##0.0"/>
    <numFmt numFmtId="182" formatCode="_([$$-409]* #,##0.00_);_([$$-409]* \(#,##0.00\);_([$$-409]* &quot;-&quot;??_);_(@_)"/>
    <numFmt numFmtId="183" formatCode="_(&quot;$&quot;* #,##0.00000_);_(&quot;$&quot;* \(#,##0.00000\);_(&quot;$&quot;* &quot;-&quot;??_);_(@_)"/>
  </numFmts>
  <fonts count="79">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Wingdings 2"/>
      <family val="1"/>
      <charset val="2"/>
    </font>
    <font>
      <sz val="11"/>
      <name val="Calibri"/>
      <family val="2"/>
      <scheme val="minor"/>
    </font>
    <font>
      <sz val="12"/>
      <name val="Arial"/>
      <family val="2"/>
    </font>
    <font>
      <sz val="11"/>
      <color rgb="FF2919FB"/>
      <name val="Calibri"/>
      <family val="2"/>
      <scheme val="minor"/>
    </font>
    <font>
      <sz val="11"/>
      <color rgb="FF0000FF"/>
      <name val="Calibri"/>
      <family val="2"/>
      <scheme val="minor"/>
    </font>
    <font>
      <sz val="10"/>
      <name val="Arial"/>
      <family val="2"/>
    </font>
    <font>
      <b/>
      <sz val="10"/>
      <name val="Arial"/>
      <family val="2"/>
    </font>
    <font>
      <sz val="9"/>
      <color indexed="81"/>
      <name val="Tahoma"/>
      <family val="2"/>
    </font>
    <font>
      <b/>
      <sz val="9"/>
      <color indexed="81"/>
      <name val="Tahoma"/>
      <family val="2"/>
    </font>
    <font>
      <sz val="8"/>
      <name val="Calibri"/>
      <family val="2"/>
      <scheme val="minor"/>
    </font>
    <font>
      <b/>
      <sz val="11"/>
      <name val="Calibri"/>
      <family val="2"/>
      <scheme val="minor"/>
    </font>
    <font>
      <b/>
      <u/>
      <sz val="12"/>
      <color theme="1"/>
      <name val="Calibri"/>
      <family val="2"/>
      <scheme val="minor"/>
    </font>
    <font>
      <sz val="12"/>
      <name val="Calibri"/>
      <family val="2"/>
      <scheme val="minor"/>
    </font>
    <font>
      <sz val="12"/>
      <color rgb="FF000000"/>
      <name val="Times New Roman"/>
      <family val="2"/>
    </font>
    <font>
      <sz val="11"/>
      <name val="Arial"/>
      <family val="2"/>
    </font>
    <font>
      <sz val="12"/>
      <color theme="1"/>
      <name val="Arial"/>
      <family val="2"/>
    </font>
    <font>
      <sz val="21"/>
      <color theme="1"/>
      <name val="Century Gothic"/>
      <family val="2"/>
    </font>
    <font>
      <i/>
      <sz val="10"/>
      <name val="Arial"/>
      <family val="2"/>
    </font>
    <font>
      <sz val="10"/>
      <color theme="1"/>
      <name val="Arial"/>
      <family val="2"/>
    </font>
    <font>
      <b/>
      <u/>
      <sz val="16"/>
      <color theme="4" tint="-0.249977111117893"/>
      <name val="Century Gothic"/>
      <family val="2"/>
    </font>
    <font>
      <sz val="8"/>
      <color theme="1"/>
      <name val="Times New Roman"/>
      <family val="1"/>
    </font>
    <font>
      <b/>
      <sz val="12"/>
      <name val="Arial"/>
      <family val="2"/>
    </font>
    <font>
      <b/>
      <sz val="11"/>
      <color rgb="FFFF0000"/>
      <name val="Calibri"/>
      <family val="2"/>
      <scheme val="minor"/>
    </font>
    <font>
      <sz val="11"/>
      <color rgb="FF000000"/>
      <name val="Calibri"/>
      <family val="2"/>
      <scheme val="minor"/>
    </font>
    <font>
      <b/>
      <sz val="11"/>
      <color theme="0"/>
      <name val="Calibri"/>
      <family val="2"/>
      <scheme val="minor"/>
    </font>
    <font>
      <b/>
      <sz val="11"/>
      <color rgb="FF0070C0"/>
      <name val="Calibri"/>
      <family val="2"/>
      <scheme val="minor"/>
    </font>
    <font>
      <b/>
      <i/>
      <sz val="11"/>
      <color rgb="FFFF0000"/>
      <name val="Calibri"/>
      <family val="2"/>
      <scheme val="minor"/>
    </font>
    <font>
      <i/>
      <sz val="11"/>
      <color theme="1"/>
      <name val="Calibri"/>
      <family val="2"/>
      <scheme val="minor"/>
    </font>
    <font>
      <b/>
      <sz val="11"/>
      <color rgb="FF000000"/>
      <name val="Calibri"/>
      <family val="2"/>
      <scheme val="minor"/>
    </font>
    <font>
      <sz val="14"/>
      <color rgb="FF3F70AB"/>
      <name val="Calibri"/>
      <family val="2"/>
      <scheme val="minor"/>
    </font>
    <font>
      <sz val="12"/>
      <color rgb="FF3F70AB"/>
      <name val="Calibri"/>
      <family val="2"/>
      <scheme val="minor"/>
    </font>
    <font>
      <b/>
      <sz val="11"/>
      <color theme="0" tint="-0.499984740745262"/>
      <name val="Calibri"/>
      <family val="2"/>
      <scheme val="minor"/>
    </font>
    <font>
      <sz val="11"/>
      <color rgb="FF3F70AB"/>
      <name val="Calibri"/>
      <family val="2"/>
      <scheme val="minor"/>
    </font>
    <font>
      <sz val="11"/>
      <color rgb="FFFFFFFF"/>
      <name val="Calibri"/>
      <family val="2"/>
      <scheme val="minor"/>
    </font>
    <font>
      <sz val="11"/>
      <color theme="1"/>
      <name val="Calibri  "/>
    </font>
    <font>
      <b/>
      <sz val="14"/>
      <name val="Calibri  "/>
    </font>
    <font>
      <sz val="11"/>
      <name val="Calibri  "/>
    </font>
    <font>
      <b/>
      <sz val="11"/>
      <name val="Calibri  "/>
    </font>
    <font>
      <b/>
      <sz val="11"/>
      <color theme="0"/>
      <name val="Calibri  "/>
    </font>
    <font>
      <i/>
      <sz val="11"/>
      <name val="Calibri"/>
      <family val="2"/>
      <scheme val="minor"/>
    </font>
    <font>
      <b/>
      <sz val="11"/>
      <color theme="0" tint="-0.499984740745262"/>
      <name val="Calibri  "/>
    </font>
    <font>
      <b/>
      <sz val="14"/>
      <name val="Calibri"/>
      <family val="2"/>
      <scheme val="minor"/>
    </font>
    <font>
      <b/>
      <sz val="12"/>
      <name val="Calibri"/>
      <family val="2"/>
      <scheme val="minor"/>
    </font>
    <font>
      <b/>
      <u/>
      <sz val="11"/>
      <color theme="4" tint="-0.249977111117893"/>
      <name val="Calibri"/>
      <family val="2"/>
      <scheme val="minor"/>
    </font>
    <font>
      <sz val="11"/>
      <color rgb="FF000000"/>
      <name val="Artifakt Element"/>
      <charset val="1"/>
    </font>
    <font>
      <sz val="11"/>
      <color rgb="FF3C3C3C"/>
      <name val="Artifakt Element"/>
      <charset val="1"/>
    </font>
    <font>
      <sz val="10"/>
      <color rgb="FF000000"/>
      <name val="Arial"/>
      <family val="2"/>
    </font>
    <font>
      <sz val="10"/>
      <color rgb="FFFF0000"/>
      <name val="Arial"/>
      <family val="2"/>
    </font>
    <font>
      <sz val="10"/>
      <color rgb="FF2F75B5"/>
      <name val="Arial"/>
      <family val="2"/>
    </font>
    <font>
      <b/>
      <sz val="10"/>
      <color theme="1"/>
      <name val="Arial"/>
      <family val="2"/>
    </font>
    <font>
      <sz val="9"/>
      <color theme="1"/>
      <name val="Calibri"/>
      <family val="2"/>
      <scheme val="minor"/>
    </font>
    <font>
      <i/>
      <sz val="10"/>
      <color rgb="FFFF0000"/>
      <name val="Arial"/>
      <family val="2"/>
    </font>
    <font>
      <sz val="10"/>
      <color theme="1"/>
      <name val="Calibri"/>
      <family val="2"/>
      <scheme val="minor"/>
    </font>
    <font>
      <sz val="10"/>
      <name val="Calibri"/>
      <family val="2"/>
      <scheme val="minor"/>
    </font>
    <font>
      <sz val="12"/>
      <color rgb="FF000000"/>
      <name val="Times New Roman"/>
      <family val="1"/>
    </font>
    <font>
      <u/>
      <sz val="11"/>
      <color rgb="FF0070C0"/>
      <name val="Calibri"/>
      <family val="2"/>
      <scheme val="minor"/>
    </font>
    <font>
      <b/>
      <sz val="11"/>
      <name val="Arial"/>
      <family val="2"/>
    </font>
    <font>
      <b/>
      <sz val="10"/>
      <color rgb="FF000000"/>
      <name val="Arial"/>
      <family val="2"/>
    </font>
    <font>
      <sz val="11"/>
      <color rgb="FF000000"/>
      <name val="Calibri"/>
      <family val="2"/>
    </font>
    <font>
      <u/>
      <sz val="11"/>
      <color rgb="FF006EAF"/>
      <name val="Artifakt Element"/>
      <charset val="1"/>
    </font>
    <font>
      <sz val="10"/>
      <color theme="1"/>
      <name val="Wingdings 2"/>
      <family val="1"/>
      <charset val="2"/>
    </font>
    <font>
      <sz val="8"/>
      <color theme="1"/>
      <name val="Calibri"/>
      <family val="2"/>
      <scheme val="minor"/>
    </font>
    <font>
      <b/>
      <sz val="14"/>
      <color theme="4" tint="-0.249977111117893"/>
      <name val="Arial"/>
      <family val="2"/>
    </font>
    <font>
      <b/>
      <sz val="14"/>
      <name val="Arial"/>
      <family val="2"/>
    </font>
    <font>
      <sz val="12"/>
      <color theme="1" tint="0.34998626667073579"/>
      <name val="Arial"/>
      <family val="2"/>
    </font>
    <font>
      <b/>
      <sz val="12"/>
      <color theme="1"/>
      <name val="Times New Roman"/>
      <family val="1"/>
    </font>
    <font>
      <b/>
      <sz val="12"/>
      <color theme="1" tint="0.34998626667073579"/>
      <name val="Arial"/>
      <family val="2"/>
    </font>
    <font>
      <b/>
      <sz val="14"/>
      <color theme="1"/>
      <name val="Arial"/>
      <family val="2"/>
    </font>
    <font>
      <b/>
      <sz val="12"/>
      <color theme="1"/>
      <name val="Arial"/>
      <family val="2"/>
    </font>
    <font>
      <i/>
      <sz val="11"/>
      <color rgb="FFFF0000"/>
      <name val="Calibri"/>
      <family val="2"/>
      <scheme val="minor"/>
    </font>
    <font>
      <sz val="11"/>
      <color rgb="FFFF0000"/>
      <name val="Calibri"/>
      <family val="2"/>
      <scheme val="minor"/>
    </font>
    <font>
      <b/>
      <sz val="11"/>
      <color rgb="FF000000"/>
      <name val="Calibri"/>
      <family val="2"/>
    </font>
    <font>
      <sz val="11"/>
      <color rgb="FFFF0000"/>
      <name val="Calibri"/>
      <family val="2"/>
    </font>
    <font>
      <sz val="12"/>
      <color rgb="FF000000"/>
      <name val="Aptos"/>
      <family val="2"/>
    </font>
  </fonts>
  <fills count="52">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070C0"/>
        <bgColor indexed="64"/>
      </patternFill>
    </fill>
    <fill>
      <patternFill patternType="solid">
        <fgColor theme="0"/>
        <bgColor indexed="64"/>
      </patternFill>
    </fill>
    <fill>
      <patternFill patternType="solid">
        <fgColor theme="0" tint="-0.14996795556505021"/>
        <bgColor indexed="64"/>
      </patternFill>
    </fill>
    <fill>
      <patternFill patternType="solid">
        <fgColor theme="2" tint="-9.9948118533890809E-2"/>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tint="-0.249977111117893"/>
        <bgColor indexed="64"/>
      </patternFill>
    </fill>
    <fill>
      <patternFill patternType="solid">
        <fgColor rgb="FFF47710"/>
        <bgColor indexed="64"/>
      </patternFill>
    </fill>
    <fill>
      <patternFill patternType="solid">
        <fgColor rgb="FF3F70B3"/>
        <bgColor indexed="64"/>
      </patternFill>
    </fill>
    <fill>
      <patternFill patternType="solid">
        <fgColor theme="9" tint="0.59999389629810485"/>
        <bgColor indexed="64"/>
      </patternFill>
    </fill>
    <fill>
      <patternFill patternType="solid">
        <fgColor rgb="FFFFFF99"/>
        <bgColor indexed="64"/>
      </patternFill>
    </fill>
    <fill>
      <patternFill patternType="solid">
        <fgColor rgb="FF2F75B5"/>
        <bgColor indexed="64"/>
      </patternFill>
    </fill>
    <fill>
      <patternFill patternType="solid">
        <fgColor indexed="22"/>
        <bgColor indexed="64"/>
      </patternFill>
    </fill>
    <fill>
      <patternFill patternType="solid">
        <fgColor theme="0"/>
        <bgColor rgb="FF000000"/>
      </patternFill>
    </fill>
    <fill>
      <patternFill patternType="solid">
        <fgColor theme="5" tint="0.39997558519241921"/>
        <bgColor indexed="64"/>
      </patternFill>
    </fill>
    <fill>
      <patternFill patternType="solid">
        <fgColor theme="4" tint="0.79998168889431442"/>
        <bgColor indexed="64"/>
      </patternFill>
    </fill>
    <fill>
      <patternFill patternType="solid">
        <fgColor rgb="FFC6E0B4"/>
        <bgColor rgb="FF000000"/>
      </patternFill>
    </fill>
    <fill>
      <patternFill patternType="solid">
        <fgColor rgb="FF00B0F0"/>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2CC"/>
        <bgColor rgb="FF000000"/>
      </patternFill>
    </fill>
    <fill>
      <patternFill patternType="solid">
        <fgColor rgb="FFFFFFFF"/>
        <bgColor indexed="64"/>
      </patternFill>
    </fill>
    <fill>
      <patternFill patternType="solid">
        <fgColor theme="5" tint="0.59999389629810485"/>
        <bgColor indexed="64"/>
      </patternFill>
    </fill>
    <fill>
      <patternFill patternType="mediumGray">
        <fgColor rgb="FF3E6CA4"/>
      </patternFill>
    </fill>
    <fill>
      <patternFill patternType="solid">
        <fgColor theme="3" tint="0.89999084444715716"/>
        <bgColor indexed="64"/>
      </patternFill>
    </fill>
    <fill>
      <patternFill patternType="solid">
        <fgColor rgb="FF66FF33"/>
        <bgColor indexed="64"/>
      </patternFill>
    </fill>
    <fill>
      <patternFill patternType="solid">
        <fgColor theme="4"/>
        <bgColor indexed="64"/>
      </patternFill>
    </fill>
    <fill>
      <patternFill patternType="solid">
        <fgColor rgb="FFFF0000"/>
        <bgColor indexed="64"/>
      </patternFill>
    </fill>
    <fill>
      <patternFill patternType="solid">
        <fgColor rgb="FFF8CBAD"/>
        <bgColor rgb="FF000000"/>
      </patternFill>
    </fill>
    <fill>
      <patternFill patternType="solid">
        <fgColor rgb="FFFFFF00"/>
        <bgColor rgb="FF000000"/>
      </patternFill>
    </fill>
    <fill>
      <patternFill patternType="solid">
        <fgColor rgb="FFA6A6A6"/>
        <bgColor rgb="FF000000"/>
      </patternFill>
    </fill>
    <fill>
      <patternFill patternType="solid">
        <fgColor rgb="FFACB9CA"/>
        <bgColor rgb="FF000000"/>
      </patternFill>
    </fill>
    <fill>
      <patternFill patternType="solid">
        <fgColor rgb="FFB4C6E7"/>
        <bgColor rgb="FF000000"/>
      </patternFill>
    </fill>
    <fill>
      <patternFill patternType="solid">
        <fgColor rgb="FF8497B0"/>
        <bgColor rgb="FF000000"/>
      </patternFill>
    </fill>
    <fill>
      <patternFill patternType="solid">
        <fgColor rgb="FF000000"/>
        <bgColor rgb="FF000000"/>
      </patternFill>
    </fill>
    <fill>
      <patternFill patternType="solid">
        <fgColor rgb="FFFFFFFF"/>
        <bgColor rgb="FF000000"/>
      </patternFill>
    </fill>
    <fill>
      <patternFill patternType="solid">
        <fgColor rgb="FFD9D9D9"/>
        <bgColor rgb="FF000000"/>
      </patternFill>
    </fill>
    <fill>
      <patternFill patternType="solid">
        <fgColor rgb="FFDDEBF7"/>
        <bgColor rgb="FF000000"/>
      </patternFill>
    </fill>
    <fill>
      <patternFill patternType="solid">
        <fgColor rgb="FFFCE4D6"/>
        <bgColor rgb="FF000000"/>
      </patternFill>
    </fill>
    <fill>
      <patternFill patternType="solid">
        <fgColor rgb="FFE2EFDA"/>
        <bgColor rgb="FF000000"/>
      </patternFill>
    </fill>
    <fill>
      <patternFill patternType="solid">
        <fgColor theme="4" tint="0.39997558519241921"/>
        <bgColor indexed="64"/>
      </patternFill>
    </fill>
    <fill>
      <patternFill patternType="solid">
        <fgColor theme="8" tint="0.39997558519241921"/>
        <bgColor indexed="64"/>
      </patternFill>
    </fill>
    <fill>
      <patternFill patternType="solid">
        <fgColor theme="9" tint="0.79998168889431442"/>
        <bgColor indexed="64"/>
      </patternFill>
    </fill>
  </fills>
  <borders count="447">
    <border>
      <left/>
      <right/>
      <top/>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style="thick">
        <color auto="1"/>
      </right>
      <top style="thick">
        <color auto="1"/>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top style="thick">
        <color auto="1"/>
      </top>
      <bottom style="thick">
        <color auto="1"/>
      </bottom>
      <diagonal/>
    </border>
    <border>
      <left style="thin">
        <color indexed="64"/>
      </left>
      <right/>
      <top/>
      <bottom/>
      <diagonal/>
    </border>
    <border>
      <left style="thick">
        <color rgb="FF0070C0"/>
      </left>
      <right/>
      <top style="thick">
        <color rgb="FF0070C0"/>
      </top>
      <bottom style="thick">
        <color rgb="FF0070C0"/>
      </bottom>
      <diagonal/>
    </border>
    <border>
      <left/>
      <right style="thick">
        <color rgb="FF0070C0"/>
      </right>
      <top style="thick">
        <color rgb="FF0070C0"/>
      </top>
      <bottom style="thick">
        <color rgb="FF0070C0"/>
      </bottom>
      <diagonal/>
    </border>
    <border>
      <left style="medium">
        <color auto="1"/>
      </left>
      <right/>
      <top/>
      <bottom/>
      <diagonal/>
    </border>
    <border>
      <left/>
      <right style="medium">
        <color auto="1"/>
      </right>
      <top/>
      <bottom/>
      <diagonal/>
    </border>
    <border>
      <left/>
      <right/>
      <top style="thin">
        <color auto="1"/>
      </top>
      <bottom/>
      <diagonal/>
    </border>
    <border>
      <left/>
      <right style="thin">
        <color auto="1"/>
      </right>
      <top style="thin">
        <color auto="1"/>
      </top>
      <bottom/>
      <diagonal/>
    </border>
    <border>
      <left/>
      <right/>
      <top/>
      <bottom style="medium">
        <color indexed="64"/>
      </bottom>
      <diagonal/>
    </border>
    <border>
      <left style="thick">
        <color auto="1"/>
      </left>
      <right/>
      <top style="medium">
        <color indexed="64"/>
      </top>
      <bottom style="thick">
        <color auto="1"/>
      </bottom>
      <diagonal/>
    </border>
    <border>
      <left/>
      <right style="thick">
        <color auto="1"/>
      </right>
      <top style="medium">
        <color indexed="64"/>
      </top>
      <bottom style="thick">
        <color auto="1"/>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diagonal/>
    </border>
    <border>
      <left style="thick">
        <color auto="1"/>
      </left>
      <right style="thick">
        <color auto="1"/>
      </right>
      <top/>
      <bottom/>
      <diagonal/>
    </border>
    <border>
      <left/>
      <right style="thick">
        <color auto="1"/>
      </right>
      <top style="thick">
        <color auto="1"/>
      </top>
      <bottom style="thick">
        <color auto="1"/>
      </bottom>
      <diagonal/>
    </border>
    <border>
      <left style="thin">
        <color auto="1"/>
      </left>
      <right style="double">
        <color auto="1"/>
      </right>
      <top style="thick">
        <color auto="1"/>
      </top>
      <bottom style="thick">
        <color auto="1"/>
      </bottom>
      <diagonal/>
    </border>
    <border>
      <left style="thin">
        <color auto="1"/>
      </left>
      <right style="double">
        <color auto="1"/>
      </right>
      <top style="thin">
        <color auto="1"/>
      </top>
      <bottom/>
      <diagonal/>
    </border>
    <border>
      <left style="thick">
        <color auto="1"/>
      </left>
      <right style="thin">
        <color auto="1"/>
      </right>
      <top/>
      <bottom/>
      <diagonal/>
    </border>
    <border>
      <left style="thin">
        <color auto="1"/>
      </left>
      <right style="thin">
        <color auto="1"/>
      </right>
      <top/>
      <bottom/>
      <diagonal/>
    </border>
    <border>
      <left style="double">
        <color auto="1"/>
      </left>
      <right/>
      <top style="thick">
        <color auto="1"/>
      </top>
      <bottom style="thin">
        <color auto="1"/>
      </bottom>
      <diagonal/>
    </border>
    <border>
      <left style="thick">
        <color auto="1"/>
      </left>
      <right/>
      <top style="thick">
        <color auto="1"/>
      </top>
      <bottom/>
      <diagonal/>
    </border>
    <border>
      <left style="thin">
        <color rgb="FF000000"/>
      </left>
      <right style="thin">
        <color rgb="FF000000"/>
      </right>
      <top style="thin">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rgb="FFC1CD23"/>
      </bottom>
      <diagonal/>
    </border>
    <border>
      <left style="thin">
        <color indexed="64"/>
      </left>
      <right style="dashed">
        <color indexed="64"/>
      </right>
      <top style="thin">
        <color indexed="64"/>
      </top>
      <bottom style="hair">
        <color indexed="64"/>
      </bottom>
      <diagonal/>
    </border>
    <border>
      <left style="dashed">
        <color indexed="64"/>
      </left>
      <right style="thin">
        <color indexed="64"/>
      </right>
      <top style="thin">
        <color indexed="64"/>
      </top>
      <bottom style="hair">
        <color indexed="64"/>
      </bottom>
      <diagonal/>
    </border>
    <border>
      <left style="thin">
        <color indexed="64"/>
      </left>
      <right style="dashed">
        <color indexed="64"/>
      </right>
      <top style="hair">
        <color indexed="64"/>
      </top>
      <bottom style="hair">
        <color indexed="64"/>
      </bottom>
      <diagonal/>
    </border>
    <border>
      <left style="dashed">
        <color indexed="64"/>
      </left>
      <right style="dashed">
        <color indexed="64"/>
      </right>
      <top style="hair">
        <color indexed="64"/>
      </top>
      <bottom style="hair">
        <color indexed="64"/>
      </bottom>
      <diagonal/>
    </border>
    <border>
      <left style="dashed">
        <color indexed="64"/>
      </left>
      <right style="thin">
        <color indexed="64"/>
      </right>
      <top style="hair">
        <color indexed="64"/>
      </top>
      <bottom style="hair">
        <color indexed="64"/>
      </bottom>
      <diagonal/>
    </border>
    <border>
      <left style="dashed">
        <color indexed="64"/>
      </left>
      <right style="dashed">
        <color indexed="64"/>
      </right>
      <top style="hair">
        <color indexed="64"/>
      </top>
      <bottom/>
      <diagonal/>
    </border>
    <border>
      <left style="dashed">
        <color indexed="64"/>
      </left>
      <right style="thin">
        <color indexed="64"/>
      </right>
      <top style="hair">
        <color indexed="64"/>
      </top>
      <bottom/>
      <diagonal/>
    </border>
    <border>
      <left style="thin">
        <color indexed="64"/>
      </left>
      <right style="dashed">
        <color indexed="64"/>
      </right>
      <top style="hair">
        <color indexed="64"/>
      </top>
      <bottom style="thin">
        <color indexed="64"/>
      </bottom>
      <diagonal/>
    </border>
    <border>
      <left style="dashed">
        <color indexed="64"/>
      </left>
      <right style="dashed">
        <color indexed="64"/>
      </right>
      <top style="hair">
        <color indexed="64"/>
      </top>
      <bottom style="thin">
        <color indexed="64"/>
      </bottom>
      <diagonal/>
    </border>
    <border>
      <left style="dashed">
        <color indexed="64"/>
      </left>
      <right style="thin">
        <color indexed="64"/>
      </right>
      <top style="hair">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ck">
        <color auto="1"/>
      </left>
      <right/>
      <top style="thick">
        <color auto="1"/>
      </top>
      <bottom style="thick">
        <color auto="1"/>
      </bottom>
      <diagonal/>
    </border>
    <border>
      <left style="medium">
        <color indexed="64"/>
      </left>
      <right style="medium">
        <color indexed="64"/>
      </right>
      <top style="medium">
        <color auto="1"/>
      </top>
      <bottom style="medium">
        <color indexed="8"/>
      </bottom>
      <diagonal/>
    </border>
    <border>
      <left/>
      <right style="thin">
        <color auto="1"/>
      </right>
      <top style="thick">
        <color auto="1"/>
      </top>
      <bottom style="thick">
        <color auto="1"/>
      </bottom>
      <diagonal/>
    </border>
    <border>
      <left style="thin">
        <color indexed="64"/>
      </left>
      <right style="medium">
        <color indexed="64"/>
      </right>
      <top style="medium">
        <color indexed="64"/>
      </top>
      <bottom style="thin">
        <color indexed="64"/>
      </bottom>
      <diagonal/>
    </border>
    <border>
      <left style="thin">
        <color auto="1"/>
      </left>
      <right style="thin">
        <color auto="1"/>
      </right>
      <top style="thin">
        <color auto="1"/>
      </top>
      <bottom/>
      <diagonal/>
    </border>
    <border>
      <left/>
      <right/>
      <top style="thin">
        <color theme="3"/>
      </top>
      <bottom/>
      <diagonal/>
    </border>
    <border>
      <left/>
      <right/>
      <top style="hair">
        <color auto="1"/>
      </top>
      <bottom style="hair">
        <color auto="1"/>
      </bottom>
      <diagonal/>
    </border>
    <border>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thin">
        <color auto="1"/>
      </left>
      <right/>
      <top style="thin">
        <color auto="1"/>
      </top>
      <bottom/>
      <diagonal/>
    </border>
    <border>
      <left/>
      <right/>
      <top/>
      <bottom style="thin">
        <color theme="3"/>
      </bottom>
      <diagonal/>
    </border>
    <border>
      <left style="thin">
        <color auto="1"/>
      </left>
      <right style="thick">
        <color auto="1"/>
      </right>
      <top style="thin">
        <color auto="1"/>
      </top>
      <bottom/>
      <diagonal/>
    </border>
    <border>
      <left style="thin">
        <color rgb="FF000000"/>
      </left>
      <right style="thin">
        <color rgb="FF000000"/>
      </right>
      <top/>
      <bottom style="thin">
        <color rgb="FF000000"/>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auto="1"/>
      </right>
      <top style="thick">
        <color auto="1"/>
      </top>
      <bottom style="thin">
        <color auto="1"/>
      </bottom>
      <diagonal/>
    </border>
    <border>
      <left/>
      <right style="thin">
        <color auto="1"/>
      </right>
      <top style="medium">
        <color indexed="64"/>
      </top>
      <bottom style="medium">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ck">
        <color auto="1"/>
      </left>
      <right style="thick">
        <color auto="1"/>
      </right>
      <top style="thin">
        <color rgb="FF000000"/>
      </top>
      <bottom style="thin">
        <color auto="1"/>
      </bottom>
      <diagonal/>
    </border>
    <border>
      <left/>
      <right style="thick">
        <color auto="1"/>
      </right>
      <top style="thin">
        <color rgb="FF000000"/>
      </top>
      <bottom style="thin">
        <color indexed="64"/>
      </bottom>
      <diagonal/>
    </border>
    <border>
      <left style="thick">
        <color auto="1"/>
      </left>
      <right/>
      <top/>
      <bottom/>
      <diagonal/>
    </border>
    <border>
      <left style="thin">
        <color rgb="FF000000"/>
      </left>
      <right/>
      <top style="thin">
        <color rgb="FF000000"/>
      </top>
      <bottom style="thin">
        <color auto="1"/>
      </bottom>
      <diagonal/>
    </border>
    <border>
      <left style="thin">
        <color rgb="FF000000"/>
      </left>
      <right/>
      <top/>
      <bottom style="thin">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bottom style="thick">
        <color rgb="FF000000"/>
      </bottom>
      <diagonal/>
    </border>
    <border>
      <left style="thick">
        <color rgb="FF000000"/>
      </left>
      <right style="thick">
        <color rgb="FF000000"/>
      </right>
      <top style="thick">
        <color rgb="FF000000"/>
      </top>
      <bottom style="thin">
        <color indexed="64"/>
      </bottom>
      <diagonal/>
    </border>
    <border>
      <left style="thick">
        <color rgb="FF000000"/>
      </left>
      <right style="thick">
        <color rgb="FF000000"/>
      </right>
      <top/>
      <bottom/>
      <diagonal/>
    </border>
    <border>
      <left style="thick">
        <color rgb="FF000000"/>
      </left>
      <right style="thick">
        <color rgb="FF000000"/>
      </right>
      <top style="thin">
        <color rgb="FF000000"/>
      </top>
      <bottom/>
      <diagonal/>
    </border>
    <border>
      <left style="thick">
        <color rgb="FF000000"/>
      </left>
      <right style="thick">
        <color rgb="FF000000"/>
      </right>
      <top style="thick">
        <color rgb="FF000000"/>
      </top>
      <bottom/>
      <diagonal/>
    </border>
    <border>
      <left style="thick">
        <color rgb="FF000000"/>
      </left>
      <right style="thick">
        <color rgb="FF000000"/>
      </right>
      <top/>
      <bottom style="thin">
        <color indexed="64"/>
      </bottom>
      <diagonal/>
    </border>
    <border>
      <left/>
      <right style="thin">
        <color indexed="64"/>
      </right>
      <top/>
      <bottom/>
      <diagonal/>
    </border>
    <border>
      <left style="medium">
        <color rgb="FF000000"/>
      </left>
      <right style="medium">
        <color rgb="FF000000"/>
      </right>
      <top style="medium">
        <color rgb="FF000000"/>
      </top>
      <bottom style="medium">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thin">
        <color auto="1"/>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right style="thick">
        <color auto="1"/>
      </right>
      <top style="thin">
        <color auto="1"/>
      </top>
      <bottom style="thin">
        <color auto="1"/>
      </bottom>
      <diagonal/>
    </border>
    <border>
      <left style="thick">
        <color auto="1"/>
      </left>
      <right/>
      <top style="thin">
        <color auto="1"/>
      </top>
      <bottom/>
      <diagonal/>
    </border>
    <border>
      <left style="thick">
        <color auto="1"/>
      </left>
      <right style="thick">
        <color auto="1"/>
      </right>
      <top style="thin">
        <color auto="1"/>
      </top>
      <bottom/>
      <diagonal/>
    </border>
    <border>
      <left style="thick">
        <color auto="1"/>
      </left>
      <right style="double">
        <color auto="1"/>
      </right>
      <top style="thin">
        <color auto="1"/>
      </top>
      <bottom/>
      <diagonal/>
    </border>
    <border>
      <left style="thick">
        <color auto="1"/>
      </left>
      <right style="thin">
        <color auto="1"/>
      </right>
      <top style="thin">
        <color auto="1"/>
      </top>
      <bottom/>
      <diagonal/>
    </border>
    <border>
      <left/>
      <right style="thick">
        <color rgb="FF000000"/>
      </right>
      <top/>
      <bottom/>
      <diagonal/>
    </border>
    <border>
      <left style="medium">
        <color rgb="FF000000"/>
      </left>
      <right style="thin">
        <color rgb="FF000000"/>
      </right>
      <top style="thin">
        <color rgb="FF000000"/>
      </top>
      <bottom style="thin">
        <color rgb="FF000000"/>
      </bottom>
      <diagonal/>
    </border>
    <border>
      <left/>
      <right style="thick">
        <color auto="1"/>
      </right>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thin">
        <color indexed="64"/>
      </right>
      <top style="medium">
        <color indexed="64"/>
      </top>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right/>
      <top/>
      <bottom style="thin">
        <color rgb="FF000000"/>
      </bottom>
      <diagonal/>
    </border>
    <border>
      <left style="thin">
        <color indexed="64"/>
      </left>
      <right style="thin">
        <color indexed="64"/>
      </right>
      <top/>
      <bottom style="medium">
        <color indexed="64"/>
      </bottom>
      <diagonal/>
    </border>
    <border>
      <left style="thick">
        <color auto="1"/>
      </left>
      <right/>
      <top style="medium">
        <color indexed="64"/>
      </top>
      <bottom style="medium">
        <color indexed="64"/>
      </bottom>
      <diagonal/>
    </border>
    <border>
      <left style="thick">
        <color auto="1"/>
      </left>
      <right style="thick">
        <color rgb="FF000000"/>
      </right>
      <top style="medium">
        <color indexed="64"/>
      </top>
      <bottom style="medium">
        <color indexed="64"/>
      </bottom>
      <diagonal/>
    </border>
    <border>
      <left style="thick">
        <color auto="1"/>
      </left>
      <right style="thick">
        <color rgb="FF000000"/>
      </right>
      <top style="thick">
        <color auto="1"/>
      </top>
      <bottom style="thin">
        <color auto="1"/>
      </bottom>
      <diagonal/>
    </border>
    <border>
      <left style="thick">
        <color auto="1"/>
      </left>
      <right style="thick">
        <color rgb="FF000000"/>
      </right>
      <top style="thick">
        <color auto="1"/>
      </top>
      <bottom style="thick">
        <color auto="1"/>
      </bottom>
      <diagonal/>
    </border>
    <border>
      <left style="thick">
        <color auto="1"/>
      </left>
      <right style="thick">
        <color rgb="FF000000"/>
      </right>
      <top style="thin">
        <color auto="1"/>
      </top>
      <bottom/>
      <diagonal/>
    </border>
    <border>
      <left style="thick">
        <color rgb="FF000000"/>
      </left>
      <right style="medium">
        <color indexed="64"/>
      </right>
      <top style="thin">
        <color auto="1"/>
      </top>
      <bottom/>
      <diagonal/>
    </border>
    <border>
      <left style="thick">
        <color auto="1"/>
      </left>
      <right style="thick">
        <color auto="1"/>
      </right>
      <top/>
      <bottom style="thin">
        <color rgb="FF000000"/>
      </bottom>
      <diagonal/>
    </border>
    <border>
      <left style="thin">
        <color auto="1"/>
      </left>
      <right style="double">
        <color auto="1"/>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rgb="FF000000"/>
      </left>
      <right style="hair">
        <color rgb="FF000000"/>
      </right>
      <top style="hair">
        <color rgb="FF000000"/>
      </top>
      <bottom style="hair">
        <color rgb="FF000000"/>
      </bottom>
      <diagonal/>
    </border>
    <border>
      <left style="medium">
        <color rgb="FF000000"/>
      </left>
      <right style="medium">
        <color rgb="FF000000"/>
      </right>
      <top/>
      <bottom style="medium">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auto="1"/>
      </left>
      <right style="thin">
        <color auto="1"/>
      </right>
      <top style="medium">
        <color indexed="64"/>
      </top>
      <bottom style="thin">
        <color auto="1"/>
      </bottom>
      <diagonal/>
    </border>
    <border>
      <left style="thin">
        <color auto="1"/>
      </left>
      <right style="thick">
        <color auto="1"/>
      </right>
      <top style="thin">
        <color auto="1"/>
      </top>
      <bottom style="thin">
        <color auto="1"/>
      </bottom>
      <diagonal/>
    </border>
    <border>
      <left style="thin">
        <color auto="1"/>
      </left>
      <right style="double">
        <color auto="1"/>
      </right>
      <top style="thin">
        <color auto="1"/>
      </top>
      <bottom style="thin">
        <color auto="1"/>
      </bottom>
      <diagonal/>
    </border>
    <border>
      <left/>
      <right style="thin">
        <color auto="1"/>
      </right>
      <top style="medium">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bottom style="medium">
        <color indexed="64"/>
      </bottom>
      <diagonal/>
    </border>
    <border>
      <left style="thin">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auto="1"/>
      </left>
      <right/>
      <top style="medium">
        <color auto="1"/>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right style="thin">
        <color auto="1"/>
      </right>
      <top/>
      <bottom style="thin">
        <color auto="1"/>
      </bottom>
      <diagonal/>
    </border>
    <border>
      <left/>
      <right style="thin">
        <color auto="1"/>
      </right>
      <top/>
      <bottom style="thin">
        <color auto="1"/>
      </bottom>
      <diagonal/>
    </border>
    <border>
      <left style="thick">
        <color indexed="64"/>
      </left>
      <right style="thick">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double">
        <color auto="1"/>
      </right>
      <top style="thin">
        <color auto="1"/>
      </top>
      <bottom style="thick">
        <color auto="1"/>
      </bottom>
      <diagonal/>
    </border>
    <border>
      <left/>
      <right style="thick">
        <color auto="1"/>
      </right>
      <top style="thin">
        <color auto="1"/>
      </top>
      <bottom style="thick">
        <color auto="1"/>
      </bottom>
      <diagonal/>
    </border>
    <border>
      <left style="thick">
        <color indexed="64"/>
      </left>
      <right style="thick">
        <color indexed="64"/>
      </right>
      <top style="thin">
        <color indexed="64"/>
      </top>
      <bottom style="thin">
        <color indexed="64"/>
      </bottom>
      <diagonal/>
    </border>
    <border>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auto="1"/>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medium">
        <color theme="3" tint="0.39994506668294322"/>
      </bottom>
      <diagonal/>
    </border>
    <border>
      <left style="thin">
        <color auto="1"/>
      </left>
      <right/>
      <top/>
      <bottom style="thin">
        <color auto="1"/>
      </bottom>
      <diagonal/>
    </border>
    <border>
      <left style="thin">
        <color indexed="64"/>
      </left>
      <right style="thin">
        <color indexed="64"/>
      </right>
      <top style="thin">
        <color indexed="64"/>
      </top>
      <bottom style="medium">
        <color indexed="64"/>
      </bottom>
      <diagonal/>
    </border>
    <border>
      <left style="thin">
        <color theme="3"/>
      </left>
      <right/>
      <top/>
      <bottom style="thin">
        <color auto="1"/>
      </bottom>
      <diagonal/>
    </border>
    <border>
      <left style="thin">
        <color indexed="64"/>
      </left>
      <right style="medium">
        <color indexed="64"/>
      </right>
      <top style="medium">
        <color indexed="64"/>
      </top>
      <bottom/>
      <diagonal/>
    </border>
    <border>
      <left style="medium">
        <color auto="1"/>
      </left>
      <right/>
      <top style="medium">
        <color auto="1"/>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thin">
        <color auto="1"/>
      </left>
      <right style="thin">
        <color auto="1"/>
      </right>
      <top/>
      <bottom style="thin">
        <color auto="1"/>
      </bottom>
      <diagonal/>
    </border>
    <border>
      <left/>
      <right style="thin">
        <color auto="1"/>
      </right>
      <top/>
      <bottom style="thin">
        <color auto="1"/>
      </bottom>
      <diagonal/>
    </border>
    <border>
      <left style="thick">
        <color auto="1"/>
      </left>
      <right/>
      <top style="thin">
        <color auto="1"/>
      </top>
      <bottom style="thin">
        <color auto="1"/>
      </bottom>
      <diagonal/>
    </border>
    <border>
      <left style="thick">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indexed="64"/>
      </left>
      <right style="thick">
        <color indexed="64"/>
      </right>
      <top style="thin">
        <color auto="1"/>
      </top>
      <bottom style="thin">
        <color indexed="8"/>
      </bottom>
      <diagonal/>
    </border>
    <border>
      <left style="thick">
        <color indexed="64"/>
      </left>
      <right style="thick">
        <color indexed="64"/>
      </right>
      <top/>
      <bottom style="thin">
        <color indexed="8"/>
      </bottom>
      <diagonal/>
    </border>
    <border>
      <left style="thick">
        <color auto="1"/>
      </left>
      <right style="thick">
        <color auto="1"/>
      </right>
      <top style="thin">
        <color auto="1"/>
      </top>
      <bottom style="thin">
        <color auto="1"/>
      </bottom>
      <diagonal/>
    </border>
    <border>
      <left/>
      <right style="thick">
        <color auto="1"/>
      </right>
      <top/>
      <bottom style="thin">
        <color indexed="64"/>
      </bottom>
      <diagonal/>
    </border>
    <border>
      <left style="thick">
        <color indexed="64"/>
      </left>
      <right style="thick">
        <color indexed="64"/>
      </right>
      <top style="thin">
        <color indexed="8"/>
      </top>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style="thin">
        <color auto="1"/>
      </left>
      <right style="double">
        <color auto="1"/>
      </right>
      <top/>
      <bottom style="thin">
        <color auto="1"/>
      </bottom>
      <diagonal/>
    </border>
    <border>
      <left style="thick">
        <color indexed="64"/>
      </left>
      <right style="thick">
        <color indexed="64"/>
      </right>
      <top style="thin">
        <color auto="1"/>
      </top>
      <bottom style="thick">
        <color indexed="64"/>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double">
        <color auto="1"/>
      </right>
      <top style="thin">
        <color auto="1"/>
      </top>
      <bottom style="thick">
        <color auto="1"/>
      </bottom>
      <diagonal/>
    </border>
    <border>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ck">
        <color indexed="64"/>
      </left>
      <right style="thick">
        <color indexed="64"/>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n">
        <color auto="1"/>
      </left>
      <right style="thick">
        <color auto="1"/>
      </right>
      <top/>
      <bottom style="thin">
        <color auto="1"/>
      </bottom>
      <diagonal/>
    </border>
    <border>
      <left style="thin">
        <color auto="1"/>
      </left>
      <right style="double">
        <color auto="1"/>
      </right>
      <top/>
      <bottom style="thin">
        <color auto="1"/>
      </bottom>
      <diagonal/>
    </border>
    <border>
      <left style="thick">
        <color auto="1"/>
      </left>
      <right/>
      <top style="thin">
        <color auto="1"/>
      </top>
      <bottom style="thick">
        <color auto="1"/>
      </bottom>
      <diagonal/>
    </border>
    <border>
      <left style="thick">
        <color indexed="64"/>
      </left>
      <right style="thick">
        <color indexed="64"/>
      </right>
      <top style="thin">
        <color auto="1"/>
      </top>
      <bottom style="thick">
        <color indexed="64"/>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double">
        <color auto="1"/>
      </right>
      <top style="thin">
        <color auto="1"/>
      </top>
      <bottom style="thick">
        <color auto="1"/>
      </bottom>
      <diagonal/>
    </border>
    <border>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style="thin">
        <color auto="1"/>
      </left>
      <right style="double">
        <color auto="1"/>
      </right>
      <top/>
      <bottom style="thin">
        <color auto="1"/>
      </bottom>
      <diagonal/>
    </border>
    <border>
      <left style="thick">
        <color indexed="64"/>
      </left>
      <right style="thick">
        <color indexed="64"/>
      </right>
      <top/>
      <bottom style="thin">
        <color indexed="8"/>
      </bottom>
      <diagonal/>
    </border>
    <border>
      <left style="thick">
        <color auto="1"/>
      </left>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top/>
      <bottom style="thin">
        <color indexed="64"/>
      </bottom>
      <diagonal/>
    </border>
    <border>
      <left/>
      <right style="thin">
        <color auto="1"/>
      </right>
      <top/>
      <bottom style="thin">
        <color auto="1"/>
      </bottom>
      <diagonal/>
    </border>
    <border>
      <left style="thick">
        <color indexed="64"/>
      </left>
      <right style="thick">
        <color indexed="64"/>
      </right>
      <top/>
      <bottom style="thin">
        <color indexed="8"/>
      </bottom>
      <diagonal/>
    </border>
    <border>
      <left/>
      <right/>
      <top/>
      <bottom style="thin">
        <color indexed="64"/>
      </bottom>
      <diagonal/>
    </border>
    <border>
      <left/>
      <right style="thin">
        <color auto="1"/>
      </right>
      <top/>
      <bottom style="thin">
        <color auto="1"/>
      </bottom>
      <diagonal/>
    </border>
    <border>
      <left style="thick">
        <color indexed="64"/>
      </left>
      <right style="thick">
        <color indexed="64"/>
      </right>
      <top/>
      <bottom style="thin">
        <color indexed="8"/>
      </bottom>
      <diagonal/>
    </border>
    <border>
      <left style="thin">
        <color auto="1"/>
      </left>
      <right/>
      <top/>
      <bottom style="thin">
        <color auto="1"/>
      </bottom>
      <diagonal/>
    </border>
    <border>
      <left style="thick">
        <color auto="1"/>
      </left>
      <right style="thick">
        <color auto="1"/>
      </right>
      <top style="thin">
        <color auto="1"/>
      </top>
      <bottom style="thin">
        <color rgb="FF000000"/>
      </bottom>
      <diagonal/>
    </border>
    <border>
      <left/>
      <right style="thick">
        <color rgb="FF000000"/>
      </right>
      <top/>
      <bottom style="thin">
        <color indexed="64"/>
      </bottom>
      <diagonal/>
    </border>
    <border>
      <left style="thick">
        <color indexed="64"/>
      </left>
      <right style="thick">
        <color indexed="64"/>
      </right>
      <top style="thin">
        <color indexed="8"/>
      </top>
      <bottom style="thin">
        <color rgb="FF000000"/>
      </bottom>
      <diagonal/>
    </border>
    <border>
      <left style="thick">
        <color auto="1"/>
      </left>
      <right/>
      <top style="thin">
        <color auto="1"/>
      </top>
      <bottom style="thick">
        <color auto="1"/>
      </bottom>
      <diagonal/>
    </border>
    <border>
      <left style="thin">
        <color auto="1"/>
      </left>
      <right style="thin">
        <color auto="1"/>
      </right>
      <top style="thin">
        <color auto="1"/>
      </top>
      <bottom style="thin">
        <color rgb="FF000000"/>
      </bottom>
      <diagonal/>
    </border>
    <border>
      <left style="thick">
        <color indexed="64"/>
      </left>
      <right style="thick">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thin">
        <color auto="1"/>
      </left>
      <right style="double">
        <color auto="1"/>
      </right>
      <top/>
      <bottom style="thin">
        <color auto="1"/>
      </bottom>
      <diagonal/>
    </border>
    <border>
      <left/>
      <right style="thick">
        <color auto="1"/>
      </right>
      <top/>
      <bottom style="thin">
        <color indexed="64"/>
      </bottom>
      <diagonal/>
    </border>
    <border>
      <left style="thin">
        <color auto="1"/>
      </left>
      <right/>
      <top/>
      <bottom style="thin">
        <color auto="1"/>
      </bottom>
      <diagonal/>
    </border>
    <border>
      <left style="thick">
        <color indexed="64"/>
      </left>
      <right style="thick">
        <color indexed="64"/>
      </right>
      <top/>
      <bottom style="thin">
        <color indexed="8"/>
      </bottom>
      <diagonal/>
    </border>
    <border>
      <left style="thick">
        <color indexed="64"/>
      </left>
      <right style="thick">
        <color indexed="64"/>
      </right>
      <top style="thin">
        <color indexed="8"/>
      </top>
      <bottom/>
      <diagonal/>
    </border>
    <border>
      <left style="thick">
        <color auto="1"/>
      </left>
      <right/>
      <top style="thin">
        <color auto="1"/>
      </top>
      <bottom style="thick">
        <color auto="1"/>
      </bottom>
      <diagonal/>
    </border>
    <border>
      <left style="thick">
        <color indexed="64"/>
      </left>
      <right style="thick">
        <color indexed="64"/>
      </right>
      <top style="thin">
        <color auto="1"/>
      </top>
      <bottom style="thick">
        <color indexed="64"/>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double">
        <color auto="1"/>
      </right>
      <top style="thin">
        <color auto="1"/>
      </top>
      <bottom style="thick">
        <color auto="1"/>
      </bottom>
      <diagonal/>
    </border>
    <border>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right/>
      <top/>
      <bottom style="thin">
        <color indexed="64"/>
      </bottom>
      <diagonal/>
    </border>
    <border>
      <left/>
      <right style="thin">
        <color auto="1"/>
      </right>
      <top/>
      <bottom style="thin">
        <color auto="1"/>
      </bottom>
      <diagonal/>
    </border>
    <border>
      <left style="thick">
        <color indexed="64"/>
      </left>
      <right style="thick">
        <color indexed="64"/>
      </right>
      <top/>
      <bottom style="thin">
        <color indexed="8"/>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style="thin">
        <color auto="1"/>
      </left>
      <right style="double">
        <color auto="1"/>
      </right>
      <top/>
      <bottom style="thin">
        <color auto="1"/>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n">
        <color auto="1"/>
      </left>
      <right/>
      <top/>
      <bottom style="thin">
        <color auto="1"/>
      </bottom>
      <diagonal/>
    </border>
    <border>
      <left style="thick">
        <color indexed="64"/>
      </left>
      <right style="thick">
        <color indexed="64"/>
      </right>
      <top/>
      <bottom style="thin">
        <color indexed="8"/>
      </bottom>
      <diagonal/>
    </border>
    <border>
      <left style="thick">
        <color indexed="64"/>
      </left>
      <right style="thick">
        <color indexed="64"/>
      </right>
      <top style="thin">
        <color indexed="8"/>
      </top>
      <bottom style="thin">
        <color indexed="64"/>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8"/>
      </top>
      <bottom style="thin">
        <color indexed="64"/>
      </bottom>
      <diagonal/>
    </border>
    <border>
      <left style="thick">
        <color indexed="64"/>
      </left>
      <right style="thick">
        <color indexed="64"/>
      </right>
      <top style="thin">
        <color indexed="8"/>
      </top>
      <bottom/>
      <diagonal/>
    </border>
    <border>
      <left style="thick">
        <color auto="1"/>
      </left>
      <right/>
      <top style="thin">
        <color auto="1"/>
      </top>
      <bottom style="thick">
        <color auto="1"/>
      </bottom>
      <diagonal/>
    </border>
    <border>
      <left style="thick">
        <color indexed="64"/>
      </left>
      <right style="thick">
        <color indexed="64"/>
      </right>
      <top style="thin">
        <color auto="1"/>
      </top>
      <bottom style="thick">
        <color indexed="64"/>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double">
        <color auto="1"/>
      </right>
      <top style="thin">
        <color auto="1"/>
      </top>
      <bottom style="thick">
        <color auto="1"/>
      </bottom>
      <diagonal/>
    </border>
    <border>
      <left/>
      <right style="thick">
        <color auto="1"/>
      </right>
      <top style="thin">
        <color auto="1"/>
      </top>
      <bottom style="thick">
        <color auto="1"/>
      </bottom>
      <diagonal/>
    </border>
    <border>
      <left style="thick">
        <color indexed="64"/>
      </left>
      <right style="double">
        <color indexed="64"/>
      </right>
      <top style="thin">
        <color indexed="8"/>
      </top>
      <bottom style="thin">
        <color indexed="64"/>
      </bottom>
      <diagonal/>
    </border>
    <border>
      <left style="thick">
        <color indexed="64"/>
      </left>
      <right style="double">
        <color indexed="64"/>
      </right>
      <top style="thin">
        <color indexed="64"/>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right style="thin">
        <color auto="1"/>
      </right>
      <top/>
      <bottom style="thin">
        <color auto="1"/>
      </bottom>
      <diagonal/>
    </border>
    <border>
      <left style="thick">
        <color indexed="64"/>
      </left>
      <right style="thick">
        <color indexed="64"/>
      </right>
      <top/>
      <bottom style="thin">
        <color indexed="8"/>
      </bottom>
      <diagonal/>
    </border>
    <border>
      <left/>
      <right/>
      <top/>
      <bottom style="thin">
        <color indexed="64"/>
      </bottom>
      <diagonal/>
    </border>
    <border>
      <left/>
      <right style="thin">
        <color auto="1"/>
      </right>
      <top/>
      <bottom style="thin">
        <color auto="1"/>
      </bottom>
      <diagonal/>
    </border>
    <border>
      <left style="thick">
        <color indexed="64"/>
      </left>
      <right style="thick">
        <color indexed="64"/>
      </right>
      <top/>
      <bottom style="thin">
        <color indexed="8"/>
      </bottom>
      <diagonal/>
    </border>
    <border>
      <left style="thick">
        <color auto="1"/>
      </left>
      <right/>
      <top/>
      <bottom style="thin">
        <color auto="1"/>
      </bottom>
      <diagonal/>
    </border>
    <border>
      <left style="medium">
        <color indexed="64"/>
      </left>
      <right style="medium">
        <color indexed="64"/>
      </right>
      <top style="thin">
        <color indexed="64"/>
      </top>
      <bottom style="thin">
        <color indexed="64"/>
      </bottom>
      <diagonal/>
    </border>
    <border>
      <left style="thick">
        <color auto="1"/>
      </left>
      <right/>
      <top style="thin">
        <color auto="1"/>
      </top>
      <bottom style="thin">
        <color auto="1"/>
      </bottom>
      <diagonal/>
    </border>
    <border>
      <left style="medium">
        <color indexed="64"/>
      </left>
      <right style="medium">
        <color indexed="64"/>
      </right>
      <top style="thin">
        <color indexed="8"/>
      </top>
      <bottom style="thin">
        <color indexed="8"/>
      </bottom>
      <diagonal/>
    </border>
    <border>
      <left style="medium">
        <color indexed="8"/>
      </left>
      <right style="medium">
        <color indexed="8"/>
      </right>
      <top/>
      <bottom style="thin">
        <color indexed="8"/>
      </bottom>
      <diagonal/>
    </border>
    <border>
      <left style="thick">
        <color auto="1"/>
      </left>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ck">
        <color auto="1"/>
      </left>
      <right style="thick">
        <color auto="1"/>
      </right>
      <top/>
      <bottom style="thin">
        <color auto="1"/>
      </bottom>
      <diagonal/>
    </border>
    <border>
      <left style="thin">
        <color auto="1"/>
      </left>
      <right style="thick">
        <color auto="1"/>
      </right>
      <top/>
      <bottom style="thin">
        <color auto="1"/>
      </bottom>
      <diagonal/>
    </border>
    <border>
      <left style="thin">
        <color auto="1"/>
      </left>
      <right style="double">
        <color auto="1"/>
      </right>
      <top/>
      <bottom style="thin">
        <color auto="1"/>
      </bottom>
      <diagonal/>
    </border>
    <border>
      <left/>
      <right style="thick">
        <color auto="1"/>
      </right>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indexed="64"/>
      </left>
      <right style="thick">
        <color indexed="64"/>
      </right>
      <top/>
      <bottom style="thin">
        <color indexed="8"/>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thin">
        <color auto="1"/>
      </left>
      <right style="double">
        <color auto="1"/>
      </right>
      <top/>
      <bottom style="thin">
        <color auto="1"/>
      </bottom>
      <diagonal/>
    </border>
    <border>
      <left/>
      <right style="thick">
        <color auto="1"/>
      </right>
      <top/>
      <bottom style="thin">
        <color indexed="64"/>
      </bottom>
      <diagonal/>
    </border>
    <border>
      <left style="thin">
        <color auto="1"/>
      </left>
      <right/>
      <top/>
      <bottom style="thin">
        <color auto="1"/>
      </bottom>
      <diagonal/>
    </border>
    <border>
      <left style="thick">
        <color indexed="64"/>
      </left>
      <right style="thick">
        <color indexed="64"/>
      </right>
      <top/>
      <bottom style="thin">
        <color indexed="8"/>
      </bottom>
      <diagonal/>
    </border>
    <border>
      <left style="double">
        <color auto="1"/>
      </left>
      <right/>
      <top style="thin">
        <color auto="1"/>
      </top>
      <bottom style="thin">
        <color auto="1"/>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style="medium">
        <color indexed="64"/>
      </left>
      <right style="medium">
        <color indexed="64"/>
      </right>
      <top/>
      <bottom style="thin">
        <color indexed="8"/>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right style="thick">
        <color auto="1"/>
      </right>
      <top/>
      <bottom style="thin">
        <color indexed="64"/>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top/>
      <bottom style="thin">
        <color auto="1"/>
      </bottom>
      <diagonal/>
    </border>
    <border>
      <left style="thin">
        <color auto="1"/>
      </left>
      <right/>
      <top/>
      <bottom style="thin">
        <color auto="1"/>
      </bottom>
      <diagonal/>
    </border>
    <border>
      <left style="thick">
        <color indexed="64"/>
      </left>
      <right style="thick">
        <color indexed="64"/>
      </right>
      <top/>
      <bottom style="thin">
        <color indexed="8"/>
      </bottom>
      <diagonal/>
    </border>
    <border>
      <left style="thin">
        <color auto="1"/>
      </left>
      <right style="thick">
        <color auto="1"/>
      </right>
      <top/>
      <bottom style="thin">
        <color auto="1"/>
      </bottom>
      <diagonal/>
    </border>
    <border>
      <left style="thin">
        <color auto="1"/>
      </left>
      <right style="double">
        <color auto="1"/>
      </right>
      <top/>
      <bottom style="thin">
        <color auto="1"/>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top/>
      <bottom style="thin">
        <color auto="1"/>
      </bottom>
      <diagonal/>
    </border>
    <border>
      <left style="thin">
        <color auto="1"/>
      </left>
      <right style="thick">
        <color auto="1"/>
      </right>
      <top/>
      <bottom style="thin">
        <color auto="1"/>
      </bottom>
      <diagonal/>
    </border>
    <border>
      <left style="thick">
        <color rgb="FF000000"/>
      </left>
      <right style="thick">
        <color rgb="FF000000"/>
      </right>
      <top style="thin">
        <color auto="1"/>
      </top>
      <bottom style="thin">
        <color auto="1"/>
      </bottom>
      <diagonal/>
    </border>
    <border>
      <left style="thick">
        <color rgb="FF000000"/>
      </left>
      <right style="thick">
        <color rgb="FF000000"/>
      </right>
      <top style="thin">
        <color auto="1"/>
      </top>
      <bottom style="thick">
        <color rgb="FF000000"/>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n">
        <color auto="1"/>
      </left>
      <right/>
      <top/>
      <bottom style="thin">
        <color auto="1"/>
      </bottom>
      <diagonal/>
    </border>
    <border>
      <left style="thick">
        <color indexed="64"/>
      </left>
      <right style="thick">
        <color indexed="64"/>
      </right>
      <top/>
      <bottom style="thin">
        <color indexed="8"/>
      </bottom>
      <diagonal/>
    </border>
    <border>
      <left style="thick">
        <color indexed="64"/>
      </left>
      <right style="thick">
        <color indexed="64"/>
      </right>
      <top style="thin">
        <color indexed="8"/>
      </top>
      <bottom/>
      <diagonal/>
    </border>
    <border>
      <left style="thick">
        <color auto="1"/>
      </left>
      <right style="thick">
        <color rgb="FF000000"/>
      </right>
      <top/>
      <bottom style="thin">
        <color auto="1"/>
      </bottom>
      <diagonal/>
    </border>
    <border>
      <left/>
      <right style="thick">
        <color rgb="FF000000"/>
      </right>
      <top/>
      <bottom style="thin">
        <color indexed="64"/>
      </bottom>
      <diagonal/>
    </border>
    <border>
      <left style="thick">
        <color auto="1"/>
      </left>
      <right style="thick">
        <color rgb="FF000000"/>
      </right>
      <top style="thin">
        <color auto="1"/>
      </top>
      <bottom style="thin">
        <color auto="1"/>
      </bottom>
      <diagonal/>
    </border>
    <border>
      <left style="thick">
        <color rgb="FF000000"/>
      </left>
      <right style="medium">
        <color indexed="8"/>
      </right>
      <top/>
      <bottom style="thin">
        <color indexed="8"/>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style="thick">
        <color auto="1"/>
      </right>
      <top/>
      <bottom style="thin">
        <color indexed="64"/>
      </bottom>
      <diagonal/>
    </border>
    <border>
      <left style="thick">
        <color rgb="FF000000"/>
      </left>
      <right style="thick">
        <color auto="1"/>
      </right>
      <top style="thin">
        <color auto="1"/>
      </top>
      <bottom style="thin">
        <color auto="1"/>
      </bottom>
      <diagonal/>
    </border>
    <border>
      <left style="thick">
        <color auto="1"/>
      </left>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ck">
        <color auto="1"/>
      </left>
      <right style="thick">
        <color rgb="FF000000"/>
      </right>
      <top/>
      <bottom style="thin">
        <color auto="1"/>
      </bottom>
      <diagonal/>
    </border>
    <border>
      <left style="thick">
        <color indexed="64"/>
      </left>
      <right style="thick">
        <color rgb="FF000000"/>
      </right>
      <top style="thin">
        <color auto="1"/>
      </top>
      <bottom style="thick">
        <color indexed="64"/>
      </bottom>
      <diagonal/>
    </border>
    <border>
      <left style="thin">
        <color auto="1"/>
      </left>
      <right/>
      <top/>
      <bottom style="thin">
        <color auto="1"/>
      </bottom>
      <diagonal/>
    </border>
    <border>
      <left style="thick">
        <color indexed="64"/>
      </left>
      <right style="thick">
        <color indexed="64"/>
      </right>
      <top/>
      <bottom style="thin">
        <color indexed="8"/>
      </bottom>
      <diagonal/>
    </border>
    <border>
      <left style="thick">
        <color indexed="64"/>
      </left>
      <right style="thick">
        <color indexed="64"/>
      </right>
      <top/>
      <bottom style="thin">
        <color indexed="8"/>
      </bottom>
      <diagonal/>
    </border>
    <border>
      <left style="medium">
        <color indexed="64"/>
      </left>
      <right style="medium">
        <color indexed="64"/>
      </right>
      <top/>
      <bottom style="thin">
        <color indexed="8"/>
      </bottom>
      <diagonal/>
    </border>
    <border>
      <left style="thick">
        <color indexed="64"/>
      </left>
      <right style="thick">
        <color indexed="64"/>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indexed="64"/>
      </left>
      <right style="thick">
        <color indexed="64"/>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style="thin">
        <color auto="1"/>
      </left>
      <right style="double">
        <color auto="1"/>
      </right>
      <top/>
      <bottom style="thin">
        <color auto="1"/>
      </bottom>
      <diagonal/>
    </border>
    <border>
      <left style="thin">
        <color auto="1"/>
      </left>
      <right/>
      <top/>
      <bottom style="thin">
        <color auto="1"/>
      </bottom>
      <diagonal/>
    </border>
    <border>
      <left style="thick">
        <color indexed="64"/>
      </left>
      <right style="thick">
        <color indexed="64"/>
      </right>
      <top style="thin">
        <color auto="1"/>
      </top>
      <bottom style="thin">
        <color indexed="8"/>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indexed="8"/>
      </top>
      <bottom/>
      <diagonal/>
    </border>
    <border>
      <left style="thick">
        <color indexed="64"/>
      </left>
      <right style="thick">
        <color indexed="64"/>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style="thin">
        <color auto="1"/>
      </left>
      <right style="double">
        <color auto="1"/>
      </right>
      <top/>
      <bottom style="thin">
        <color auto="1"/>
      </bottom>
      <diagonal/>
    </border>
    <border>
      <left style="thin">
        <color auto="1"/>
      </left>
      <right/>
      <top/>
      <bottom style="thin">
        <color auto="1"/>
      </bottom>
      <diagonal/>
    </border>
    <border>
      <left style="thick">
        <color indexed="64"/>
      </left>
      <right style="thick">
        <color indexed="64"/>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style="thin">
        <color auto="1"/>
      </left>
      <right style="double">
        <color auto="1"/>
      </right>
      <top/>
      <bottom style="thin">
        <color auto="1"/>
      </bottom>
      <diagonal/>
    </border>
    <border>
      <left style="thin">
        <color auto="1"/>
      </left>
      <right/>
      <top/>
      <bottom style="thin">
        <color auto="1"/>
      </bottom>
      <diagonal/>
    </border>
    <border>
      <left style="thick">
        <color indexed="64"/>
      </left>
      <right style="thick">
        <color indexed="64"/>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right/>
      <top/>
      <bottom style="thin">
        <color indexed="64"/>
      </bottom>
      <diagonal/>
    </border>
    <border>
      <left/>
      <right style="thin">
        <color auto="1"/>
      </right>
      <top/>
      <bottom style="thin">
        <color auto="1"/>
      </bottom>
      <diagonal/>
    </border>
    <border>
      <left style="thick">
        <color indexed="64"/>
      </left>
      <right style="thick">
        <color indexed="64"/>
      </right>
      <top/>
      <bottom style="thin">
        <color indexed="8"/>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style="thin">
        <color auto="1"/>
      </left>
      <right style="double">
        <color auto="1"/>
      </right>
      <top/>
      <bottom style="thin">
        <color auto="1"/>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bottom style="thin">
        <color auto="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right/>
      <top/>
      <bottom style="thin">
        <color indexed="64"/>
      </bottom>
      <diagonal/>
    </border>
  </borders>
  <cellStyleXfs count="13">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4" fillId="0" borderId="0" applyNumberFormat="0" applyFill="0" applyBorder="0" applyAlignment="0" applyProtection="0"/>
    <xf numFmtId="0" fontId="7" fillId="0" borderId="0">
      <alignment vertical="top"/>
    </xf>
    <xf numFmtId="0" fontId="2" fillId="0" borderId="0"/>
    <xf numFmtId="44"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21" fillId="0" borderId="37"/>
    <xf numFmtId="5" fontId="19" fillId="0" borderId="0"/>
    <xf numFmtId="0" fontId="10" fillId="0" borderId="0"/>
  </cellStyleXfs>
  <cellXfs count="2424">
    <xf numFmtId="0" fontId="0" fillId="0" borderId="0" xfId="0"/>
    <xf numFmtId="0" fontId="0" fillId="0" borderId="0" xfId="0" applyAlignment="1">
      <alignment wrapText="1"/>
    </xf>
    <xf numFmtId="0" fontId="0" fillId="0" borderId="0" xfId="0" applyProtection="1">
      <protection locked="0"/>
    </xf>
    <xf numFmtId="0" fontId="0" fillId="0" borderId="2" xfId="0" applyBorder="1" applyAlignment="1">
      <alignment horizontal="right"/>
    </xf>
    <xf numFmtId="0" fontId="0" fillId="0" borderId="3" xfId="0" applyBorder="1" applyAlignment="1">
      <alignment wrapText="1"/>
    </xf>
    <xf numFmtId="0" fontId="0" fillId="0" borderId="3" xfId="0" applyBorder="1" applyProtection="1">
      <protection locked="0"/>
    </xf>
    <xf numFmtId="0" fontId="0" fillId="0" borderId="4" xfId="0" applyBorder="1" applyAlignment="1" applyProtection="1">
      <alignment horizontal="right"/>
      <protection locked="0"/>
    </xf>
    <xf numFmtId="0" fontId="3" fillId="2" borderId="6" xfId="0" applyFont="1" applyFill="1" applyBorder="1"/>
    <xf numFmtId="0" fontId="0" fillId="2" borderId="7" xfId="0" applyFill="1" applyBorder="1" applyAlignment="1">
      <alignment wrapText="1"/>
    </xf>
    <xf numFmtId="0" fontId="0" fillId="2" borderId="7" xfId="0" applyFill="1" applyBorder="1" applyAlignment="1" applyProtection="1">
      <alignment horizontal="center" wrapText="1"/>
      <protection locked="0"/>
    </xf>
    <xf numFmtId="0" fontId="0" fillId="2" borderId="8" xfId="0" applyFill="1" applyBorder="1" applyAlignment="1" applyProtection="1">
      <alignment horizontal="center" wrapText="1"/>
      <protection locked="0"/>
    </xf>
    <xf numFmtId="5" fontId="0" fillId="2" borderId="1" xfId="2" applyNumberFormat="1" applyFont="1" applyFill="1" applyBorder="1" applyAlignment="1" applyProtection="1">
      <alignment horizontal="center"/>
      <protection locked="0"/>
    </xf>
    <xf numFmtId="0" fontId="0" fillId="2" borderId="7" xfId="0" applyFill="1" applyBorder="1" applyProtection="1">
      <protection locked="0"/>
    </xf>
    <xf numFmtId="0" fontId="0" fillId="4" borderId="2" xfId="0" applyFill="1" applyBorder="1"/>
    <xf numFmtId="0" fontId="0" fillId="4" borderId="3" xfId="0" applyFill="1" applyBorder="1" applyAlignment="1">
      <alignment wrapText="1"/>
    </xf>
    <xf numFmtId="0" fontId="0" fillId="4" borderId="3" xfId="0" applyFill="1" applyBorder="1" applyProtection="1">
      <protection locked="0"/>
    </xf>
    <xf numFmtId="0" fontId="0" fillId="4" borderId="3" xfId="0" applyFill="1" applyBorder="1" applyAlignment="1" applyProtection="1">
      <alignment vertical="center"/>
      <protection locked="0"/>
    </xf>
    <xf numFmtId="0" fontId="0" fillId="4" borderId="3" xfId="0" applyFill="1" applyBorder="1" applyAlignment="1" applyProtection="1">
      <alignment horizontal="right"/>
      <protection locked="0"/>
    </xf>
    <xf numFmtId="0" fontId="0" fillId="4" borderId="4" xfId="0" applyFill="1" applyBorder="1" applyAlignment="1" applyProtection="1">
      <alignment horizontal="right"/>
      <protection locked="0"/>
    </xf>
    <xf numFmtId="5" fontId="0" fillId="4" borderId="5" xfId="0" applyNumberFormat="1" applyFill="1" applyBorder="1" applyProtection="1">
      <protection locked="0"/>
    </xf>
    <xf numFmtId="0" fontId="0" fillId="2" borderId="1" xfId="0" applyFill="1" applyBorder="1" applyProtection="1">
      <protection locked="0"/>
    </xf>
    <xf numFmtId="164" fontId="0" fillId="0" borderId="0" xfId="0" applyNumberFormat="1"/>
    <xf numFmtId="0" fontId="0" fillId="0" borderId="0" xfId="0" applyAlignment="1">
      <alignment horizontal="right"/>
    </xf>
    <xf numFmtId="0" fontId="0" fillId="0" borderId="15" xfId="0" applyBorder="1" applyProtection="1">
      <protection locked="0"/>
    </xf>
    <xf numFmtId="0" fontId="0" fillId="2" borderId="23" xfId="0" applyFill="1" applyBorder="1" applyProtection="1">
      <protection locked="0"/>
    </xf>
    <xf numFmtId="165" fontId="0" fillId="0" borderId="21" xfId="0" applyNumberFormat="1" applyBorder="1" applyProtection="1">
      <protection locked="0"/>
    </xf>
    <xf numFmtId="0" fontId="0" fillId="2" borderId="24" xfId="0" applyFill="1" applyBorder="1" applyProtection="1">
      <protection locked="0"/>
    </xf>
    <xf numFmtId="0" fontId="0" fillId="0" borderId="25" xfId="0" applyBorder="1" applyProtection="1">
      <protection locked="0"/>
    </xf>
    <xf numFmtId="0" fontId="5" fillId="0" borderId="27" xfId="0" applyFont="1" applyBorder="1" applyProtection="1">
      <protection locked="0"/>
    </xf>
    <xf numFmtId="0" fontId="0" fillId="0" borderId="27" xfId="0" applyBorder="1" applyProtection="1">
      <protection locked="0"/>
    </xf>
    <xf numFmtId="5" fontId="0" fillId="0" borderId="22" xfId="2" applyNumberFormat="1" applyFont="1" applyBorder="1" applyProtection="1">
      <protection locked="0"/>
    </xf>
    <xf numFmtId="0" fontId="0" fillId="0" borderId="26" xfId="0" applyBorder="1"/>
    <xf numFmtId="5" fontId="0" fillId="4" borderId="5" xfId="0" applyNumberFormat="1" applyFill="1" applyBorder="1" applyAlignment="1" applyProtection="1">
      <alignment horizontal="left"/>
      <protection locked="0"/>
    </xf>
    <xf numFmtId="0" fontId="0" fillId="0" borderId="9" xfId="0" applyBorder="1" applyProtection="1">
      <protection locked="0"/>
    </xf>
    <xf numFmtId="170" fontId="0" fillId="4" borderId="5" xfId="0" applyNumberFormat="1" applyFill="1" applyBorder="1" applyAlignment="1" applyProtection="1">
      <alignment horizontal="left"/>
      <protection locked="0"/>
    </xf>
    <xf numFmtId="0" fontId="6" fillId="0" borderId="0" xfId="0" applyFont="1"/>
    <xf numFmtId="44" fontId="0" fillId="0" borderId="0" xfId="2" applyFont="1"/>
    <xf numFmtId="0" fontId="3" fillId="0" borderId="29" xfId="0" applyFont="1" applyBorder="1" applyAlignment="1" applyProtection="1">
      <alignment horizontal="right"/>
      <protection locked="0"/>
    </xf>
    <xf numFmtId="0" fontId="3" fillId="0" borderId="19" xfId="0" applyFont="1" applyBorder="1" applyAlignment="1" applyProtection="1">
      <alignment horizontal="right"/>
      <protection locked="0"/>
    </xf>
    <xf numFmtId="0" fontId="0" fillId="0" borderId="1" xfId="0" applyBorder="1" applyProtection="1">
      <protection locked="0"/>
    </xf>
    <xf numFmtId="0" fontId="0" fillId="5" borderId="0" xfId="0" applyFill="1"/>
    <xf numFmtId="0" fontId="0" fillId="10" borderId="0" xfId="0" applyFill="1"/>
    <xf numFmtId="171" fontId="18" fillId="0" borderId="30" xfId="0" applyNumberFormat="1" applyFont="1" applyBorder="1" applyAlignment="1">
      <alignment horizontal="left" vertical="top" shrinkToFit="1"/>
    </xf>
    <xf numFmtId="0" fontId="5" fillId="0" borderId="0" xfId="0" applyFont="1" applyProtection="1">
      <protection locked="0"/>
    </xf>
    <xf numFmtId="0" fontId="20" fillId="0" borderId="0" xfId="0" applyFont="1"/>
    <xf numFmtId="170" fontId="20" fillId="0" borderId="0" xfId="0" applyNumberFormat="1" applyFont="1"/>
    <xf numFmtId="44" fontId="20" fillId="0" borderId="34" xfId="2" applyFont="1" applyBorder="1"/>
    <xf numFmtId="44" fontId="20" fillId="0" borderId="35" xfId="2" applyFont="1" applyBorder="1" applyAlignment="1">
      <alignment horizontal="center"/>
    </xf>
    <xf numFmtId="44" fontId="20" fillId="0" borderId="36" xfId="2" applyFont="1" applyBorder="1" applyAlignment="1">
      <alignment horizontal="right"/>
    </xf>
    <xf numFmtId="170" fontId="20" fillId="0" borderId="34" xfId="0" applyNumberFormat="1" applyFont="1" applyBorder="1"/>
    <xf numFmtId="173" fontId="20" fillId="0" borderId="35" xfId="1" applyNumberFormat="1" applyFont="1" applyBorder="1" applyAlignment="1">
      <alignment horizontal="center"/>
    </xf>
    <xf numFmtId="170" fontId="20" fillId="0" borderId="36" xfId="0" applyNumberFormat="1" applyFont="1" applyBorder="1" applyAlignment="1">
      <alignment horizontal="right"/>
    </xf>
    <xf numFmtId="44" fontId="20" fillId="0" borderId="0" xfId="2" applyFont="1"/>
    <xf numFmtId="173" fontId="20" fillId="0" borderId="0" xfId="1" applyNumberFormat="1" applyFont="1"/>
    <xf numFmtId="0" fontId="20" fillId="0" borderId="34" xfId="0" applyFont="1" applyBorder="1" applyAlignment="1">
      <alignment horizontal="right"/>
    </xf>
    <xf numFmtId="44" fontId="20" fillId="0" borderId="0" xfId="2" applyFont="1" applyAlignment="1">
      <alignment horizontal="right"/>
    </xf>
    <xf numFmtId="0" fontId="20" fillId="0" borderId="0" xfId="0" applyFont="1" applyAlignment="1">
      <alignment horizontal="right"/>
    </xf>
    <xf numFmtId="170" fontId="20" fillId="0" borderId="0" xfId="0" applyNumberFormat="1" applyFont="1" applyAlignment="1">
      <alignment horizontal="right"/>
    </xf>
    <xf numFmtId="165" fontId="20" fillId="0" borderId="0" xfId="0" applyNumberFormat="1" applyFont="1"/>
    <xf numFmtId="167" fontId="0" fillId="0" borderId="0" xfId="2" applyNumberFormat="1" applyFont="1"/>
    <xf numFmtId="0" fontId="10" fillId="7" borderId="53" xfId="0" applyFont="1" applyFill="1" applyBorder="1" applyAlignment="1">
      <alignment horizontal="left" vertical="center" wrapText="1"/>
    </xf>
    <xf numFmtId="0" fontId="10" fillId="13" borderId="0" xfId="0" applyFont="1" applyFill="1" applyAlignment="1">
      <alignment horizontal="center"/>
    </xf>
    <xf numFmtId="0" fontId="10" fillId="0" borderId="0" xfId="0" applyFont="1"/>
    <xf numFmtId="0" fontId="10" fillId="10" borderId="0" xfId="0" applyFont="1" applyFill="1" applyAlignment="1">
      <alignment horizontal="center"/>
    </xf>
    <xf numFmtId="0" fontId="10" fillId="5" borderId="0" xfId="0" applyFont="1" applyFill="1" applyAlignment="1">
      <alignment horizontal="center"/>
    </xf>
    <xf numFmtId="0" fontId="10" fillId="20" borderId="52" xfId="0" applyFont="1" applyFill="1" applyBorder="1" applyAlignment="1">
      <alignment horizontal="center" vertical="center"/>
    </xf>
    <xf numFmtId="0" fontId="10" fillId="7" borderId="53" xfId="0" applyFont="1" applyFill="1" applyBorder="1" applyAlignment="1">
      <alignment horizontal="left"/>
    </xf>
    <xf numFmtId="0" fontId="11" fillId="7" borderId="53" xfId="0" applyFont="1" applyFill="1" applyBorder="1" applyAlignment="1">
      <alignment horizontal="left" vertical="center" wrapText="1"/>
    </xf>
    <xf numFmtId="0" fontId="0" fillId="0" borderId="0" xfId="0" applyAlignment="1" applyProtection="1">
      <alignment horizontal="center"/>
      <protection locked="0"/>
    </xf>
    <xf numFmtId="0" fontId="0" fillId="0" borderId="60" xfId="0" applyBorder="1"/>
    <xf numFmtId="0" fontId="5" fillId="0" borderId="15" xfId="0" applyFont="1" applyBorder="1" applyProtection="1">
      <protection locked="0"/>
    </xf>
    <xf numFmtId="0" fontId="10" fillId="20" borderId="62" xfId="0" applyFont="1" applyFill="1" applyBorder="1" applyAlignment="1">
      <alignment horizontal="center" vertical="center"/>
    </xf>
    <xf numFmtId="0" fontId="3" fillId="2" borderId="61" xfId="0" applyFont="1" applyFill="1" applyBorder="1"/>
    <xf numFmtId="0" fontId="0" fillId="2" borderId="1" xfId="0" applyFill="1" applyBorder="1" applyAlignment="1">
      <alignment wrapText="1"/>
    </xf>
    <xf numFmtId="0" fontId="24" fillId="0" borderId="0" xfId="4" applyFont="1"/>
    <xf numFmtId="164" fontId="23" fillId="0" borderId="0" xfId="1" applyNumberFormat="1" applyFont="1"/>
    <xf numFmtId="0" fontId="23" fillId="0" borderId="0" xfId="0" applyFont="1"/>
    <xf numFmtId="43" fontId="23" fillId="0" borderId="0" xfId="1" applyFont="1"/>
    <xf numFmtId="44" fontId="23" fillId="0" borderId="0" xfId="2" applyFont="1"/>
    <xf numFmtId="8" fontId="23" fillId="0" borderId="0" xfId="0" applyNumberFormat="1" applyFont="1"/>
    <xf numFmtId="43" fontId="23" fillId="0" borderId="0" xfId="0" applyNumberFormat="1" applyFont="1"/>
    <xf numFmtId="164" fontId="23" fillId="0" borderId="0" xfId="1" applyNumberFormat="1" applyFont="1" applyAlignment="1">
      <alignment horizontal="left"/>
    </xf>
    <xf numFmtId="8" fontId="0" fillId="0" borderId="0" xfId="0" applyNumberFormat="1"/>
    <xf numFmtId="164" fontId="0" fillId="0" borderId="0" xfId="1" applyNumberFormat="1" applyFont="1"/>
    <xf numFmtId="164" fontId="0" fillId="10" borderId="0" xfId="1" applyNumberFormat="1" applyFont="1" applyFill="1"/>
    <xf numFmtId="0" fontId="10" fillId="0" borderId="0" xfId="0" applyFont="1" applyAlignment="1">
      <alignment horizontal="center"/>
    </xf>
    <xf numFmtId="0" fontId="0" fillId="0" borderId="65" xfId="0" applyBorder="1" applyProtection="1">
      <protection locked="0"/>
    </xf>
    <xf numFmtId="0" fontId="0" fillId="0" borderId="65" xfId="0" applyBorder="1" applyAlignment="1" applyProtection="1">
      <alignment horizontal="left"/>
      <protection locked="0"/>
    </xf>
    <xf numFmtId="0" fontId="27" fillId="0" borderId="0" xfId="0" applyFont="1"/>
    <xf numFmtId="0" fontId="27" fillId="5" borderId="0" xfId="0" applyFont="1" applyFill="1"/>
    <xf numFmtId="0" fontId="31" fillId="0" borderId="0" xfId="0" applyFont="1"/>
    <xf numFmtId="0" fontId="30" fillId="0" borderId="0" xfId="0" applyFont="1" applyAlignment="1">
      <alignment horizontal="right"/>
    </xf>
    <xf numFmtId="164" fontId="29" fillId="0" borderId="0" xfId="1" applyNumberFormat="1" applyFont="1" applyAlignment="1">
      <alignment horizontal="center" vertical="center" wrapText="1"/>
    </xf>
    <xf numFmtId="164" fontId="0" fillId="3" borderId="12" xfId="1" applyNumberFormat="1" applyFont="1" applyFill="1" applyBorder="1"/>
    <xf numFmtId="164" fontId="0" fillId="3" borderId="0" xfId="1" applyNumberFormat="1" applyFont="1" applyFill="1" applyBorder="1" applyAlignment="1">
      <alignment horizontal="center"/>
    </xf>
    <xf numFmtId="42" fontId="0" fillId="3" borderId="0" xfId="1" applyNumberFormat="1" applyFont="1" applyFill="1" applyBorder="1" applyAlignment="1"/>
    <xf numFmtId="164" fontId="0" fillId="3" borderId="13" xfId="1" applyNumberFormat="1" applyFont="1" applyFill="1" applyBorder="1" applyAlignment="1">
      <alignment horizontal="center"/>
    </xf>
    <xf numFmtId="42" fontId="0" fillId="23" borderId="67" xfId="1" applyNumberFormat="1" applyFont="1" applyFill="1" applyBorder="1" applyAlignment="1"/>
    <xf numFmtId="42" fontId="0" fillId="0" borderId="67" xfId="1" applyNumberFormat="1" applyFont="1" applyFill="1" applyBorder="1" applyAlignment="1"/>
    <xf numFmtId="42" fontId="0" fillId="7" borderId="67" xfId="1" applyNumberFormat="1" applyFont="1" applyFill="1" applyBorder="1" applyAlignment="1"/>
    <xf numFmtId="0" fontId="32" fillId="0" borderId="0" xfId="0" applyFont="1" applyAlignment="1">
      <alignment horizontal="right"/>
    </xf>
    <xf numFmtId="0" fontId="32" fillId="0" borderId="0" xfId="0" applyFont="1"/>
    <xf numFmtId="164" fontId="0" fillId="3" borderId="71" xfId="1" applyNumberFormat="1" applyFont="1" applyFill="1" applyBorder="1" applyAlignment="1">
      <alignment horizontal="center"/>
    </xf>
    <xf numFmtId="0" fontId="0" fillId="0" borderId="0" xfId="0" applyAlignment="1">
      <alignment horizontal="center"/>
    </xf>
    <xf numFmtId="42" fontId="6" fillId="0" borderId="67" xfId="1" applyNumberFormat="1" applyFont="1" applyFill="1" applyBorder="1" applyAlignment="1"/>
    <xf numFmtId="167" fontId="3" fillId="17" borderId="51" xfId="2" applyNumberFormat="1" applyFont="1" applyFill="1" applyBorder="1" applyAlignment="1">
      <alignment horizontal="center" vertical="center"/>
    </xf>
    <xf numFmtId="0" fontId="3" fillId="0" borderId="0" xfId="0" applyFont="1" applyAlignment="1">
      <alignment horizontal="center"/>
    </xf>
    <xf numFmtId="167" fontId="3" fillId="17" borderId="49" xfId="2" applyNumberFormat="1" applyFont="1" applyFill="1" applyBorder="1" applyAlignment="1">
      <alignment horizontal="center"/>
    </xf>
    <xf numFmtId="167" fontId="3" fillId="17" borderId="13" xfId="2" applyNumberFormat="1" applyFont="1" applyFill="1" applyBorder="1" applyAlignment="1">
      <alignment horizontal="center"/>
    </xf>
    <xf numFmtId="0" fontId="3" fillId="0" borderId="0" xfId="0" applyFont="1"/>
    <xf numFmtId="167" fontId="3" fillId="17" borderId="55" xfId="2" applyNumberFormat="1" applyFont="1" applyFill="1" applyBorder="1" applyAlignment="1">
      <alignment horizontal="center"/>
    </xf>
    <xf numFmtId="167" fontId="3" fillId="17" borderId="32" xfId="2" applyNumberFormat="1" applyFont="1" applyFill="1" applyBorder="1" applyAlignment="1">
      <alignment horizontal="center"/>
    </xf>
    <xf numFmtId="0" fontId="3" fillId="13" borderId="34" xfId="0" applyFont="1" applyFill="1" applyBorder="1" applyAlignment="1">
      <alignment horizontal="center"/>
    </xf>
    <xf numFmtId="164" fontId="3" fillId="13" borderId="58" xfId="1" applyNumberFormat="1" applyFont="1" applyFill="1" applyBorder="1"/>
    <xf numFmtId="164" fontId="3" fillId="13" borderId="34" xfId="1" applyNumberFormat="1" applyFont="1" applyFill="1" applyBorder="1"/>
    <xf numFmtId="167" fontId="0" fillId="13" borderId="34" xfId="2" applyNumberFormat="1" applyFont="1" applyFill="1" applyBorder="1"/>
    <xf numFmtId="0" fontId="0" fillId="0" borderId="59" xfId="0" applyBorder="1" applyAlignment="1">
      <alignment horizontal="center"/>
    </xf>
    <xf numFmtId="0" fontId="0" fillId="0" borderId="64" xfId="0" applyBorder="1" applyAlignment="1">
      <alignment horizontal="center"/>
    </xf>
    <xf numFmtId="167" fontId="3" fillId="0" borderId="64" xfId="2" applyNumberFormat="1" applyFont="1" applyFill="1" applyBorder="1"/>
    <xf numFmtId="167" fontId="3" fillId="0" borderId="51" xfId="2" applyNumberFormat="1" applyFont="1" applyFill="1" applyBorder="1"/>
    <xf numFmtId="167" fontId="0" fillId="0" borderId="49" xfId="2" applyNumberFormat="1" applyFont="1" applyFill="1" applyBorder="1"/>
    <xf numFmtId="0" fontId="0" fillId="0" borderId="73" xfId="0" applyBorder="1" applyAlignment="1">
      <alignment horizontal="center"/>
    </xf>
    <xf numFmtId="0" fontId="0" fillId="7" borderId="0" xfId="0" applyFill="1"/>
    <xf numFmtId="176" fontId="0" fillId="0" borderId="49" xfId="1" applyNumberFormat="1" applyFont="1" applyFill="1" applyBorder="1"/>
    <xf numFmtId="167" fontId="0" fillId="0" borderId="0" xfId="2" applyNumberFormat="1" applyFont="1" applyFill="1"/>
    <xf numFmtId="0" fontId="0" fillId="0" borderId="51" xfId="0" applyBorder="1"/>
    <xf numFmtId="176" fontId="0" fillId="0" borderId="59" xfId="1" applyNumberFormat="1" applyFont="1" applyBorder="1"/>
    <xf numFmtId="167" fontId="0" fillId="0" borderId="59" xfId="2" applyNumberFormat="1" applyFont="1" applyBorder="1"/>
    <xf numFmtId="167" fontId="3" fillId="0" borderId="64" xfId="2" applyNumberFormat="1" applyFont="1" applyBorder="1"/>
    <xf numFmtId="167" fontId="3" fillId="0" borderId="51" xfId="2" applyNumberFormat="1" applyFont="1" applyBorder="1"/>
    <xf numFmtId="176" fontId="0" fillId="0" borderId="55" xfId="1" applyNumberFormat="1" applyFont="1" applyBorder="1"/>
    <xf numFmtId="167" fontId="3" fillId="0" borderId="56" xfId="2" applyNumberFormat="1" applyFont="1" applyBorder="1"/>
    <xf numFmtId="164" fontId="0" fillId="18" borderId="58" xfId="1" applyNumberFormat="1" applyFont="1" applyFill="1" applyBorder="1"/>
    <xf numFmtId="164" fontId="0" fillId="18" borderId="34" xfId="1" applyNumberFormat="1" applyFont="1" applyFill="1" applyBorder="1"/>
    <xf numFmtId="167" fontId="0" fillId="18" borderId="34" xfId="2" applyNumberFormat="1" applyFont="1" applyFill="1" applyBorder="1"/>
    <xf numFmtId="176" fontId="0" fillId="7" borderId="55" xfId="1" applyNumberFormat="1" applyFont="1" applyFill="1" applyBorder="1"/>
    <xf numFmtId="167" fontId="0" fillId="0" borderId="55" xfId="2" applyNumberFormat="1" applyFont="1" applyFill="1" applyBorder="1"/>
    <xf numFmtId="167" fontId="3" fillId="0" borderId="57" xfId="2" applyNumberFormat="1" applyFont="1" applyBorder="1"/>
    <xf numFmtId="0" fontId="3" fillId="18" borderId="34" xfId="0" applyFont="1" applyFill="1" applyBorder="1" applyAlignment="1">
      <alignment horizontal="center"/>
    </xf>
    <xf numFmtId="164" fontId="0" fillId="18" borderId="54" xfId="1" applyNumberFormat="1" applyFont="1" applyFill="1" applyBorder="1" applyAlignment="1">
      <alignment horizontal="center"/>
    </xf>
    <xf numFmtId="167" fontId="0" fillId="0" borderId="51" xfId="2" applyNumberFormat="1" applyFont="1" applyBorder="1"/>
    <xf numFmtId="167" fontId="0" fillId="0" borderId="55" xfId="2" applyNumberFormat="1" applyFont="1" applyBorder="1"/>
    <xf numFmtId="167" fontId="0" fillId="0" borderId="57" xfId="2" applyNumberFormat="1" applyFont="1" applyBorder="1"/>
    <xf numFmtId="0" fontId="0" fillId="0" borderId="53" xfId="0" applyBorder="1"/>
    <xf numFmtId="176" fontId="0" fillId="0" borderId="49" xfId="1" applyNumberFormat="1" applyFont="1" applyBorder="1"/>
    <xf numFmtId="167" fontId="0" fillId="0" borderId="49" xfId="2" applyNumberFormat="1" applyFont="1" applyBorder="1"/>
    <xf numFmtId="167" fontId="3" fillId="0" borderId="50" xfId="2" applyNumberFormat="1" applyFont="1" applyBorder="1"/>
    <xf numFmtId="167" fontId="3" fillId="0" borderId="53" xfId="2" applyNumberFormat="1" applyFont="1" applyBorder="1"/>
    <xf numFmtId="167" fontId="0" fillId="0" borderId="53" xfId="2" applyNumberFormat="1" applyFont="1" applyBorder="1"/>
    <xf numFmtId="0" fontId="0" fillId="0" borderId="48" xfId="0" applyBorder="1" applyAlignment="1">
      <alignment horizontal="center"/>
    </xf>
    <xf numFmtId="0" fontId="0" fillId="0" borderId="52" xfId="0" applyBorder="1"/>
    <xf numFmtId="167" fontId="0" fillId="0" borderId="48" xfId="2" applyNumberFormat="1" applyFont="1" applyBorder="1"/>
    <xf numFmtId="167" fontId="3" fillId="0" borderId="52" xfId="2" applyNumberFormat="1" applyFont="1" applyBorder="1"/>
    <xf numFmtId="176" fontId="0" fillId="7" borderId="49" xfId="1" applyNumberFormat="1" applyFont="1" applyFill="1" applyBorder="1"/>
    <xf numFmtId="0" fontId="0" fillId="0" borderId="50" xfId="0" applyBorder="1" applyAlignment="1">
      <alignment horizontal="center"/>
    </xf>
    <xf numFmtId="176" fontId="0" fillId="7" borderId="59" xfId="1" applyNumberFormat="1" applyFont="1" applyFill="1" applyBorder="1"/>
    <xf numFmtId="167" fontId="0" fillId="7" borderId="51" xfId="2" applyNumberFormat="1" applyFont="1" applyFill="1" applyBorder="1"/>
    <xf numFmtId="0" fontId="3" fillId="0" borderId="57" xfId="0" applyFont="1" applyBorder="1" applyAlignment="1">
      <alignment horizontal="center"/>
    </xf>
    <xf numFmtId="176" fontId="3" fillId="3" borderId="55" xfId="1" applyNumberFormat="1" applyFont="1" applyFill="1" applyBorder="1"/>
    <xf numFmtId="0" fontId="3" fillId="3" borderId="56" xfId="0" applyFont="1" applyFill="1" applyBorder="1" applyAlignment="1">
      <alignment horizontal="center"/>
    </xf>
    <xf numFmtId="167" fontId="3" fillId="3" borderId="31" xfId="2" applyNumberFormat="1" applyFont="1" applyFill="1" applyBorder="1"/>
    <xf numFmtId="167" fontId="3" fillId="0" borderId="34" xfId="2" applyNumberFormat="1" applyFont="1" applyBorder="1"/>
    <xf numFmtId="167" fontId="3" fillId="3" borderId="34" xfId="2" applyNumberFormat="1" applyFont="1" applyFill="1" applyBorder="1"/>
    <xf numFmtId="176" fontId="3" fillId="0" borderId="0" xfId="1" applyNumberFormat="1" applyFont="1"/>
    <xf numFmtId="167" fontId="3" fillId="0" borderId="0" xfId="2" applyNumberFormat="1" applyFont="1"/>
    <xf numFmtId="167" fontId="3" fillId="13" borderId="36" xfId="2" applyNumberFormat="1" applyFont="1" applyFill="1" applyBorder="1"/>
    <xf numFmtId="167" fontId="3" fillId="18" borderId="36" xfId="2" applyNumberFormat="1" applyFont="1" applyFill="1" applyBorder="1"/>
    <xf numFmtId="167" fontId="3" fillId="0" borderId="36" xfId="2" applyNumberFormat="1" applyFont="1" applyBorder="1"/>
    <xf numFmtId="176" fontId="0" fillId="0" borderId="0" xfId="1" applyNumberFormat="1" applyFont="1"/>
    <xf numFmtId="9" fontId="0" fillId="0" borderId="74" xfId="3" applyFont="1" applyFill="1" applyBorder="1" applyAlignment="1">
      <alignment horizontal="left"/>
    </xf>
    <xf numFmtId="0" fontId="0" fillId="0" borderId="75" xfId="0" applyBorder="1" applyAlignment="1">
      <alignment horizontal="center"/>
    </xf>
    <xf numFmtId="167" fontId="3" fillId="17" borderId="53" xfId="2" applyNumberFormat="1" applyFont="1" applyFill="1" applyBorder="1" applyAlignment="1">
      <alignment horizontal="center" vertical="center"/>
    </xf>
    <xf numFmtId="167" fontId="3" fillId="17" borderId="57" xfId="2" applyNumberFormat="1" applyFont="1" applyFill="1" applyBorder="1" applyAlignment="1">
      <alignment horizontal="center" vertical="center"/>
    </xf>
    <xf numFmtId="0" fontId="3" fillId="0" borderId="16" xfId="0" applyFont="1" applyBorder="1" applyAlignment="1">
      <alignment horizontal="center" vertical="center"/>
    </xf>
    <xf numFmtId="0" fontId="33" fillId="24" borderId="53" xfId="0" applyFont="1" applyFill="1" applyBorder="1" applyAlignment="1">
      <alignment horizontal="center" vertical="center" wrapText="1"/>
    </xf>
    <xf numFmtId="167" fontId="0" fillId="0" borderId="0" xfId="2" applyNumberFormat="1" applyFont="1" applyBorder="1"/>
    <xf numFmtId="0" fontId="0" fillId="0" borderId="0" xfId="0" quotePrefix="1"/>
    <xf numFmtId="44" fontId="0" fillId="0" borderId="0" xfId="2" quotePrefix="1" applyFont="1"/>
    <xf numFmtId="0" fontId="3" fillId="0" borderId="0" xfId="0" applyFont="1" applyAlignment="1">
      <alignment horizontal="right"/>
    </xf>
    <xf numFmtId="9" fontId="0" fillId="5" borderId="34" xfId="0" applyNumberFormat="1" applyFill="1" applyBorder="1"/>
    <xf numFmtId="44" fontId="0" fillId="0" borderId="0" xfId="0" applyNumberFormat="1"/>
    <xf numFmtId="0" fontId="0" fillId="0" borderId="12" xfId="0" applyBorder="1" applyAlignment="1">
      <alignment horizontal="left"/>
    </xf>
    <xf numFmtId="0" fontId="0" fillId="0" borderId="0" xfId="0" applyAlignment="1">
      <alignment horizontal="left"/>
    </xf>
    <xf numFmtId="0" fontId="0" fillId="0" borderId="13" xfId="0" applyBorder="1" applyAlignment="1">
      <alignment horizontal="left"/>
    </xf>
    <xf numFmtId="3" fontId="0" fillId="0" borderId="0" xfId="0" applyNumberFormat="1" applyAlignment="1">
      <alignment horizontal="right"/>
    </xf>
    <xf numFmtId="0" fontId="0" fillId="0" borderId="12" xfId="0" applyBorder="1"/>
    <xf numFmtId="0" fontId="0" fillId="0" borderId="13" xfId="0" applyBorder="1"/>
    <xf numFmtId="0" fontId="0" fillId="0" borderId="12" xfId="0" applyBorder="1" applyAlignment="1">
      <alignment horizontal="right"/>
    </xf>
    <xf numFmtId="0" fontId="37" fillId="0" borderId="0" xfId="10" applyFont="1" applyBorder="1" applyAlignment="1">
      <alignment vertical="center"/>
    </xf>
    <xf numFmtId="0" fontId="37" fillId="0" borderId="0" xfId="10" applyFont="1" applyBorder="1" applyAlignment="1">
      <alignment vertical="center" wrapText="1"/>
    </xf>
    <xf numFmtId="0" fontId="38" fillId="0" borderId="0" xfId="0" applyFont="1"/>
    <xf numFmtId="168" fontId="32" fillId="0" borderId="0" xfId="0" applyNumberFormat="1" applyFont="1" applyAlignment="1">
      <alignment horizontal="left"/>
    </xf>
    <xf numFmtId="14" fontId="32" fillId="0" borderId="0" xfId="0" applyNumberFormat="1" applyFont="1" applyAlignment="1">
      <alignment horizontal="left" vertical="center"/>
    </xf>
    <xf numFmtId="0" fontId="27" fillId="0" borderId="0" xfId="0" applyFont="1" applyAlignment="1">
      <alignment horizontal="right"/>
    </xf>
    <xf numFmtId="164" fontId="30" fillId="0" borderId="0" xfId="1" applyNumberFormat="1" applyFont="1" applyAlignment="1">
      <alignment horizontal="center" vertical="center" wrapText="1"/>
    </xf>
    <xf numFmtId="10" fontId="0" fillId="0" borderId="13" xfId="0" applyNumberFormat="1" applyBorder="1" applyAlignment="1">
      <alignment horizontal="left"/>
    </xf>
    <xf numFmtId="3" fontId="0" fillId="0" borderId="0" xfId="0" applyNumberFormat="1" applyAlignment="1">
      <alignment horizontal="left"/>
    </xf>
    <xf numFmtId="10" fontId="0" fillId="0" borderId="0" xfId="0" applyNumberFormat="1" applyAlignment="1">
      <alignment horizontal="left"/>
    </xf>
    <xf numFmtId="170" fontId="0" fillId="0" borderId="0" xfId="0" applyNumberFormat="1"/>
    <xf numFmtId="10" fontId="0" fillId="0" borderId="13" xfId="0" applyNumberFormat="1" applyBorder="1"/>
    <xf numFmtId="164" fontId="3" fillId="0" borderId="0" xfId="1" applyNumberFormat="1" applyFont="1" applyFill="1" applyBorder="1"/>
    <xf numFmtId="10" fontId="3" fillId="0" borderId="0" xfId="0" applyNumberFormat="1" applyFont="1"/>
    <xf numFmtId="164" fontId="3" fillId="0" borderId="0" xfId="0" applyNumberFormat="1" applyFont="1"/>
    <xf numFmtId="39" fontId="3" fillId="0" borderId="0" xfId="1" applyNumberFormat="1" applyFont="1" applyFill="1" applyBorder="1"/>
    <xf numFmtId="164" fontId="29" fillId="6" borderId="14" xfId="1" applyNumberFormat="1" applyFont="1" applyFill="1" applyBorder="1" applyAlignment="1">
      <alignment horizontal="center" vertical="center" wrapText="1"/>
    </xf>
    <xf numFmtId="164" fontId="29" fillId="6" borderId="15" xfId="1" applyNumberFormat="1" applyFont="1" applyFill="1" applyBorder="1" applyAlignment="1">
      <alignment horizontal="center" vertical="center" wrapText="1"/>
    </xf>
    <xf numFmtId="174" fontId="39" fillId="0" borderId="0" xfId="0" applyNumberFormat="1" applyFont="1" applyAlignment="1">
      <alignment horizontal="center" vertical="top"/>
    </xf>
    <xf numFmtId="0" fontId="39" fillId="0" borderId="0" xfId="0" applyFont="1" applyAlignment="1">
      <alignment horizontal="left" vertical="top"/>
    </xf>
    <xf numFmtId="0" fontId="39" fillId="0" borderId="0" xfId="0" applyFont="1"/>
    <xf numFmtId="0" fontId="42" fillId="0" borderId="0" xfId="0" applyFont="1"/>
    <xf numFmtId="0" fontId="42" fillId="0" borderId="0" xfId="0" applyFont="1" applyAlignment="1">
      <alignment horizontal="center" vertical="center"/>
    </xf>
    <xf numFmtId="0" fontId="41" fillId="0" borderId="0" xfId="0" applyFont="1"/>
    <xf numFmtId="0" fontId="41" fillId="0" borderId="0" xfId="0" applyFont="1" applyAlignment="1">
      <alignment horizontal="left" vertical="top"/>
    </xf>
    <xf numFmtId="167" fontId="41" fillId="0" borderId="0" xfId="2" applyNumberFormat="1" applyFont="1"/>
    <xf numFmtId="167" fontId="41" fillId="0" borderId="0" xfId="2" applyNumberFormat="1" applyFont="1" applyAlignment="1">
      <alignment horizontal="left"/>
    </xf>
    <xf numFmtId="174" fontId="39" fillId="0" borderId="38" xfId="0" applyNumberFormat="1" applyFont="1" applyBorder="1" applyAlignment="1">
      <alignment horizontal="center" vertical="center"/>
    </xf>
    <xf numFmtId="0" fontId="39" fillId="0" borderId="41" xfId="0" applyFont="1" applyBorder="1" applyAlignment="1">
      <alignment horizontal="left" vertical="center" wrapText="1"/>
    </xf>
    <xf numFmtId="44" fontId="39" fillId="0" borderId="39" xfId="2" applyFont="1" applyBorder="1" applyAlignment="1">
      <alignment horizontal="left" vertical="center"/>
    </xf>
    <xf numFmtId="0" fontId="39" fillId="0" borderId="0" xfId="0" applyFont="1" applyAlignment="1">
      <alignment horizontal="left" vertical="center"/>
    </xf>
    <xf numFmtId="174" fontId="39" fillId="0" borderId="40" xfId="0" applyNumberFormat="1" applyFont="1" applyBorder="1" applyAlignment="1">
      <alignment horizontal="center" vertical="center"/>
    </xf>
    <xf numFmtId="44" fontId="39" fillId="0" borderId="42" xfId="2" applyFont="1" applyBorder="1" applyAlignment="1">
      <alignment horizontal="left" vertical="center"/>
    </xf>
    <xf numFmtId="174" fontId="39" fillId="0" borderId="40" xfId="0" applyNumberFormat="1" applyFont="1" applyBorder="1" applyAlignment="1">
      <alignment horizontal="center" vertical="top"/>
    </xf>
    <xf numFmtId="0" fontId="39" fillId="0" borderId="41" xfId="0" applyFont="1" applyBorder="1" applyAlignment="1">
      <alignment horizontal="left" vertical="top" wrapText="1"/>
    </xf>
    <xf numFmtId="44" fontId="39" fillId="0" borderId="42" xfId="2" applyFont="1" applyBorder="1" applyAlignment="1">
      <alignment horizontal="left" vertical="top"/>
    </xf>
    <xf numFmtId="0" fontId="39" fillId="0" borderId="43" xfId="0" applyFont="1" applyBorder="1" applyAlignment="1">
      <alignment horizontal="left" vertical="center" wrapText="1"/>
    </xf>
    <xf numFmtId="44" fontId="39" fillId="0" borderId="44" xfId="2" applyFont="1" applyBorder="1" applyAlignment="1">
      <alignment horizontal="left" vertical="center"/>
    </xf>
    <xf numFmtId="0" fontId="39" fillId="0" borderId="46" xfId="0" applyFont="1" applyBorder="1" applyAlignment="1">
      <alignment horizontal="left" vertical="center" wrapText="1"/>
    </xf>
    <xf numFmtId="44" fontId="39" fillId="0" borderId="47" xfId="2" applyFont="1" applyBorder="1" applyAlignment="1">
      <alignment horizontal="left" vertical="center"/>
    </xf>
    <xf numFmtId="174" fontId="39" fillId="0" borderId="0" xfId="0" applyNumberFormat="1" applyFont="1" applyAlignment="1">
      <alignment horizontal="center" vertical="center"/>
    </xf>
    <xf numFmtId="0" fontId="39" fillId="0" borderId="0" xfId="0" applyFont="1" applyAlignment="1">
      <alignment horizontal="left" vertical="center" wrapText="1"/>
    </xf>
    <xf numFmtId="44" fontId="39" fillId="0" borderId="0" xfId="2" applyFont="1" applyBorder="1" applyAlignment="1">
      <alignment horizontal="left" vertical="center"/>
    </xf>
    <xf numFmtId="174" fontId="39" fillId="0" borderId="0" xfId="0" applyNumberFormat="1" applyFont="1" applyAlignment="1">
      <alignment horizontal="right"/>
    </xf>
    <xf numFmtId="174" fontId="39" fillId="0" borderId="0" xfId="0" applyNumberFormat="1" applyFont="1" applyAlignment="1">
      <alignment horizontal="right" vertical="top"/>
    </xf>
    <xf numFmtId="0" fontId="39" fillId="0" borderId="0" xfId="0" applyFont="1" applyAlignment="1">
      <alignment wrapText="1"/>
    </xf>
    <xf numFmtId="174" fontId="39" fillId="0" borderId="45" xfId="0" applyNumberFormat="1" applyFont="1" applyBorder="1" applyAlignment="1">
      <alignment horizontal="center" vertical="center"/>
    </xf>
    <xf numFmtId="42" fontId="0" fillId="0" borderId="0" xfId="0" applyNumberFormat="1"/>
    <xf numFmtId="0" fontId="34" fillId="0" borderId="66" xfId="10" applyFont="1" applyBorder="1" applyAlignment="1">
      <alignment vertical="center" wrapText="1"/>
    </xf>
    <xf numFmtId="0" fontId="35" fillId="0" borderId="0" xfId="10" applyFont="1" applyBorder="1" applyAlignment="1">
      <alignment vertical="center" wrapText="1"/>
    </xf>
    <xf numFmtId="14" fontId="0" fillId="0" borderId="0" xfId="0" applyNumberFormat="1" applyAlignment="1">
      <alignment horizontal="left" vertical="center"/>
    </xf>
    <xf numFmtId="0" fontId="29" fillId="19" borderId="59" xfId="0" applyFont="1" applyFill="1" applyBorder="1" applyAlignment="1">
      <alignment horizontal="left" vertical="center"/>
    </xf>
    <xf numFmtId="0" fontId="29" fillId="19" borderId="64" xfId="0" applyFont="1" applyFill="1" applyBorder="1" applyAlignment="1">
      <alignment horizontal="left" vertical="center" wrapText="1"/>
    </xf>
    <xf numFmtId="0" fontId="29" fillId="0" borderId="0" xfId="0" applyFont="1" applyAlignment="1">
      <alignment vertical="center"/>
    </xf>
    <xf numFmtId="0" fontId="0" fillId="0" borderId="67" xfId="0" applyBorder="1"/>
    <xf numFmtId="6" fontId="0" fillId="0" borderId="67" xfId="0" applyNumberFormat="1" applyBorder="1"/>
    <xf numFmtId="0" fontId="0" fillId="0" borderId="68" xfId="0" applyBorder="1" applyAlignment="1">
      <alignment wrapText="1"/>
    </xf>
    <xf numFmtId="42" fontId="29" fillId="19" borderId="70" xfId="0" applyNumberFormat="1" applyFont="1" applyFill="1" applyBorder="1" applyAlignment="1">
      <alignment horizontal="center" vertical="center"/>
    </xf>
    <xf numFmtId="42" fontId="29" fillId="19" borderId="72" xfId="0" applyNumberFormat="1" applyFont="1" applyFill="1" applyBorder="1" applyAlignment="1">
      <alignment horizontal="center" vertical="center"/>
    </xf>
    <xf numFmtId="6" fontId="29" fillId="19" borderId="70" xfId="0" applyNumberFormat="1" applyFont="1" applyFill="1" applyBorder="1" applyAlignment="1">
      <alignment horizontal="center" vertical="center"/>
    </xf>
    <xf numFmtId="6" fontId="0" fillId="23" borderId="67" xfId="0" applyNumberFormat="1" applyFill="1" applyBorder="1"/>
    <xf numFmtId="0" fontId="0" fillId="23" borderId="68" xfId="0" applyFill="1" applyBorder="1" applyAlignment="1">
      <alignment wrapText="1"/>
    </xf>
    <xf numFmtId="0" fontId="0" fillId="0" borderId="0" xfId="0" applyAlignment="1">
      <alignment vertical="center"/>
    </xf>
    <xf numFmtId="10" fontId="0" fillId="23" borderId="16" xfId="0" applyNumberFormat="1" applyFill="1" applyBorder="1" applyAlignment="1">
      <alignment horizontal="center"/>
    </xf>
    <xf numFmtId="10" fontId="0" fillId="23" borderId="32" xfId="0" applyNumberFormat="1" applyFill="1" applyBorder="1" applyAlignment="1">
      <alignment horizontal="center"/>
    </xf>
    <xf numFmtId="42" fontId="0" fillId="0" borderId="0" xfId="0" applyNumberFormat="1" applyAlignment="1">
      <alignment horizontal="left"/>
    </xf>
    <xf numFmtId="0" fontId="29" fillId="19" borderId="64" xfId="0" applyFont="1" applyFill="1" applyBorder="1" applyAlignment="1">
      <alignment horizontal="center" vertical="center"/>
    </xf>
    <xf numFmtId="42" fontId="0" fillId="5" borderId="0" xfId="0" applyNumberFormat="1" applyFill="1"/>
    <xf numFmtId="0" fontId="45" fillId="0" borderId="76" xfId="0" applyFont="1" applyBorder="1" applyAlignment="1">
      <alignment vertical="center"/>
    </xf>
    <xf numFmtId="0" fontId="17" fillId="0" borderId="0" xfId="10" applyFont="1" applyBorder="1" applyAlignment="1">
      <alignment vertical="center"/>
    </xf>
    <xf numFmtId="175" fontId="6" fillId="0" borderId="0" xfId="0" applyNumberFormat="1" applyFont="1" applyAlignment="1">
      <alignment horizontal="left"/>
    </xf>
    <xf numFmtId="0" fontId="6" fillId="0" borderId="0" xfId="0" applyFont="1" applyAlignment="1">
      <alignment vertical="center"/>
    </xf>
    <xf numFmtId="43" fontId="0" fillId="0" borderId="0" xfId="1" applyFont="1" applyProtection="1">
      <protection locked="0"/>
    </xf>
    <xf numFmtId="43" fontId="0" fillId="0" borderId="0" xfId="1" applyFont="1"/>
    <xf numFmtId="0" fontId="48" fillId="0" borderId="0" xfId="4" applyFont="1"/>
    <xf numFmtId="43" fontId="0" fillId="0" borderId="3" xfId="1" applyFont="1" applyBorder="1" applyProtection="1">
      <protection locked="0"/>
    </xf>
    <xf numFmtId="0" fontId="0" fillId="0" borderId="3" xfId="0" applyBorder="1" applyAlignment="1" applyProtection="1">
      <alignment horizontal="center"/>
      <protection locked="0"/>
    </xf>
    <xf numFmtId="43" fontId="0" fillId="0" borderId="65" xfId="1" applyFont="1" applyBorder="1" applyProtection="1">
      <protection locked="0"/>
    </xf>
    <xf numFmtId="0" fontId="0" fillId="0" borderId="65" xfId="0" applyBorder="1" applyAlignment="1" applyProtection="1">
      <alignment horizontal="center"/>
      <protection locked="0"/>
    </xf>
    <xf numFmtId="0" fontId="0" fillId="0" borderId="0" xfId="0" applyAlignment="1">
      <alignment vertical="top"/>
    </xf>
    <xf numFmtId="43" fontId="0" fillId="0" borderId="0" xfId="1" applyFont="1" applyAlignment="1">
      <alignment vertical="top"/>
    </xf>
    <xf numFmtId="44" fontId="6" fillId="0" borderId="0" xfId="2" applyFont="1"/>
    <xf numFmtId="44" fontId="0" fillId="0" borderId="0" xfId="2" applyFont="1" applyProtection="1">
      <protection locked="0"/>
    </xf>
    <xf numFmtId="44" fontId="0" fillId="0" borderId="4" xfId="2" applyFont="1" applyBorder="1" applyAlignment="1" applyProtection="1">
      <alignment horizontal="right"/>
      <protection locked="0"/>
    </xf>
    <xf numFmtId="44" fontId="0" fillId="4" borderId="4" xfId="2" applyFont="1" applyFill="1" applyBorder="1" applyAlignment="1" applyProtection="1">
      <alignment horizontal="right"/>
      <protection locked="0"/>
    </xf>
    <xf numFmtId="44" fontId="0" fillId="4" borderId="5" xfId="2" applyFont="1" applyFill="1" applyBorder="1" applyProtection="1">
      <protection locked="0"/>
    </xf>
    <xf numFmtId="44" fontId="0" fillId="0" borderId="75" xfId="2" applyFont="1" applyBorder="1" applyProtection="1">
      <protection locked="0"/>
    </xf>
    <xf numFmtId="44" fontId="6" fillId="5" borderId="0" xfId="2" applyFont="1" applyFill="1" applyAlignment="1">
      <alignment horizontal="center"/>
    </xf>
    <xf numFmtId="44" fontId="6" fillId="13" borderId="0" xfId="2" applyFont="1" applyFill="1" applyAlignment="1">
      <alignment horizontal="center"/>
    </xf>
    <xf numFmtId="44" fontId="6" fillId="10" borderId="0" xfId="2" applyFont="1" applyFill="1" applyAlignment="1">
      <alignment horizontal="center"/>
    </xf>
    <xf numFmtId="44" fontId="0" fillId="25" borderId="0" xfId="2" applyFont="1" applyFill="1" applyProtection="1">
      <protection locked="0"/>
    </xf>
    <xf numFmtId="44" fontId="0" fillId="0" borderId="3" xfId="2" applyFont="1" applyBorder="1" applyProtection="1">
      <protection locked="0"/>
    </xf>
    <xf numFmtId="44" fontId="0" fillId="0" borderId="65" xfId="2" applyFont="1" applyBorder="1" applyAlignment="1" applyProtection="1">
      <alignment horizontal="center"/>
      <protection locked="0"/>
    </xf>
    <xf numFmtId="44" fontId="0" fillId="0" borderId="0" xfId="2" applyFont="1" applyAlignment="1" applyProtection="1">
      <alignment horizontal="center"/>
      <protection locked="0"/>
    </xf>
    <xf numFmtId="44" fontId="0" fillId="4" borderId="3" xfId="2" applyFont="1" applyFill="1" applyBorder="1" applyAlignment="1" applyProtection="1">
      <alignment horizontal="right"/>
      <protection locked="0"/>
    </xf>
    <xf numFmtId="44" fontId="0" fillId="0" borderId="65" xfId="2" applyFont="1" applyBorder="1" applyProtection="1">
      <protection locked="0"/>
    </xf>
    <xf numFmtId="44" fontId="6" fillId="0" borderId="77" xfId="2" applyFont="1" applyBorder="1" applyAlignment="1" applyProtection="1">
      <alignment horizontal="right"/>
      <protection locked="0"/>
    </xf>
    <xf numFmtId="44" fontId="18" fillId="0" borderId="78" xfId="2" applyFont="1" applyBorder="1" applyAlignment="1">
      <alignment horizontal="left" vertical="top" shrinkToFit="1"/>
    </xf>
    <xf numFmtId="0" fontId="0" fillId="2" borderId="79" xfId="0" applyFill="1" applyBorder="1" applyAlignment="1" applyProtection="1">
      <alignment horizontal="center" vertical="top" wrapText="1"/>
      <protection locked="0"/>
    </xf>
    <xf numFmtId="43" fontId="0" fillId="2" borderId="79" xfId="1" applyFont="1" applyFill="1" applyBorder="1" applyAlignment="1" applyProtection="1">
      <alignment horizontal="center" vertical="top" wrapText="1"/>
      <protection locked="0"/>
    </xf>
    <xf numFmtId="44" fontId="0" fillId="2" borderId="79" xfId="2" applyFont="1" applyFill="1" applyBorder="1" applyAlignment="1" applyProtection="1">
      <alignment horizontal="center" vertical="top" wrapText="1"/>
      <protection locked="0"/>
    </xf>
    <xf numFmtId="44" fontId="0" fillId="2" borderId="80" xfId="2" applyFont="1" applyFill="1" applyBorder="1" applyAlignment="1" applyProtection="1">
      <alignment horizontal="center" vertical="top" wrapText="1"/>
      <protection locked="0"/>
    </xf>
    <xf numFmtId="44" fontId="0" fillId="2" borderId="81" xfId="2" applyFont="1" applyFill="1" applyBorder="1" applyAlignment="1" applyProtection="1">
      <alignment horizontal="center" vertical="top"/>
      <protection locked="0"/>
    </xf>
    <xf numFmtId="44" fontId="0" fillId="2" borderId="82" xfId="2" applyFont="1" applyFill="1" applyBorder="1" applyAlignment="1" applyProtection="1">
      <alignment horizontal="center" vertical="top"/>
      <protection locked="0"/>
    </xf>
    <xf numFmtId="0" fontId="0" fillId="0" borderId="19" xfId="0" applyBorder="1" applyAlignment="1">
      <alignment horizontal="right"/>
    </xf>
    <xf numFmtId="0" fontId="3" fillId="2" borderId="83" xfId="0" applyFont="1" applyFill="1" applyBorder="1" applyAlignment="1">
      <alignment vertical="top"/>
    </xf>
    <xf numFmtId="0" fontId="0" fillId="0" borderId="84" xfId="0" applyBorder="1" applyProtection="1">
      <protection locked="0"/>
    </xf>
    <xf numFmtId="0" fontId="0" fillId="2" borderId="85" xfId="0" applyFill="1" applyBorder="1" applyAlignment="1" applyProtection="1">
      <alignment horizontal="center" vertical="top" wrapText="1"/>
      <protection locked="0"/>
    </xf>
    <xf numFmtId="0" fontId="0" fillId="4" borderId="19" xfId="0" applyFill="1" applyBorder="1"/>
    <xf numFmtId="0" fontId="0" fillId="4" borderId="84" xfId="0" applyFill="1" applyBorder="1" applyProtection="1">
      <protection locked="0"/>
    </xf>
    <xf numFmtId="0" fontId="0" fillId="2" borderId="63" xfId="0" applyFill="1" applyBorder="1" applyProtection="1">
      <protection locked="0"/>
    </xf>
    <xf numFmtId="0" fontId="0" fillId="0" borderId="5" xfId="0" applyBorder="1" applyAlignment="1">
      <alignment wrapText="1"/>
    </xf>
    <xf numFmtId="0" fontId="0" fillId="2" borderId="81" xfId="0" applyFill="1" applyBorder="1" applyAlignment="1">
      <alignment vertical="top" wrapText="1"/>
    </xf>
    <xf numFmtId="0" fontId="0" fillId="4" borderId="5" xfId="0" applyFill="1" applyBorder="1" applyAlignment="1">
      <alignment wrapText="1"/>
    </xf>
    <xf numFmtId="42" fontId="29" fillId="19" borderId="69" xfId="0" applyNumberFormat="1" applyFont="1" applyFill="1" applyBorder="1" applyAlignment="1">
      <alignment horizontal="center" vertical="center"/>
    </xf>
    <xf numFmtId="170" fontId="29" fillId="19" borderId="69" xfId="0" applyNumberFormat="1" applyFont="1" applyFill="1" applyBorder="1" applyAlignment="1">
      <alignment horizontal="center" vertical="center"/>
    </xf>
    <xf numFmtId="0" fontId="4" fillId="0" borderId="86" xfId="4" quotePrefix="1" applyFill="1" applyBorder="1"/>
    <xf numFmtId="0" fontId="0" fillId="0" borderId="87" xfId="0" applyBorder="1" applyAlignment="1">
      <alignment horizontal="left"/>
    </xf>
    <xf numFmtId="42" fontId="0" fillId="0" borderId="87" xfId="1" applyNumberFormat="1" applyFont="1" applyFill="1" applyBorder="1" applyAlignment="1"/>
    <xf numFmtId="44" fontId="0" fillId="0" borderId="87" xfId="1" applyNumberFormat="1" applyFont="1" applyFill="1" applyBorder="1" applyAlignment="1"/>
    <xf numFmtId="10" fontId="0" fillId="0" borderId="88" xfId="0" applyNumberFormat="1" applyBorder="1" applyAlignment="1">
      <alignment horizontal="center"/>
    </xf>
    <xf numFmtId="44" fontId="0" fillId="0" borderId="87" xfId="2" applyFont="1" applyFill="1" applyBorder="1" applyAlignment="1"/>
    <xf numFmtId="0" fontId="0" fillId="0" borderId="86" xfId="0" quotePrefix="1" applyBorder="1"/>
    <xf numFmtId="0" fontId="29" fillId="19" borderId="86" xfId="0" applyFont="1" applyFill="1" applyBorder="1" applyAlignment="1">
      <alignment horizontal="center" vertical="center"/>
    </xf>
    <xf numFmtId="42" fontId="29" fillId="19" borderId="87" xfId="0" applyNumberFormat="1" applyFont="1" applyFill="1" applyBorder="1" applyAlignment="1">
      <alignment horizontal="center" vertical="center"/>
    </xf>
    <xf numFmtId="165" fontId="29" fillId="19" borderId="87" xfId="0" applyNumberFormat="1" applyFont="1" applyFill="1" applyBorder="1" applyAlignment="1">
      <alignment horizontal="center" vertical="center"/>
    </xf>
    <xf numFmtId="44" fontId="29" fillId="19" borderId="87" xfId="0" applyNumberFormat="1" applyFont="1" applyFill="1" applyBorder="1" applyAlignment="1">
      <alignment horizontal="center" vertical="center"/>
    </xf>
    <xf numFmtId="10" fontId="29" fillId="19" borderId="88" xfId="0" applyNumberFormat="1" applyFont="1" applyFill="1" applyBorder="1" applyAlignment="1">
      <alignment horizontal="center" vertical="center"/>
    </xf>
    <xf numFmtId="42" fontId="0" fillId="7" borderId="87" xfId="1" applyNumberFormat="1" applyFont="1" applyFill="1" applyBorder="1" applyAlignment="1"/>
    <xf numFmtId="44" fontId="0" fillId="0" borderId="87" xfId="2" applyFont="1" applyBorder="1" applyAlignment="1">
      <alignment horizontal="center"/>
    </xf>
    <xf numFmtId="167" fontId="0" fillId="0" borderId="87" xfId="2" applyNumberFormat="1" applyFont="1" applyBorder="1" applyAlignment="1">
      <alignment horizontal="center"/>
    </xf>
    <xf numFmtId="170" fontId="29" fillId="19" borderId="87" xfId="0" applyNumberFormat="1" applyFont="1" applyFill="1" applyBorder="1" applyAlignment="1">
      <alignment horizontal="center" vertical="center"/>
    </xf>
    <xf numFmtId="177" fontId="44" fillId="0" borderId="86" xfId="1" applyNumberFormat="1" applyFont="1" applyBorder="1" applyAlignment="1">
      <alignment horizontal="center"/>
    </xf>
    <xf numFmtId="177" fontId="44" fillId="0" borderId="86" xfId="1" applyNumberFormat="1" applyFont="1" applyFill="1" applyBorder="1" applyAlignment="1">
      <alignment horizontal="center"/>
    </xf>
    <xf numFmtId="44" fontId="0" fillId="0" borderId="87" xfId="2" applyFont="1" applyFill="1" applyBorder="1" applyAlignment="1">
      <alignment horizontal="center"/>
    </xf>
    <xf numFmtId="167" fontId="0" fillId="0" borderId="87" xfId="2" applyNumberFormat="1" applyFont="1" applyFill="1" applyBorder="1" applyAlignment="1">
      <alignment horizontal="center"/>
    </xf>
    <xf numFmtId="0" fontId="32" fillId="0" borderId="86" xfId="0" applyFont="1" applyBorder="1" applyAlignment="1">
      <alignment horizontal="right"/>
    </xf>
    <xf numFmtId="0" fontId="3" fillId="0" borderId="87" xfId="0" applyFont="1" applyBorder="1" applyAlignment="1">
      <alignment horizontal="left" vertical="center"/>
    </xf>
    <xf numFmtId="42" fontId="3" fillId="0" borderId="87" xfId="2" applyNumberFormat="1" applyFont="1" applyFill="1" applyBorder="1" applyAlignment="1">
      <alignment vertical="center"/>
    </xf>
    <xf numFmtId="0" fontId="0" fillId="0" borderId="87" xfId="0" applyBorder="1"/>
    <xf numFmtId="0" fontId="0" fillId="0" borderId="88" xfId="0" applyBorder="1"/>
    <xf numFmtId="0" fontId="0" fillId="25" borderId="0" xfId="0" applyFill="1"/>
    <xf numFmtId="0" fontId="0" fillId="27" borderId="0" xfId="0" applyFill="1"/>
    <xf numFmtId="0" fontId="0" fillId="22" borderId="0" xfId="0" applyFill="1"/>
    <xf numFmtId="0" fontId="0" fillId="28" borderId="0" xfId="0" applyFill="1"/>
    <xf numFmtId="164" fontId="29" fillId="6" borderId="75" xfId="1" applyNumberFormat="1" applyFont="1" applyFill="1" applyBorder="1" applyAlignment="1">
      <alignment horizontal="center" vertical="center"/>
    </xf>
    <xf numFmtId="44" fontId="20" fillId="0" borderId="64" xfId="2" applyFont="1" applyBorder="1"/>
    <xf numFmtId="0" fontId="20" fillId="0" borderId="83" xfId="0" applyFont="1" applyBorder="1"/>
    <xf numFmtId="165" fontId="20" fillId="0" borderId="83" xfId="0" applyNumberFormat="1" applyFont="1" applyBorder="1"/>
    <xf numFmtId="164" fontId="3" fillId="13" borderId="83" xfId="1" applyNumberFormat="1" applyFont="1" applyFill="1" applyBorder="1"/>
    <xf numFmtId="0" fontId="3" fillId="18" borderId="83" xfId="0" applyFont="1" applyFill="1" applyBorder="1" applyAlignment="1">
      <alignment horizontal="center"/>
    </xf>
    <xf numFmtId="164" fontId="0" fillId="18" borderId="83" xfId="1" applyNumberFormat="1" applyFont="1" applyFill="1" applyBorder="1"/>
    <xf numFmtId="0" fontId="0" fillId="0" borderId="65" xfId="0" applyBorder="1" applyAlignment="1">
      <alignment wrapText="1"/>
    </xf>
    <xf numFmtId="0" fontId="10" fillId="0" borderId="89" xfId="0" applyFont="1" applyBorder="1" applyAlignment="1">
      <alignment horizontal="left" vertical="center" wrapText="1"/>
    </xf>
    <xf numFmtId="0" fontId="11" fillId="0" borderId="89" xfId="0" applyFont="1" applyBorder="1" applyAlignment="1">
      <alignment horizontal="left" vertical="center" wrapText="1"/>
    </xf>
    <xf numFmtId="165" fontId="5" fillId="0" borderId="15" xfId="0" applyNumberFormat="1" applyFont="1" applyBorder="1" applyProtection="1">
      <protection locked="0"/>
    </xf>
    <xf numFmtId="44" fontId="0" fillId="0" borderId="90" xfId="2" applyFont="1" applyBorder="1" applyProtection="1">
      <protection locked="0"/>
    </xf>
    <xf numFmtId="43" fontId="0" fillId="0" borderId="65" xfId="1" applyFont="1" applyBorder="1" applyAlignment="1" applyProtection="1">
      <alignment horizontal="left"/>
      <protection locked="0"/>
    </xf>
    <xf numFmtId="43" fontId="0" fillId="4" borderId="3" xfId="1" applyFont="1" applyFill="1" applyBorder="1" applyProtection="1">
      <protection locked="0"/>
    </xf>
    <xf numFmtId="43" fontId="0" fillId="2" borderId="7" xfId="1" applyFont="1" applyFill="1" applyBorder="1" applyProtection="1">
      <protection locked="0"/>
    </xf>
    <xf numFmtId="44" fontId="28" fillId="0" borderId="78" xfId="2" applyFont="1" applyBorder="1" applyAlignment="1">
      <alignment horizontal="left" vertical="top" shrinkToFit="1"/>
    </xf>
    <xf numFmtId="0" fontId="0" fillId="4" borderId="3" xfId="0" applyFill="1" applyBorder="1" applyAlignment="1" applyProtection="1">
      <alignment horizontal="center" vertical="center"/>
      <protection locked="0"/>
    </xf>
    <xf numFmtId="0" fontId="0" fillId="2" borderId="7" xfId="0" applyFill="1" applyBorder="1" applyAlignment="1" applyProtection="1">
      <alignment horizontal="center"/>
      <protection locked="0"/>
    </xf>
    <xf numFmtId="0" fontId="0" fillId="0" borderId="22" xfId="0" applyBorder="1" applyAlignment="1">
      <alignment wrapText="1"/>
    </xf>
    <xf numFmtId="44" fontId="59" fillId="0" borderId="78" xfId="2" applyFont="1" applyBorder="1" applyAlignment="1">
      <alignment horizontal="left" vertical="top" shrinkToFit="1"/>
    </xf>
    <xf numFmtId="0" fontId="60" fillId="0" borderId="86" xfId="4" quotePrefix="1" applyFont="1" applyFill="1" applyBorder="1"/>
    <xf numFmtId="10" fontId="0" fillId="23" borderId="0" xfId="0" applyNumberFormat="1" applyFill="1" applyAlignment="1">
      <alignment horizontal="center"/>
    </xf>
    <xf numFmtId="10" fontId="0" fillId="23" borderId="13" xfId="0" applyNumberFormat="1" applyFill="1" applyBorder="1" applyAlignment="1">
      <alignment horizontal="center"/>
    </xf>
    <xf numFmtId="10" fontId="15" fillId="0" borderId="0" xfId="0" applyNumberFormat="1" applyFont="1" applyAlignment="1">
      <alignment horizontal="right"/>
    </xf>
    <xf numFmtId="10" fontId="15" fillId="0" borderId="0" xfId="0" applyNumberFormat="1" applyFont="1" applyAlignment="1">
      <alignment horizontal="right" vertical="center"/>
    </xf>
    <xf numFmtId="10" fontId="3" fillId="0" borderId="0" xfId="3" applyNumberFormat="1" applyFont="1" applyAlignment="1">
      <alignment horizontal="right"/>
    </xf>
    <xf numFmtId="0" fontId="15" fillId="0" borderId="0" xfId="0" applyFont="1" applyAlignment="1">
      <alignment horizontal="right"/>
    </xf>
    <xf numFmtId="0" fontId="0" fillId="0" borderId="91" xfId="0" applyBorder="1" applyAlignment="1">
      <alignment vertical="top"/>
    </xf>
    <xf numFmtId="0" fontId="0" fillId="0" borderId="92" xfId="0" applyBorder="1" applyAlignment="1">
      <alignment vertical="top"/>
    </xf>
    <xf numFmtId="0" fontId="0" fillId="0" borderId="93" xfId="0" applyBorder="1" applyAlignment="1">
      <alignment vertical="top"/>
    </xf>
    <xf numFmtId="0" fontId="10" fillId="0" borderId="97" xfId="0" applyFont="1" applyBorder="1" applyAlignment="1">
      <alignment horizontal="left" vertical="center" wrapText="1"/>
    </xf>
    <xf numFmtId="0" fontId="10" fillId="22" borderId="22" xfId="0" applyFont="1" applyFill="1" applyBorder="1" applyAlignment="1">
      <alignment horizontal="left"/>
    </xf>
    <xf numFmtId="0" fontId="11" fillId="4" borderId="98" xfId="0" applyFont="1" applyFill="1" applyBorder="1" applyAlignment="1">
      <alignment horizontal="left" wrapText="1"/>
    </xf>
    <xf numFmtId="0" fontId="10" fillId="0" borderId="100" xfId="0" applyFont="1" applyBorder="1" applyAlignment="1">
      <alignment horizontal="left" vertical="center" wrapText="1"/>
    </xf>
    <xf numFmtId="0" fontId="10" fillId="0" borderId="96" xfId="0" applyFont="1" applyBorder="1" applyAlignment="1">
      <alignment horizontal="left" vertical="center" wrapText="1"/>
    </xf>
    <xf numFmtId="0" fontId="11" fillId="4" borderId="94" xfId="0" applyFont="1" applyFill="1" applyBorder="1" applyAlignment="1">
      <alignment horizontal="left" wrapText="1"/>
    </xf>
    <xf numFmtId="0" fontId="10" fillId="0" borderId="101" xfId="0" applyFont="1" applyBorder="1" applyAlignment="1">
      <alignment horizontal="left" vertical="center" wrapText="1"/>
    </xf>
    <xf numFmtId="0" fontId="11" fillId="4" borderId="102" xfId="0" applyFont="1" applyFill="1" applyBorder="1" applyAlignment="1">
      <alignment horizontal="left" wrapText="1"/>
    </xf>
    <xf numFmtId="0" fontId="10" fillId="0" borderId="95" xfId="0" applyFont="1" applyBorder="1" applyAlignment="1">
      <alignment wrapText="1"/>
    </xf>
    <xf numFmtId="0" fontId="10" fillId="0" borderId="96" xfId="0" applyFont="1" applyBorder="1" applyAlignment="1">
      <alignment wrapText="1"/>
    </xf>
    <xf numFmtId="0" fontId="10" fillId="0" borderId="100" xfId="0" applyFont="1" applyBorder="1" applyAlignment="1">
      <alignment wrapText="1"/>
    </xf>
    <xf numFmtId="0" fontId="10" fillId="0" borderId="99" xfId="0" applyFont="1" applyBorder="1" applyAlignment="1">
      <alignment horizontal="left" vertical="center" wrapText="1"/>
    </xf>
    <xf numFmtId="0" fontId="61" fillId="4" borderId="99" xfId="0" applyFont="1" applyFill="1" applyBorder="1" applyAlignment="1">
      <alignment horizontal="center" wrapText="1"/>
    </xf>
    <xf numFmtId="0" fontId="0" fillId="0" borderId="65" xfId="0" applyBorder="1" applyAlignment="1" applyProtection="1">
      <alignment horizontal="center" vertical="center"/>
      <protection locked="0"/>
    </xf>
    <xf numFmtId="0" fontId="57" fillId="0" borderId="15" xfId="0" applyFont="1" applyBorder="1" applyProtection="1">
      <protection locked="0"/>
    </xf>
    <xf numFmtId="3" fontId="0" fillId="0" borderId="65" xfId="0" applyNumberFormat="1" applyBorder="1" applyAlignment="1" applyProtection="1">
      <alignment horizontal="left"/>
      <protection locked="0"/>
    </xf>
    <xf numFmtId="3" fontId="0" fillId="0" borderId="65" xfId="0" applyNumberFormat="1" applyBorder="1" applyAlignment="1" applyProtection="1">
      <alignment horizontal="right"/>
      <protection locked="0"/>
    </xf>
    <xf numFmtId="0" fontId="51" fillId="0" borderId="96" xfId="0" applyFont="1" applyBorder="1" applyAlignment="1">
      <alignment wrapText="1"/>
    </xf>
    <xf numFmtId="0" fontId="63" fillId="0" borderId="104" xfId="0" applyFont="1" applyBorder="1"/>
    <xf numFmtId="0" fontId="63" fillId="0" borderId="15" xfId="0" applyFont="1" applyBorder="1"/>
    <xf numFmtId="0" fontId="10" fillId="0" borderId="103" xfId="0" applyFont="1" applyBorder="1" applyAlignment="1">
      <alignment horizontal="left" vertical="center" wrapText="1"/>
    </xf>
    <xf numFmtId="0" fontId="57" fillId="0" borderId="0" xfId="0" applyFont="1" applyProtection="1">
      <protection locked="0"/>
    </xf>
    <xf numFmtId="0" fontId="57" fillId="0" borderId="84" xfId="0" applyFont="1" applyBorder="1" applyProtection="1">
      <protection locked="0"/>
    </xf>
    <xf numFmtId="0" fontId="57" fillId="2" borderId="85" xfId="0" applyFont="1" applyFill="1" applyBorder="1" applyAlignment="1" applyProtection="1">
      <alignment horizontal="center" vertical="top" wrapText="1"/>
      <protection locked="0"/>
    </xf>
    <xf numFmtId="0" fontId="65" fillId="0" borderId="15" xfId="0" applyFont="1" applyBorder="1" applyProtection="1">
      <protection locked="0"/>
    </xf>
    <xf numFmtId="0" fontId="57" fillId="4" borderId="84" xfId="0" applyFont="1" applyFill="1" applyBorder="1" applyProtection="1">
      <protection locked="0"/>
    </xf>
    <xf numFmtId="0" fontId="57" fillId="2" borderId="63" xfId="0" applyFont="1" applyFill="1" applyBorder="1" applyProtection="1">
      <protection locked="0"/>
    </xf>
    <xf numFmtId="0" fontId="0" fillId="0" borderId="65" xfId="0" applyBorder="1" applyAlignment="1" applyProtection="1">
      <alignment vertical="top"/>
      <protection locked="0"/>
    </xf>
    <xf numFmtId="44" fontId="0" fillId="0" borderId="30" xfId="2" applyFont="1" applyBorder="1" applyProtection="1">
      <protection locked="0"/>
    </xf>
    <xf numFmtId="43" fontId="0" fillId="0" borderId="15" xfId="1" applyFont="1" applyBorder="1" applyProtection="1">
      <protection locked="0"/>
    </xf>
    <xf numFmtId="43" fontId="0" fillId="0" borderId="0" xfId="0" applyNumberFormat="1"/>
    <xf numFmtId="43" fontId="0" fillId="0" borderId="0" xfId="1" applyFont="1" applyBorder="1"/>
    <xf numFmtId="0" fontId="61" fillId="29" borderId="105" xfId="0" applyFont="1" applyFill="1" applyBorder="1" applyAlignment="1">
      <alignment wrapText="1"/>
    </xf>
    <xf numFmtId="0" fontId="4" fillId="0" borderId="86" xfId="4" quotePrefix="1" applyBorder="1"/>
    <xf numFmtId="164" fontId="0" fillId="9" borderId="106" xfId="1" applyNumberFormat="1" applyFont="1" applyFill="1" applyBorder="1"/>
    <xf numFmtId="164" fontId="0" fillId="9" borderId="107" xfId="1" applyNumberFormat="1" applyFont="1" applyFill="1" applyBorder="1" applyAlignment="1">
      <alignment horizontal="center"/>
    </xf>
    <xf numFmtId="164" fontId="0" fillId="9" borderId="108" xfId="1" applyNumberFormat="1" applyFont="1" applyFill="1" applyBorder="1" applyAlignment="1">
      <alignment horizontal="center"/>
    </xf>
    <xf numFmtId="170" fontId="20" fillId="7" borderId="109" xfId="0" applyNumberFormat="1" applyFont="1" applyFill="1" applyBorder="1" applyAlignment="1">
      <alignment horizontal="right"/>
    </xf>
    <xf numFmtId="0" fontId="39" fillId="15" borderId="107" xfId="0" applyFont="1" applyFill="1" applyBorder="1"/>
    <xf numFmtId="167" fontId="39" fillId="15" borderId="107" xfId="0" applyNumberFormat="1" applyFont="1" applyFill="1" applyBorder="1"/>
    <xf numFmtId="0" fontId="43" fillId="16" borderId="110" xfId="0" quotePrefix="1" applyFont="1" applyFill="1" applyBorder="1" applyAlignment="1">
      <alignment vertical="center"/>
    </xf>
    <xf numFmtId="0" fontId="43" fillId="16" borderId="110" xfId="0" applyFont="1" applyFill="1" applyBorder="1" applyAlignment="1">
      <alignment vertical="center"/>
    </xf>
    <xf numFmtId="167" fontId="43" fillId="16" borderId="110" xfId="2" applyNumberFormat="1" applyFont="1" applyFill="1" applyBorder="1" applyAlignment="1">
      <alignment horizontal="center" vertical="center" wrapText="1"/>
    </xf>
    <xf numFmtId="43" fontId="3" fillId="17" borderId="109" xfId="1" applyFont="1" applyFill="1" applyBorder="1" applyAlignment="1">
      <alignment horizontal="center" vertical="center"/>
    </xf>
    <xf numFmtId="167" fontId="0" fillId="0" borderId="108" xfId="2" applyNumberFormat="1" applyFont="1" applyFill="1" applyBorder="1"/>
    <xf numFmtId="9" fontId="0" fillId="0" borderId="109" xfId="3" applyFont="1" applyFill="1" applyBorder="1" applyAlignment="1">
      <alignment horizontal="left"/>
    </xf>
    <xf numFmtId="0" fontId="0" fillId="0" borderId="111" xfId="0" applyBorder="1"/>
    <xf numFmtId="167" fontId="0" fillId="7" borderId="111" xfId="2" applyNumberFormat="1" applyFont="1" applyFill="1" applyBorder="1"/>
    <xf numFmtId="167" fontId="0" fillId="0" borderId="111" xfId="2" applyNumberFormat="1" applyFont="1" applyBorder="1"/>
    <xf numFmtId="167" fontId="0" fillId="0" borderId="113" xfId="2" applyNumberFormat="1" applyFont="1" applyBorder="1"/>
    <xf numFmtId="0" fontId="0" fillId="0" borderId="110" xfId="0" applyBorder="1"/>
    <xf numFmtId="44" fontId="0" fillId="0" borderId="110" xfId="0" applyNumberFormat="1" applyBorder="1"/>
    <xf numFmtId="0" fontId="0" fillId="0" borderId="108" xfId="0" applyBorder="1" applyProtection="1">
      <protection locked="0"/>
    </xf>
    <xf numFmtId="43" fontId="0" fillId="0" borderId="110" xfId="1" applyFont="1" applyBorder="1" applyProtection="1">
      <protection locked="0"/>
    </xf>
    <xf numFmtId="0" fontId="0" fillId="0" borderId="110" xfId="0" applyBorder="1" applyAlignment="1" applyProtection="1">
      <alignment horizontal="center"/>
      <protection locked="0"/>
    </xf>
    <xf numFmtId="44" fontId="0" fillId="0" borderId="110" xfId="2" applyFont="1" applyBorder="1" applyProtection="1">
      <protection locked="0"/>
    </xf>
    <xf numFmtId="44" fontId="0" fillId="0" borderId="106" xfId="2" applyFont="1" applyBorder="1" applyAlignment="1" applyProtection="1">
      <alignment horizontal="right"/>
      <protection locked="0"/>
    </xf>
    <xf numFmtId="0" fontId="6" fillId="0" borderId="115" xfId="0" applyFont="1" applyBorder="1" applyAlignment="1" applyProtection="1">
      <alignment horizontal="right"/>
      <protection locked="0"/>
    </xf>
    <xf numFmtId="0" fontId="0" fillId="0" borderId="116" xfId="0" applyBorder="1" applyAlignment="1">
      <alignment wrapText="1"/>
    </xf>
    <xf numFmtId="0" fontId="0" fillId="0" borderId="110" xfId="0" applyBorder="1" applyProtection="1">
      <protection locked="0"/>
    </xf>
    <xf numFmtId="44" fontId="0" fillId="0" borderId="106" xfId="2" applyFont="1" applyBorder="1" applyProtection="1">
      <protection locked="0"/>
    </xf>
    <xf numFmtId="0" fontId="0" fillId="22" borderId="108" xfId="0" applyFill="1" applyBorder="1" applyProtection="1">
      <protection locked="0"/>
    </xf>
    <xf numFmtId="0" fontId="0" fillId="22" borderId="110" xfId="0" applyFill="1" applyBorder="1" applyProtection="1">
      <protection locked="0"/>
    </xf>
    <xf numFmtId="44" fontId="0" fillId="22" borderId="110" xfId="2" applyFont="1" applyFill="1" applyBorder="1" applyProtection="1">
      <protection locked="0"/>
    </xf>
    <xf numFmtId="44" fontId="0" fillId="22" borderId="106" xfId="2" applyFont="1" applyFill="1" applyBorder="1" applyProtection="1">
      <protection locked="0"/>
    </xf>
    <xf numFmtId="44" fontId="0" fillId="0" borderId="116" xfId="2" applyFont="1" applyBorder="1" applyProtection="1">
      <protection locked="0"/>
    </xf>
    <xf numFmtId="44" fontId="0" fillId="0" borderId="110" xfId="2" applyFont="1" applyBorder="1" applyAlignment="1" applyProtection="1">
      <alignment horizontal="center"/>
      <protection locked="0"/>
    </xf>
    <xf numFmtId="0" fontId="0" fillId="0" borderId="110" xfId="0" applyBorder="1" applyAlignment="1" applyProtection="1">
      <alignment horizontal="left"/>
      <protection locked="0"/>
    </xf>
    <xf numFmtId="44" fontId="0" fillId="0" borderId="110" xfId="2" applyFont="1" applyBorder="1" applyAlignment="1" applyProtection="1">
      <alignment horizontal="left"/>
      <protection locked="0"/>
    </xf>
    <xf numFmtId="0" fontId="0" fillId="4" borderId="108" xfId="0" applyFill="1" applyBorder="1" applyProtection="1">
      <protection locked="0"/>
    </xf>
    <xf numFmtId="0" fontId="0" fillId="4" borderId="110" xfId="0" applyFill="1" applyBorder="1" applyProtection="1">
      <protection locked="0"/>
    </xf>
    <xf numFmtId="0" fontId="0" fillId="4" borderId="110" xfId="0" applyFill="1" applyBorder="1" applyAlignment="1" applyProtection="1">
      <alignment vertical="center"/>
      <protection locked="0"/>
    </xf>
    <xf numFmtId="44" fontId="0" fillId="4" borderId="110" xfId="2" applyFont="1" applyFill="1" applyBorder="1" applyAlignment="1" applyProtection="1">
      <alignment horizontal="right" vertical="center"/>
      <protection locked="0"/>
    </xf>
    <xf numFmtId="44" fontId="0" fillId="4" borderId="106" xfId="2" applyFont="1" applyFill="1" applyBorder="1" applyAlignment="1" applyProtection="1">
      <alignment horizontal="right"/>
      <protection locked="0"/>
    </xf>
    <xf numFmtId="44" fontId="8" fillId="4" borderId="110" xfId="2" applyFont="1" applyFill="1" applyBorder="1" applyAlignment="1" applyProtection="1">
      <alignment horizontal="right" vertical="center"/>
      <protection locked="0"/>
    </xf>
    <xf numFmtId="44" fontId="8" fillId="4" borderId="106" xfId="2" applyFont="1" applyFill="1" applyBorder="1" applyAlignment="1" applyProtection="1">
      <alignment horizontal="right"/>
      <protection locked="0"/>
    </xf>
    <xf numFmtId="44" fontId="0" fillId="4" borderId="110" xfId="2" applyFont="1" applyFill="1" applyBorder="1" applyAlignment="1" applyProtection="1">
      <alignment horizontal="center" vertical="center"/>
      <protection locked="0"/>
    </xf>
    <xf numFmtId="165" fontId="0" fillId="0" borderId="114" xfId="0" applyNumberFormat="1" applyBorder="1" applyAlignment="1" applyProtection="1">
      <alignment horizontal="right"/>
      <protection locked="0"/>
    </xf>
    <xf numFmtId="44" fontId="0" fillId="0" borderId="114" xfId="0" applyNumberFormat="1" applyBorder="1" applyProtection="1">
      <protection locked="0"/>
    </xf>
    <xf numFmtId="165" fontId="0" fillId="0" borderId="114" xfId="0" applyNumberFormat="1" applyBorder="1" applyProtection="1">
      <protection locked="0"/>
    </xf>
    <xf numFmtId="0" fontId="0" fillId="0" borderId="115" xfId="0" applyBorder="1"/>
    <xf numFmtId="165" fontId="0" fillId="0" borderId="116" xfId="0" applyNumberFormat="1" applyBorder="1" applyProtection="1">
      <protection locked="0"/>
    </xf>
    <xf numFmtId="0" fontId="0" fillId="0" borderId="114" xfId="0" applyBorder="1" applyProtection="1">
      <protection locked="0"/>
    </xf>
    <xf numFmtId="0" fontId="5" fillId="0" borderId="108" xfId="0" applyFont="1" applyBorder="1" applyProtection="1">
      <protection locked="0"/>
    </xf>
    <xf numFmtId="0" fontId="5" fillId="22" borderId="108" xfId="0" applyFont="1" applyFill="1" applyBorder="1" applyProtection="1">
      <protection locked="0"/>
    </xf>
    <xf numFmtId="43" fontId="0" fillId="22" borderId="110" xfId="1" applyFont="1" applyFill="1" applyBorder="1" applyProtection="1">
      <protection locked="0"/>
    </xf>
    <xf numFmtId="0" fontId="0" fillId="22" borderId="110" xfId="0" applyFill="1" applyBorder="1" applyAlignment="1" applyProtection="1">
      <alignment horizontal="center"/>
      <protection locked="0"/>
    </xf>
    <xf numFmtId="43" fontId="0" fillId="0" borderId="110" xfId="1" applyFont="1" applyBorder="1" applyAlignment="1" applyProtection="1">
      <alignment horizontal="left"/>
      <protection locked="0"/>
    </xf>
    <xf numFmtId="44" fontId="0" fillId="5" borderId="110" xfId="2" applyFont="1" applyFill="1" applyBorder="1" applyAlignment="1" applyProtection="1">
      <alignment horizontal="left"/>
      <protection locked="0"/>
    </xf>
    <xf numFmtId="43" fontId="0" fillId="4" borderId="110" xfId="1" applyFont="1" applyFill="1" applyBorder="1" applyProtection="1">
      <protection locked="0"/>
    </xf>
    <xf numFmtId="0" fontId="0" fillId="4" borderId="110" xfId="0" applyFill="1" applyBorder="1" applyAlignment="1" applyProtection="1">
      <alignment horizontal="center" vertical="center"/>
      <protection locked="0"/>
    </xf>
    <xf numFmtId="43" fontId="0" fillId="0" borderId="108" xfId="1" applyFont="1" applyBorder="1" applyProtection="1">
      <protection locked="0"/>
    </xf>
    <xf numFmtId="3" fontId="0" fillId="0" borderId="110" xfId="0" applyNumberFormat="1" applyBorder="1" applyProtection="1">
      <protection locked="0"/>
    </xf>
    <xf numFmtId="3" fontId="0" fillId="0" borderId="108" xfId="0" applyNumberFormat="1" applyBorder="1" applyProtection="1">
      <protection locked="0"/>
    </xf>
    <xf numFmtId="0" fontId="57" fillId="0" borderId="108" xfId="0" applyFont="1" applyBorder="1" applyProtection="1">
      <protection locked="0"/>
    </xf>
    <xf numFmtId="0" fontId="65" fillId="0" borderId="108" xfId="0" applyFont="1" applyBorder="1" applyProtection="1">
      <protection locked="0"/>
    </xf>
    <xf numFmtId="0" fontId="65" fillId="22" borderId="108" xfId="0" applyFont="1" applyFill="1" applyBorder="1" applyProtection="1">
      <protection locked="0"/>
    </xf>
    <xf numFmtId="0" fontId="10" fillId="0" borderId="111" xfId="0" applyFont="1" applyBorder="1" applyAlignment="1">
      <alignment vertical="center" wrapText="1"/>
    </xf>
    <xf numFmtId="44" fontId="0" fillId="0" borderId="115" xfId="2" applyFont="1" applyBorder="1" applyProtection="1">
      <protection locked="0"/>
    </xf>
    <xf numFmtId="0" fontId="0" fillId="0" borderId="110" xfId="0" applyBorder="1" applyAlignment="1" applyProtection="1">
      <alignment vertical="top"/>
      <protection locked="0"/>
    </xf>
    <xf numFmtId="44" fontId="0" fillId="0" borderId="110" xfId="2" applyFont="1" applyBorder="1" applyAlignment="1" applyProtection="1">
      <alignment horizontal="left" vertical="top"/>
      <protection locked="0"/>
    </xf>
    <xf numFmtId="0" fontId="57" fillId="4" borderId="108" xfId="0" applyFont="1" applyFill="1" applyBorder="1" applyProtection="1">
      <protection locked="0"/>
    </xf>
    <xf numFmtId="0" fontId="55" fillId="0" borderId="108" xfId="0" applyFont="1" applyBorder="1" applyProtection="1">
      <protection locked="0"/>
    </xf>
    <xf numFmtId="0" fontId="0" fillId="0" borderId="106" xfId="0" applyBorder="1" applyAlignment="1" applyProtection="1">
      <alignment horizontal="right"/>
      <protection locked="0"/>
    </xf>
    <xf numFmtId="0" fontId="6" fillId="0" borderId="117" xfId="0" applyFont="1" applyBorder="1" applyAlignment="1" applyProtection="1">
      <alignment horizontal="right"/>
      <protection locked="0"/>
    </xf>
    <xf numFmtId="0" fontId="0" fillId="0" borderId="106" xfId="0" applyBorder="1" applyProtection="1">
      <protection locked="0"/>
    </xf>
    <xf numFmtId="0" fontId="0" fillId="22" borderId="106" xfId="0" applyFill="1" applyBorder="1" applyProtection="1">
      <protection locked="0"/>
    </xf>
    <xf numFmtId="3" fontId="0" fillId="0" borderId="116" xfId="0" applyNumberFormat="1" applyBorder="1" applyProtection="1">
      <protection locked="0"/>
    </xf>
    <xf numFmtId="0" fontId="0" fillId="4" borderId="106" xfId="0" applyFill="1" applyBorder="1" applyAlignment="1" applyProtection="1">
      <alignment horizontal="right"/>
      <protection locked="0"/>
    </xf>
    <xf numFmtId="164" fontId="8" fillId="4" borderId="106" xfId="1" applyNumberFormat="1" applyFont="1" applyFill="1" applyBorder="1" applyAlignment="1" applyProtection="1">
      <alignment horizontal="right"/>
      <protection locked="0"/>
    </xf>
    <xf numFmtId="0" fontId="8" fillId="4" borderId="106" xfId="0" applyFont="1" applyFill="1" applyBorder="1" applyAlignment="1" applyProtection="1">
      <alignment horizontal="right"/>
      <protection locked="0"/>
    </xf>
    <xf numFmtId="10" fontId="0" fillId="4" borderId="106" xfId="0" applyNumberFormat="1" applyFill="1" applyBorder="1" applyAlignment="1" applyProtection="1">
      <alignment horizontal="right"/>
      <protection locked="0"/>
    </xf>
    <xf numFmtId="0" fontId="0" fillId="0" borderId="118" xfId="0" applyBorder="1"/>
    <xf numFmtId="0" fontId="5" fillId="0" borderId="106" xfId="0" applyFont="1" applyBorder="1" applyProtection="1">
      <protection locked="0"/>
    </xf>
    <xf numFmtId="44" fontId="0" fillId="0" borderId="107" xfId="2" applyFont="1" applyBorder="1" applyProtection="1">
      <protection locked="0"/>
    </xf>
    <xf numFmtId="0" fontId="10" fillId="7" borderId="108" xfId="0" applyFont="1" applyFill="1" applyBorder="1" applyAlignment="1">
      <alignment horizontal="center" vertical="center"/>
    </xf>
    <xf numFmtId="0" fontId="0" fillId="0" borderId="108" xfId="0" applyBorder="1" applyAlignment="1" applyProtection="1">
      <alignment horizontal="center" vertical="center"/>
      <protection locked="0"/>
    </xf>
    <xf numFmtId="9" fontId="0" fillId="4" borderId="116" xfId="3" applyFont="1" applyFill="1" applyBorder="1" applyAlignment="1" applyProtection="1">
      <alignment horizontal="left"/>
      <protection locked="0"/>
    </xf>
    <xf numFmtId="0" fontId="0" fillId="0" borderId="110" xfId="0" applyBorder="1" applyAlignment="1">
      <alignment wrapText="1"/>
    </xf>
    <xf numFmtId="0" fontId="0" fillId="0" borderId="110" xfId="0" applyBorder="1" applyAlignment="1">
      <alignment horizontal="left" wrapText="1"/>
    </xf>
    <xf numFmtId="14" fontId="0" fillId="0" borderId="110" xfId="0" applyNumberFormat="1" applyBorder="1" applyAlignment="1">
      <alignment horizontal="left" wrapText="1"/>
    </xf>
    <xf numFmtId="0" fontId="5" fillId="0" borderId="110" xfId="0" applyFont="1" applyBorder="1" applyProtection="1">
      <protection locked="0"/>
    </xf>
    <xf numFmtId="0" fontId="3" fillId="3" borderId="110" xfId="0" applyFont="1" applyFill="1" applyBorder="1" applyAlignment="1">
      <alignment horizontal="center" wrapText="1"/>
    </xf>
    <xf numFmtId="0" fontId="6" fillId="0" borderId="110" xfId="0" applyFont="1" applyBorder="1" applyAlignment="1">
      <alignment horizontal="left" vertical="top" wrapText="1"/>
    </xf>
    <xf numFmtId="0" fontId="10" fillId="0" borderId="110" xfId="0" applyFont="1" applyBorder="1" applyAlignment="1">
      <alignment horizontal="left" vertical="center"/>
    </xf>
    <xf numFmtId="0" fontId="0" fillId="4" borderId="110" xfId="0" applyFill="1" applyBorder="1" applyAlignment="1">
      <alignment wrapText="1"/>
    </xf>
    <xf numFmtId="0" fontId="0" fillId="4" borderId="110" xfId="0" applyFill="1" applyBorder="1" applyAlignment="1" applyProtection="1">
      <alignment horizontal="right" vertical="center"/>
      <protection locked="0"/>
    </xf>
    <xf numFmtId="0" fontId="8" fillId="4" borderId="110" xfId="0" applyFont="1" applyFill="1" applyBorder="1" applyAlignment="1" applyProtection="1">
      <alignment horizontal="right" vertical="center"/>
      <protection locked="0"/>
    </xf>
    <xf numFmtId="0" fontId="0" fillId="0" borderId="110" xfId="0" applyBorder="1" applyAlignment="1" applyProtection="1">
      <alignment wrapText="1"/>
      <protection locked="0"/>
    </xf>
    <xf numFmtId="44" fontId="10" fillId="7" borderId="110" xfId="2" applyFont="1" applyFill="1" applyBorder="1" applyAlignment="1">
      <alignment horizontal="center" vertical="center"/>
    </xf>
    <xf numFmtId="0" fontId="0" fillId="0" borderId="110" xfId="0" applyBorder="1" applyAlignment="1" applyProtection="1">
      <alignment horizontal="center" vertical="center"/>
      <protection locked="0"/>
    </xf>
    <xf numFmtId="165" fontId="0" fillId="0" borderId="110" xfId="0" applyNumberFormat="1" applyBorder="1" applyProtection="1">
      <protection locked="0"/>
    </xf>
    <xf numFmtId="0" fontId="6" fillId="0" borderId="110" xfId="0" applyFont="1" applyBorder="1" applyAlignment="1">
      <alignment horizontal="left" vertical="center" wrapText="1"/>
    </xf>
    <xf numFmtId="0" fontId="55" fillId="0" borderId="15" xfId="0" applyFont="1" applyBorder="1" applyAlignment="1" applyProtection="1">
      <alignment wrapText="1"/>
      <protection locked="0"/>
    </xf>
    <xf numFmtId="164" fontId="0" fillId="0" borderId="0" xfId="1" applyNumberFormat="1" applyFont="1" applyProtection="1">
      <protection locked="0"/>
    </xf>
    <xf numFmtId="164" fontId="0" fillId="0" borderId="3" xfId="1" applyNumberFormat="1" applyFont="1" applyBorder="1" applyProtection="1">
      <protection locked="0"/>
    </xf>
    <xf numFmtId="164" fontId="0" fillId="0" borderId="110" xfId="1" applyNumberFormat="1" applyFont="1" applyBorder="1" applyProtection="1">
      <protection locked="0"/>
    </xf>
    <xf numFmtId="164" fontId="0" fillId="0" borderId="65" xfId="1" applyNumberFormat="1" applyFont="1" applyBorder="1" applyProtection="1">
      <protection locked="0"/>
    </xf>
    <xf numFmtId="164" fontId="0" fillId="2" borderId="79" xfId="1" applyNumberFormat="1" applyFont="1" applyFill="1" applyBorder="1" applyAlignment="1" applyProtection="1">
      <alignment horizontal="center" vertical="top" wrapText="1"/>
      <protection locked="0"/>
    </xf>
    <xf numFmtId="164" fontId="0" fillId="22" borderId="110" xfId="1" applyNumberFormat="1" applyFont="1" applyFill="1" applyBorder="1" applyProtection="1">
      <protection locked="0"/>
    </xf>
    <xf numFmtId="164" fontId="0" fillId="0" borderId="65" xfId="1" applyNumberFormat="1" applyFont="1" applyBorder="1" applyAlignment="1" applyProtection="1">
      <alignment horizontal="left"/>
      <protection locked="0"/>
    </xf>
    <xf numFmtId="164" fontId="0" fillId="0" borderId="110" xfId="1" applyNumberFormat="1" applyFont="1" applyBorder="1" applyAlignment="1" applyProtection="1">
      <alignment horizontal="left"/>
      <protection locked="0"/>
    </xf>
    <xf numFmtId="164" fontId="0" fillId="4" borderId="3" xfId="1" applyNumberFormat="1" applyFont="1" applyFill="1" applyBorder="1" applyProtection="1">
      <protection locked="0"/>
    </xf>
    <xf numFmtId="164" fontId="0" fillId="4" borderId="110" xfId="1" applyNumberFormat="1" applyFont="1" applyFill="1" applyBorder="1" applyProtection="1">
      <protection locked="0"/>
    </xf>
    <xf numFmtId="164" fontId="0" fillId="2" borderId="7" xfId="1" applyNumberFormat="1" applyFont="1" applyFill="1" applyBorder="1" applyProtection="1">
      <protection locked="0"/>
    </xf>
    <xf numFmtId="2" fontId="0" fillId="0" borderId="110" xfId="0" applyNumberFormat="1" applyBorder="1" applyAlignment="1" applyProtection="1">
      <alignment horizontal="center"/>
      <protection locked="0"/>
    </xf>
    <xf numFmtId="2" fontId="0" fillId="0" borderId="65" xfId="0" applyNumberFormat="1" applyBorder="1" applyAlignment="1" applyProtection="1">
      <alignment horizontal="left"/>
      <protection locked="0"/>
    </xf>
    <xf numFmtId="0" fontId="0" fillId="0" borderId="27" xfId="0" applyBorder="1" applyAlignment="1" applyProtection="1">
      <alignment horizontal="center"/>
      <protection locked="0"/>
    </xf>
    <xf numFmtId="0" fontId="0" fillId="0" borderId="108" xfId="0" applyBorder="1" applyAlignment="1" applyProtection="1">
      <alignment vertical="top"/>
      <protection locked="0"/>
    </xf>
    <xf numFmtId="44" fontId="0" fillId="0" borderId="110" xfId="2" applyFont="1" applyBorder="1" applyAlignment="1" applyProtection="1">
      <alignment horizontal="center" vertical="top"/>
      <protection locked="0"/>
    </xf>
    <xf numFmtId="44" fontId="0" fillId="0" borderId="106" xfId="2" applyFont="1" applyBorder="1" applyAlignment="1" applyProtection="1">
      <alignment vertical="top"/>
      <protection locked="0"/>
    </xf>
    <xf numFmtId="0" fontId="0" fillId="0" borderId="60" xfId="0" applyBorder="1" applyAlignment="1">
      <alignment vertical="top"/>
    </xf>
    <xf numFmtId="164" fontId="0" fillId="0" borderId="110" xfId="1" applyNumberFormat="1" applyFont="1" applyBorder="1" applyAlignment="1" applyProtection="1">
      <alignment vertical="top"/>
      <protection locked="0"/>
    </xf>
    <xf numFmtId="164" fontId="0" fillId="0" borderId="110" xfId="1" applyNumberFormat="1" applyFont="1" applyBorder="1" applyAlignment="1" applyProtection="1">
      <alignment horizontal="left" vertical="top"/>
      <protection locked="0"/>
    </xf>
    <xf numFmtId="0" fontId="0" fillId="0" borderId="15" xfId="0" applyBorder="1" applyAlignment="1" applyProtection="1">
      <alignment vertical="top"/>
      <protection locked="0"/>
    </xf>
    <xf numFmtId="164" fontId="0" fillId="0" borderId="65" xfId="1" applyNumberFormat="1" applyFont="1" applyBorder="1" applyAlignment="1" applyProtection="1">
      <alignment horizontal="left" vertical="top"/>
      <protection locked="0"/>
    </xf>
    <xf numFmtId="44" fontId="0" fillId="5" borderId="0" xfId="2" applyFont="1" applyFill="1" applyProtection="1">
      <protection locked="0"/>
    </xf>
    <xf numFmtId="0" fontId="0" fillId="0" borderId="0" xfId="0" applyAlignment="1" applyProtection="1">
      <alignment horizontal="right" indent="1"/>
      <protection locked="0"/>
    </xf>
    <xf numFmtId="0" fontId="0" fillId="5" borderId="0" xfId="0" applyFill="1" applyAlignment="1" applyProtection="1">
      <alignment horizontal="right" indent="1"/>
      <protection locked="0"/>
    </xf>
    <xf numFmtId="0" fontId="0" fillId="25" borderId="0" xfId="0" applyFill="1" applyAlignment="1" applyProtection="1">
      <alignment horizontal="right" indent="1"/>
      <protection locked="0"/>
    </xf>
    <xf numFmtId="0" fontId="0" fillId="0" borderId="0" xfId="2" applyNumberFormat="1" applyFont="1" applyAlignment="1" applyProtection="1">
      <alignment horizontal="right" indent="1"/>
      <protection locked="0"/>
    </xf>
    <xf numFmtId="164" fontId="0" fillId="5" borderId="65" xfId="1" applyNumberFormat="1" applyFont="1" applyFill="1" applyBorder="1" applyAlignment="1" applyProtection="1">
      <alignment horizontal="left"/>
      <protection locked="0"/>
    </xf>
    <xf numFmtId="44" fontId="0" fillId="0" borderId="0" xfId="2" applyFont="1" applyAlignment="1" applyProtection="1">
      <alignment vertical="top"/>
      <protection locked="0"/>
    </xf>
    <xf numFmtId="44" fontId="0" fillId="4" borderId="5" xfId="2" applyFont="1" applyFill="1" applyBorder="1" applyAlignment="1" applyProtection="1">
      <alignment vertical="top"/>
      <protection locked="0"/>
    </xf>
    <xf numFmtId="0" fontId="0" fillId="2" borderId="1" xfId="0" applyFill="1" applyBorder="1" applyAlignment="1" applyProtection="1">
      <alignment vertical="top"/>
      <protection locked="0"/>
    </xf>
    <xf numFmtId="165" fontId="0" fillId="0" borderId="116" xfId="0" applyNumberFormat="1" applyBorder="1" applyAlignment="1" applyProtection="1">
      <alignment vertical="top"/>
      <protection locked="0"/>
    </xf>
    <xf numFmtId="0" fontId="0" fillId="0" borderId="0" xfId="0" applyAlignment="1" applyProtection="1">
      <alignment vertical="top"/>
      <protection locked="0"/>
    </xf>
    <xf numFmtId="0" fontId="0" fillId="0" borderId="30" xfId="0" applyBorder="1" applyAlignment="1">
      <alignment wrapText="1"/>
    </xf>
    <xf numFmtId="0" fontId="51" fillId="0" borderId="101" xfId="0" applyFont="1" applyBorder="1" applyAlignment="1">
      <alignment wrapText="1"/>
    </xf>
    <xf numFmtId="0" fontId="0" fillId="0" borderId="105" xfId="0" applyBorder="1" applyAlignment="1">
      <alignment wrapText="1"/>
    </xf>
    <xf numFmtId="0" fontId="57" fillId="0" borderId="108" xfId="0" applyFont="1" applyBorder="1" applyAlignment="1" applyProtection="1">
      <alignment wrapText="1"/>
      <protection locked="0"/>
    </xf>
    <xf numFmtId="0" fontId="10" fillId="0" borderId="116" xfId="0" quotePrefix="1" applyFont="1" applyBorder="1"/>
    <xf numFmtId="0" fontId="63" fillId="5" borderId="15" xfId="0" applyFont="1" applyFill="1" applyBorder="1"/>
    <xf numFmtId="44" fontId="0" fillId="22" borderId="121" xfId="2" applyFont="1" applyFill="1" applyBorder="1" applyAlignment="1" applyProtection="1">
      <alignment horizontal="left"/>
      <protection locked="0"/>
    </xf>
    <xf numFmtId="0" fontId="23" fillId="0" borderId="35" xfId="0" applyFont="1" applyBorder="1" applyAlignment="1">
      <alignment horizontal="center"/>
    </xf>
    <xf numFmtId="43" fontId="23" fillId="0" borderId="79" xfId="1" applyFont="1" applyBorder="1" applyAlignment="1">
      <alignment horizontal="center"/>
    </xf>
    <xf numFmtId="0" fontId="23" fillId="0" borderId="79" xfId="0" applyFont="1" applyBorder="1"/>
    <xf numFmtId="0" fontId="23" fillId="0" borderId="36" xfId="0" applyFont="1" applyBorder="1"/>
    <xf numFmtId="0" fontId="23" fillId="0" borderId="122" xfId="0" applyFont="1" applyBorder="1" applyAlignment="1">
      <alignment horizontal="center"/>
    </xf>
    <xf numFmtId="43" fontId="23" fillId="0" borderId="123" xfId="1" applyFont="1" applyBorder="1" applyAlignment="1">
      <alignment horizontal="center"/>
    </xf>
    <xf numFmtId="43" fontId="23" fillId="0" borderId="124" xfId="0" applyNumberFormat="1" applyFont="1" applyBorder="1"/>
    <xf numFmtId="0" fontId="23" fillId="0" borderId="125" xfId="0" applyFont="1" applyBorder="1" applyAlignment="1">
      <alignment horizontal="center"/>
    </xf>
    <xf numFmtId="43" fontId="23" fillId="0" borderId="126" xfId="1" applyFont="1" applyBorder="1" applyAlignment="1">
      <alignment horizontal="center" vertical="top"/>
    </xf>
    <xf numFmtId="43" fontId="23" fillId="0" borderId="126" xfId="1" applyFont="1" applyBorder="1" applyAlignment="1">
      <alignment horizontal="center"/>
    </xf>
    <xf numFmtId="43" fontId="23" fillId="0" borderId="127" xfId="0" applyNumberFormat="1" applyFont="1" applyBorder="1"/>
    <xf numFmtId="43" fontId="23" fillId="0" borderId="50" xfId="0" applyNumberFormat="1" applyFont="1" applyBorder="1"/>
    <xf numFmtId="0" fontId="23" fillId="0" borderId="0" xfId="0" applyFont="1" applyAlignment="1">
      <alignment horizontal="center"/>
    </xf>
    <xf numFmtId="43" fontId="23" fillId="0" borderId="0" xfId="1" applyFont="1" applyBorder="1" applyAlignment="1">
      <alignment horizontal="center"/>
    </xf>
    <xf numFmtId="0" fontId="23" fillId="0" borderId="128" xfId="0" applyFont="1" applyBorder="1" applyAlignment="1">
      <alignment horizontal="center"/>
    </xf>
    <xf numFmtId="43" fontId="23" fillId="0" borderId="129" xfId="1" applyFont="1" applyBorder="1" applyAlignment="1">
      <alignment horizontal="center"/>
    </xf>
    <xf numFmtId="43" fontId="23" fillId="0" borderId="130" xfId="0" applyNumberFormat="1" applyFont="1" applyBorder="1"/>
    <xf numFmtId="43" fontId="23" fillId="0" borderId="56" xfId="0" applyNumberFormat="1" applyFont="1" applyBorder="1"/>
    <xf numFmtId="0" fontId="66" fillId="0" borderId="15" xfId="0" applyFont="1" applyBorder="1" applyProtection="1">
      <protection locked="0"/>
    </xf>
    <xf numFmtId="0" fontId="0" fillId="0" borderId="15" xfId="0" applyBorder="1" applyAlignment="1" applyProtection="1">
      <alignment vertical="center"/>
      <protection locked="0"/>
    </xf>
    <xf numFmtId="0" fontId="23" fillId="0" borderId="128" xfId="0" applyFont="1" applyBorder="1" applyAlignment="1">
      <alignment horizontal="center" vertical="center"/>
    </xf>
    <xf numFmtId="43" fontId="23" fillId="0" borderId="129" xfId="1" applyFont="1" applyBorder="1" applyAlignment="1">
      <alignment horizontal="center" vertical="center"/>
    </xf>
    <xf numFmtId="43" fontId="23" fillId="0" borderId="130" xfId="0" applyNumberFormat="1" applyFont="1" applyBorder="1" applyAlignment="1">
      <alignment vertical="center"/>
    </xf>
    <xf numFmtId="43" fontId="23" fillId="0" borderId="56" xfId="0" applyNumberFormat="1" applyFont="1" applyBorder="1" applyAlignment="1">
      <alignment vertical="center"/>
    </xf>
    <xf numFmtId="43" fontId="23" fillId="0" borderId="57" xfId="0" applyNumberFormat="1" applyFont="1" applyBorder="1"/>
    <xf numFmtId="43" fontId="0" fillId="0" borderId="0" xfId="1" applyFont="1" applyAlignment="1" applyProtection="1">
      <alignment horizontal="right"/>
      <protection locked="0"/>
    </xf>
    <xf numFmtId="43" fontId="0" fillId="0" borderId="3" xfId="1" applyFont="1" applyBorder="1" applyAlignment="1" applyProtection="1">
      <alignment horizontal="right"/>
      <protection locked="0"/>
    </xf>
    <xf numFmtId="43" fontId="0" fillId="0" borderId="110" xfId="1" applyFont="1" applyBorder="1" applyAlignment="1" applyProtection="1">
      <alignment horizontal="right"/>
      <protection locked="0"/>
    </xf>
    <xf numFmtId="43" fontId="0" fillId="0" borderId="65" xfId="1" applyFont="1" applyBorder="1" applyAlignment="1" applyProtection="1">
      <alignment horizontal="right"/>
      <protection locked="0"/>
    </xf>
    <xf numFmtId="43" fontId="0" fillId="2" borderId="79" xfId="1" applyFont="1" applyFill="1" applyBorder="1" applyAlignment="1" applyProtection="1">
      <alignment horizontal="right" vertical="top" wrapText="1"/>
      <protection locked="0"/>
    </xf>
    <xf numFmtId="0" fontId="0" fillId="0" borderId="110" xfId="0" applyBorder="1" applyAlignment="1" applyProtection="1">
      <alignment horizontal="right"/>
      <protection locked="0"/>
    </xf>
    <xf numFmtId="0" fontId="0" fillId="22" borderId="110" xfId="0" applyFill="1" applyBorder="1" applyAlignment="1" applyProtection="1">
      <alignment horizontal="right"/>
      <protection locked="0"/>
    </xf>
    <xf numFmtId="0" fontId="0" fillId="0" borderId="65" xfId="0" applyBorder="1" applyAlignment="1" applyProtection="1">
      <alignment horizontal="right"/>
      <protection locked="0"/>
    </xf>
    <xf numFmtId="2" fontId="0" fillId="0" borderId="65" xfId="0" applyNumberFormat="1" applyBorder="1" applyAlignment="1" applyProtection="1">
      <alignment horizontal="right"/>
      <protection locked="0"/>
    </xf>
    <xf numFmtId="0" fontId="0" fillId="4" borderId="110" xfId="0" applyFill="1" applyBorder="1" applyAlignment="1" applyProtection="1">
      <alignment horizontal="right"/>
      <protection locked="0"/>
    </xf>
    <xf numFmtId="0" fontId="0" fillId="2" borderId="7" xfId="0" applyFill="1" applyBorder="1" applyAlignment="1" applyProtection="1">
      <alignment horizontal="right"/>
      <protection locked="0"/>
    </xf>
    <xf numFmtId="0" fontId="0" fillId="0" borderId="0" xfId="0" applyAlignment="1" applyProtection="1">
      <alignment horizontal="right"/>
      <protection locked="0"/>
    </xf>
    <xf numFmtId="0" fontId="0" fillId="0" borderId="65" xfId="0" applyBorder="1" applyAlignment="1" applyProtection="1">
      <alignment horizontal="left" vertical="top"/>
      <protection locked="0"/>
    </xf>
    <xf numFmtId="3" fontId="0" fillId="0" borderId="0" xfId="0" applyNumberFormat="1"/>
    <xf numFmtId="0" fontId="6" fillId="0" borderId="0" xfId="1" applyNumberFormat="1" applyFont="1" applyAlignment="1">
      <alignment horizontal="left" vertical="center" wrapText="1"/>
    </xf>
    <xf numFmtId="44" fontId="0" fillId="0" borderId="114" xfId="2" applyFont="1" applyBorder="1" applyProtection="1">
      <protection locked="0"/>
    </xf>
    <xf numFmtId="0" fontId="0" fillId="0" borderId="75" xfId="0" applyBorder="1" applyProtection="1">
      <protection locked="0"/>
    </xf>
    <xf numFmtId="0" fontId="57" fillId="0" borderId="30" xfId="0" applyFont="1" applyBorder="1" applyProtection="1">
      <protection locked="0"/>
    </xf>
    <xf numFmtId="0" fontId="0" fillId="0" borderId="30" xfId="0" applyBorder="1" applyProtection="1">
      <protection locked="0"/>
    </xf>
    <xf numFmtId="44" fontId="0" fillId="0" borderId="30" xfId="2" applyFont="1" applyBorder="1" applyAlignment="1" applyProtection="1">
      <alignment horizontal="center"/>
      <protection locked="0"/>
    </xf>
    <xf numFmtId="0" fontId="57" fillId="0" borderId="104" xfId="0" applyFont="1" applyBorder="1" applyProtection="1">
      <protection locked="0"/>
    </xf>
    <xf numFmtId="44" fontId="0" fillId="0" borderId="27" xfId="2" applyFont="1" applyBorder="1" applyAlignment="1" applyProtection="1">
      <alignment horizontal="center"/>
      <protection locked="0"/>
    </xf>
    <xf numFmtId="164" fontId="0" fillId="0" borderId="75" xfId="1" applyNumberFormat="1" applyFont="1" applyBorder="1" applyAlignment="1" applyProtection="1">
      <alignment horizontal="left"/>
      <protection locked="0"/>
    </xf>
    <xf numFmtId="44" fontId="0" fillId="0" borderId="108" xfId="2" applyFont="1" applyBorder="1" applyAlignment="1" applyProtection="1">
      <alignment horizontal="left"/>
      <protection locked="0"/>
    </xf>
    <xf numFmtId="0" fontId="6" fillId="22" borderId="22" xfId="0" applyFont="1" applyFill="1" applyBorder="1" applyAlignment="1">
      <alignment horizontal="left"/>
    </xf>
    <xf numFmtId="44" fontId="3" fillId="0" borderId="29" xfId="2" applyFont="1" applyBorder="1" applyAlignment="1" applyProtection="1">
      <alignment horizontal="right"/>
      <protection locked="0"/>
    </xf>
    <xf numFmtId="44" fontId="0" fillId="0" borderId="1" xfId="2" applyFont="1" applyBorder="1" applyProtection="1">
      <protection locked="0"/>
    </xf>
    <xf numFmtId="0" fontId="10" fillId="0" borderId="0" xfId="12"/>
    <xf numFmtId="0" fontId="10" fillId="32" borderId="0" xfId="12" applyFill="1" applyAlignment="1">
      <alignment horizontal="center"/>
    </xf>
    <xf numFmtId="0" fontId="10" fillId="32" borderId="13" xfId="12" applyFill="1" applyBorder="1"/>
    <xf numFmtId="44" fontId="10" fillId="32" borderId="12" xfId="12" applyNumberFormat="1" applyFill="1" applyBorder="1" applyAlignment="1">
      <alignment horizontal="center"/>
    </xf>
    <xf numFmtId="44" fontId="10" fillId="32" borderId="13" xfId="12" applyNumberFormat="1" applyFill="1" applyBorder="1" applyAlignment="1">
      <alignment horizontal="right"/>
    </xf>
    <xf numFmtId="0" fontId="69" fillId="5" borderId="16" xfId="12" applyFont="1" applyFill="1" applyBorder="1" applyAlignment="1">
      <alignment horizontal="center"/>
    </xf>
    <xf numFmtId="0" fontId="70" fillId="0" borderId="0" xfId="0" applyFont="1" applyAlignment="1">
      <alignment vertical="top" wrapText="1"/>
    </xf>
    <xf numFmtId="44" fontId="71" fillId="3" borderId="31" xfId="12" applyNumberFormat="1" applyFont="1" applyFill="1" applyBorder="1" applyAlignment="1">
      <alignment horizontal="center" vertical="center" wrapText="1"/>
    </xf>
    <xf numFmtId="37" fontId="71" fillId="5" borderId="32" xfId="12" applyNumberFormat="1" applyFont="1" applyFill="1" applyBorder="1" applyAlignment="1">
      <alignment horizontal="center" vertical="center"/>
    </xf>
    <xf numFmtId="44" fontId="10" fillId="32" borderId="31" xfId="12" applyNumberFormat="1" applyFill="1" applyBorder="1" applyAlignment="1">
      <alignment horizontal="center"/>
    </xf>
    <xf numFmtId="44" fontId="10" fillId="32" borderId="32" xfId="12" applyNumberFormat="1" applyFill="1" applyBorder="1" applyAlignment="1">
      <alignment horizontal="right"/>
    </xf>
    <xf numFmtId="0" fontId="72" fillId="5" borderId="83" xfId="12" applyFont="1" applyFill="1" applyBorder="1" applyAlignment="1">
      <alignment horizontal="center"/>
    </xf>
    <xf numFmtId="0" fontId="72" fillId="5" borderId="58" xfId="12" applyFont="1" applyFill="1" applyBorder="1" applyAlignment="1">
      <alignment horizontal="left"/>
    </xf>
    <xf numFmtId="44" fontId="72" fillId="5" borderId="34" xfId="12" applyNumberFormat="1" applyFont="1" applyFill="1" applyBorder="1" applyAlignment="1">
      <alignment horizontal="center"/>
    </xf>
    <xf numFmtId="0" fontId="20" fillId="0" borderId="51" xfId="12" applyFont="1" applyBorder="1" applyAlignment="1">
      <alignment horizontal="center"/>
    </xf>
    <xf numFmtId="0" fontId="7" fillId="0" borderId="51" xfId="12" applyFont="1" applyBorder="1" applyAlignment="1">
      <alignment horizontal="left"/>
    </xf>
    <xf numFmtId="165" fontId="20" fillId="0" borderId="51" xfId="12" applyNumberFormat="1" applyFont="1" applyBorder="1" applyAlignment="1">
      <alignment horizontal="right"/>
    </xf>
    <xf numFmtId="0" fontId="20" fillId="33" borderId="16" xfId="12" applyFont="1" applyFill="1" applyBorder="1" applyAlignment="1">
      <alignment horizontal="center"/>
    </xf>
    <xf numFmtId="0" fontId="20" fillId="33" borderId="16" xfId="12" applyFont="1" applyFill="1" applyBorder="1" applyAlignment="1">
      <alignment horizontal="left"/>
    </xf>
    <xf numFmtId="44" fontId="26" fillId="33" borderId="57" xfId="12" applyNumberFormat="1" applyFont="1" applyFill="1" applyBorder="1" applyAlignment="1">
      <alignment horizontal="center"/>
    </xf>
    <xf numFmtId="167" fontId="73" fillId="33" borderId="57" xfId="12" applyNumberFormat="1" applyFont="1" applyFill="1" applyBorder="1" applyAlignment="1">
      <alignment horizontal="right"/>
    </xf>
    <xf numFmtId="0" fontId="10" fillId="0" borderId="0" xfId="12" applyAlignment="1">
      <alignment vertical="center"/>
    </xf>
    <xf numFmtId="44" fontId="26" fillId="33" borderId="34" xfId="12" applyNumberFormat="1" applyFont="1" applyFill="1" applyBorder="1" applyAlignment="1">
      <alignment horizontal="center"/>
    </xf>
    <xf numFmtId="0" fontId="20" fillId="34" borderId="58" xfId="12" applyFont="1" applyFill="1" applyBorder="1" applyAlignment="1">
      <alignment horizontal="center"/>
    </xf>
    <xf numFmtId="0" fontId="20" fillId="34" borderId="58" xfId="12" applyFont="1" applyFill="1" applyBorder="1" applyAlignment="1">
      <alignment horizontal="left"/>
    </xf>
    <xf numFmtId="44" fontId="26" fillId="34" borderId="58" xfId="12" applyNumberFormat="1" applyFont="1" applyFill="1" applyBorder="1" applyAlignment="1">
      <alignment horizontal="center"/>
    </xf>
    <xf numFmtId="167" fontId="26" fillId="34" borderId="34" xfId="12" applyNumberFormat="1" applyFont="1" applyFill="1" applyBorder="1" applyAlignment="1">
      <alignment horizontal="right"/>
    </xf>
    <xf numFmtId="0" fontId="73" fillId="0" borderId="54" xfId="12" applyFont="1" applyBorder="1" applyAlignment="1">
      <alignment horizontal="center" vertical="center"/>
    </xf>
    <xf numFmtId="0" fontId="7" fillId="33" borderId="85" xfId="12" applyFont="1" applyFill="1" applyBorder="1" applyAlignment="1">
      <alignment horizontal="center"/>
    </xf>
    <xf numFmtId="0" fontId="7" fillId="33" borderId="58" xfId="12" applyFont="1" applyFill="1" applyBorder="1"/>
    <xf numFmtId="170" fontId="26" fillId="33" borderId="34" xfId="12" applyNumberFormat="1" applyFont="1" applyFill="1" applyBorder="1" applyAlignment="1">
      <alignment horizontal="right"/>
    </xf>
    <xf numFmtId="0" fontId="20" fillId="0" borderId="58" xfId="12" applyFont="1" applyBorder="1" applyAlignment="1">
      <alignment horizontal="center"/>
    </xf>
    <xf numFmtId="0" fontId="7" fillId="34" borderId="58" xfId="12" applyFont="1" applyFill="1" applyBorder="1" applyAlignment="1">
      <alignment horizontal="center"/>
    </xf>
    <xf numFmtId="0" fontId="7" fillId="34" borderId="54" xfId="12" applyFont="1" applyFill="1" applyBorder="1"/>
    <xf numFmtId="44" fontId="26" fillId="34" borderId="34" xfId="12" applyNumberFormat="1" applyFont="1" applyFill="1" applyBorder="1" applyAlignment="1">
      <alignment horizontal="center"/>
    </xf>
    <xf numFmtId="44" fontId="7" fillId="32" borderId="12" xfId="12" applyNumberFormat="1" applyFont="1" applyFill="1" applyBorder="1" applyAlignment="1">
      <alignment horizontal="center"/>
    </xf>
    <xf numFmtId="44" fontId="7" fillId="32" borderId="13" xfId="12" applyNumberFormat="1" applyFont="1" applyFill="1" applyBorder="1" applyAlignment="1">
      <alignment horizontal="right"/>
    </xf>
    <xf numFmtId="0" fontId="7" fillId="0" borderId="35" xfId="12" applyFont="1" applyBorder="1" applyAlignment="1">
      <alignment horizontal="center"/>
    </xf>
    <xf numFmtId="0" fontId="73" fillId="0" borderId="79" xfId="12" applyFont="1" applyBorder="1" applyAlignment="1">
      <alignment horizontal="center" vertical="center"/>
    </xf>
    <xf numFmtId="44" fontId="73" fillId="0" borderId="79" xfId="12" applyNumberFormat="1" applyFont="1" applyBorder="1"/>
    <xf numFmtId="6" fontId="73" fillId="0" borderId="36" xfId="12" applyNumberFormat="1" applyFont="1" applyBorder="1" applyAlignment="1">
      <alignment horizontal="right"/>
    </xf>
    <xf numFmtId="0" fontId="7" fillId="0" borderId="59" xfId="12" applyFont="1" applyBorder="1" applyAlignment="1">
      <alignment horizontal="center"/>
    </xf>
    <xf numFmtId="6" fontId="20" fillId="0" borderId="64" xfId="12" applyNumberFormat="1" applyFont="1" applyBorder="1" applyAlignment="1">
      <alignment horizontal="right"/>
    </xf>
    <xf numFmtId="0" fontId="20" fillId="0" borderId="110" xfId="12" applyFont="1" applyBorder="1"/>
    <xf numFmtId="0" fontId="7" fillId="0" borderId="113" xfId="12" applyFont="1" applyBorder="1" applyAlignment="1">
      <alignment horizontal="center"/>
    </xf>
    <xf numFmtId="180" fontId="20" fillId="0" borderId="73" xfId="12" applyNumberFormat="1" applyFont="1" applyBorder="1" applyAlignment="1">
      <alignment horizontal="right"/>
    </xf>
    <xf numFmtId="0" fontId="7" fillId="0" borderId="132" xfId="12" applyFont="1" applyBorder="1"/>
    <xf numFmtId="0" fontId="7" fillId="0" borderId="0" xfId="12" applyFont="1" applyAlignment="1">
      <alignment horizontal="center"/>
    </xf>
    <xf numFmtId="0" fontId="20" fillId="0" borderId="0" xfId="12" applyFont="1"/>
    <xf numFmtId="44" fontId="73" fillId="0" borderId="0" xfId="12" applyNumberFormat="1" applyFont="1"/>
    <xf numFmtId="180" fontId="20" fillId="0" borderId="0" xfId="12" applyNumberFormat="1" applyFont="1" applyAlignment="1">
      <alignment horizontal="right"/>
    </xf>
    <xf numFmtId="0" fontId="20" fillId="34" borderId="110" xfId="12" applyFont="1" applyFill="1" applyBorder="1" applyAlignment="1">
      <alignment horizontal="center"/>
    </xf>
    <xf numFmtId="0" fontId="73" fillId="34" borderId="110" xfId="12" applyFont="1" applyFill="1" applyBorder="1" applyAlignment="1">
      <alignment horizontal="center"/>
    </xf>
    <xf numFmtId="44" fontId="26" fillId="34" borderId="110" xfId="12" applyNumberFormat="1" applyFont="1" applyFill="1" applyBorder="1" applyAlignment="1">
      <alignment horizontal="center"/>
    </xf>
    <xf numFmtId="167" fontId="26" fillId="34" borderId="110" xfId="12" applyNumberFormat="1" applyFont="1" applyFill="1" applyBorder="1" applyAlignment="1">
      <alignment horizontal="center" wrapText="1"/>
    </xf>
    <xf numFmtId="0" fontId="10" fillId="0" borderId="0" xfId="12" applyAlignment="1">
      <alignment horizontal="center"/>
    </xf>
    <xf numFmtId="0" fontId="51" fillId="0" borderId="0" xfId="0" applyFont="1" applyAlignment="1">
      <alignment wrapText="1"/>
    </xf>
    <xf numFmtId="0" fontId="0" fillId="13" borderId="15" xfId="0" applyFill="1" applyBorder="1" applyProtection="1">
      <protection locked="0"/>
    </xf>
    <xf numFmtId="43" fontId="0" fillId="13" borderId="65" xfId="1" applyFont="1" applyFill="1" applyBorder="1" applyAlignment="1" applyProtection="1">
      <alignment horizontal="left"/>
      <protection locked="0"/>
    </xf>
    <xf numFmtId="44" fontId="0" fillId="13" borderId="110" xfId="2" applyFont="1" applyFill="1" applyBorder="1" applyAlignment="1" applyProtection="1">
      <alignment horizontal="left"/>
      <protection locked="0"/>
    </xf>
    <xf numFmtId="43" fontId="0" fillId="0" borderId="0" xfId="1" applyFont="1" applyBorder="1" applyAlignment="1">
      <alignment vertical="top"/>
    </xf>
    <xf numFmtId="44" fontId="0" fillId="2" borderId="133" xfId="2" applyFont="1" applyFill="1" applyBorder="1" applyAlignment="1" applyProtection="1">
      <alignment horizontal="center" vertical="top"/>
      <protection locked="0"/>
    </xf>
    <xf numFmtId="0" fontId="0" fillId="2" borderId="61" xfId="0" applyFill="1" applyBorder="1" applyProtection="1">
      <protection locked="0"/>
    </xf>
    <xf numFmtId="165" fontId="0" fillId="0" borderId="115" xfId="0" applyNumberFormat="1" applyBorder="1" applyProtection="1">
      <protection locked="0"/>
    </xf>
    <xf numFmtId="44" fontId="0" fillId="2" borderId="134" xfId="2" applyFont="1" applyFill="1" applyBorder="1" applyAlignment="1" applyProtection="1">
      <alignment horizontal="center" vertical="top"/>
      <protection locked="0"/>
    </xf>
    <xf numFmtId="44" fontId="0" fillId="4" borderId="135" xfId="2" applyFont="1" applyFill="1" applyBorder="1" applyProtection="1">
      <protection locked="0"/>
    </xf>
    <xf numFmtId="0" fontId="0" fillId="2" borderId="136" xfId="0" applyFill="1" applyBorder="1" applyProtection="1">
      <protection locked="0"/>
    </xf>
    <xf numFmtId="165" fontId="0" fillId="0" borderId="137" xfId="0" applyNumberFormat="1" applyBorder="1" applyProtection="1">
      <protection locked="0"/>
    </xf>
    <xf numFmtId="0" fontId="10" fillId="0" borderId="138" xfId="0" applyFont="1" applyBorder="1" applyAlignment="1">
      <alignment vertical="center" wrapText="1"/>
    </xf>
    <xf numFmtId="0" fontId="11" fillId="0" borderId="138" xfId="0" applyFont="1" applyBorder="1" applyAlignment="1">
      <alignment vertical="center" wrapText="1"/>
    </xf>
    <xf numFmtId="0" fontId="10" fillId="0" borderId="138" xfId="0" applyFont="1" applyBorder="1" applyAlignment="1">
      <alignment horizontal="left" vertical="center" wrapText="1" indent="1"/>
    </xf>
    <xf numFmtId="0" fontId="20" fillId="0" borderId="110" xfId="12" applyFont="1" applyBorder="1" applyAlignment="1">
      <alignment horizontal="center"/>
    </xf>
    <xf numFmtId="0" fontId="7" fillId="33" borderId="0" xfId="12" applyFont="1" applyFill="1" applyAlignment="1">
      <alignment horizontal="center"/>
    </xf>
    <xf numFmtId="0" fontId="7" fillId="33" borderId="0" xfId="12" applyFont="1" applyFill="1"/>
    <xf numFmtId="10" fontId="20" fillId="0" borderId="34" xfId="3" applyNumberFormat="1" applyFont="1" applyBorder="1" applyAlignment="1">
      <alignment horizontal="right"/>
    </xf>
    <xf numFmtId="10" fontId="15" fillId="0" borderId="0" xfId="3" applyNumberFormat="1" applyFont="1" applyAlignment="1">
      <alignment horizontal="right"/>
    </xf>
    <xf numFmtId="0" fontId="7" fillId="0" borderId="51" xfId="12" applyFont="1" applyBorder="1" applyAlignment="1">
      <alignment horizontal="center" vertical="top"/>
    </xf>
    <xf numFmtId="0" fontId="7" fillId="5" borderId="51" xfId="12" applyFont="1" applyFill="1" applyBorder="1" applyAlignment="1">
      <alignment vertical="top" wrapText="1"/>
    </xf>
    <xf numFmtId="167" fontId="20" fillId="5" borderId="51" xfId="12" applyNumberFormat="1" applyFont="1" applyFill="1" applyBorder="1" applyAlignment="1">
      <alignment horizontal="right"/>
    </xf>
    <xf numFmtId="166" fontId="73" fillId="5" borderId="132" xfId="12" applyNumberFormat="1" applyFont="1" applyFill="1" applyBorder="1" applyAlignment="1">
      <alignment horizontal="center" vertical="center"/>
    </xf>
    <xf numFmtId="166" fontId="73" fillId="5" borderId="56" xfId="12" applyNumberFormat="1" applyFont="1" applyFill="1" applyBorder="1" applyAlignment="1">
      <alignment horizontal="center" vertical="center"/>
    </xf>
    <xf numFmtId="2" fontId="0" fillId="0" borderId="110" xfId="0" applyNumberFormat="1" applyBorder="1" applyAlignment="1" applyProtection="1">
      <alignment horizontal="left"/>
      <protection locked="0"/>
    </xf>
    <xf numFmtId="0" fontId="1" fillId="0" borderId="15" xfId="0" applyFont="1" applyBorder="1" applyProtection="1">
      <protection locked="0"/>
    </xf>
    <xf numFmtId="0" fontId="0" fillId="13" borderId="65" xfId="0" applyFill="1" applyBorder="1" applyAlignment="1" applyProtection="1">
      <alignment horizontal="center"/>
      <protection locked="0"/>
    </xf>
    <xf numFmtId="44" fontId="0" fillId="0" borderId="0" xfId="0" applyNumberFormat="1" applyProtection="1">
      <protection locked="0"/>
    </xf>
    <xf numFmtId="44" fontId="0" fillId="5" borderId="131" xfId="0" applyNumberFormat="1" applyFill="1" applyBorder="1"/>
    <xf numFmtId="44" fontId="0" fillId="0" borderId="65" xfId="2" applyFont="1" applyBorder="1" applyAlignment="1" applyProtection="1">
      <alignment horizontal="left"/>
      <protection locked="0"/>
    </xf>
    <xf numFmtId="0" fontId="10" fillId="0" borderId="139" xfId="0" applyFont="1" applyBorder="1" applyAlignment="1">
      <alignment horizontal="left" vertical="center" wrapText="1" indent="1"/>
    </xf>
    <xf numFmtId="0" fontId="39" fillId="36" borderId="0" xfId="0" applyFont="1" applyFill="1"/>
    <xf numFmtId="0" fontId="0" fillId="0" borderId="55" xfId="0" applyBorder="1" applyAlignment="1">
      <alignment horizontal="center"/>
    </xf>
    <xf numFmtId="0" fontId="0" fillId="0" borderId="56" xfId="0" applyBorder="1" applyAlignment="1">
      <alignment horizontal="center"/>
    </xf>
    <xf numFmtId="0" fontId="0" fillId="0" borderId="57" xfId="0" applyBorder="1"/>
    <xf numFmtId="44" fontId="0" fillId="0" borderId="55" xfId="2" applyFont="1" applyBorder="1"/>
    <xf numFmtId="43" fontId="0" fillId="5" borderId="110" xfId="1" applyFont="1" applyFill="1" applyBorder="1" applyAlignment="1" applyProtection="1">
      <alignment horizontal="left"/>
      <protection locked="0"/>
    </xf>
    <xf numFmtId="0" fontId="0" fillId="5" borderId="110" xfId="0" applyFill="1" applyBorder="1" applyAlignment="1" applyProtection="1">
      <alignment horizontal="center"/>
      <protection locked="0"/>
    </xf>
    <xf numFmtId="10" fontId="15" fillId="5" borderId="0" xfId="0" applyNumberFormat="1" applyFont="1" applyFill="1" applyAlignment="1">
      <alignment horizontal="right"/>
    </xf>
    <xf numFmtId="167" fontId="0" fillId="0" borderId="0" xfId="0" applyNumberFormat="1"/>
    <xf numFmtId="44" fontId="29" fillId="19" borderId="87" xfId="2" applyFont="1" applyFill="1" applyBorder="1" applyAlignment="1">
      <alignment horizontal="center" vertical="center"/>
    </xf>
    <xf numFmtId="0" fontId="29" fillId="19" borderId="87" xfId="0" applyFont="1" applyFill="1" applyBorder="1" applyAlignment="1">
      <alignment horizontal="left" vertical="center"/>
    </xf>
    <xf numFmtId="44" fontId="0" fillId="10" borderId="116" xfId="2" applyFont="1" applyFill="1" applyBorder="1" applyProtection="1">
      <protection locked="0"/>
    </xf>
    <xf numFmtId="44" fontId="0" fillId="5" borderId="116" xfId="2" applyFont="1" applyFill="1" applyBorder="1" applyProtection="1">
      <protection locked="0"/>
    </xf>
    <xf numFmtId="44" fontId="0" fillId="0" borderId="0" xfId="2" applyFont="1" applyAlignment="1">
      <alignment vertical="top"/>
    </xf>
    <xf numFmtId="0" fontId="0" fillId="0" borderId="110" xfId="0" applyBorder="1" applyAlignment="1" applyProtection="1">
      <alignment horizontal="center" vertical="top"/>
      <protection locked="0"/>
    </xf>
    <xf numFmtId="165" fontId="0" fillId="0" borderId="114" xfId="0" applyNumberFormat="1" applyBorder="1" applyAlignment="1" applyProtection="1">
      <alignment vertical="top"/>
      <protection locked="0"/>
    </xf>
    <xf numFmtId="0" fontId="0" fillId="0" borderId="65" xfId="0" applyBorder="1" applyAlignment="1" applyProtection="1">
      <alignment horizontal="center" vertical="top"/>
      <protection locked="0"/>
    </xf>
    <xf numFmtId="44" fontId="3" fillId="0" borderId="0" xfId="2" applyFont="1" applyProtection="1">
      <protection locked="0"/>
    </xf>
    <xf numFmtId="0" fontId="76" fillId="37" borderId="0" xfId="0" applyFont="1" applyFill="1"/>
    <xf numFmtId="0" fontId="63" fillId="0" borderId="0" xfId="0" applyFont="1"/>
    <xf numFmtId="0" fontId="76" fillId="0" borderId="0" xfId="0" applyFont="1"/>
    <xf numFmtId="0" fontId="76" fillId="37" borderId="31" xfId="0" applyFont="1" applyFill="1" applyBorder="1"/>
    <xf numFmtId="0" fontId="63" fillId="37" borderId="16" xfId="0" applyFont="1" applyFill="1" applyBorder="1"/>
    <xf numFmtId="0" fontId="76" fillId="37" borderId="16" xfId="0" applyFont="1" applyFill="1" applyBorder="1"/>
    <xf numFmtId="0" fontId="63" fillId="37" borderId="32" xfId="0" applyFont="1" applyFill="1" applyBorder="1"/>
    <xf numFmtId="0" fontId="63" fillId="39" borderId="110" xfId="0" applyFont="1" applyFill="1" applyBorder="1"/>
    <xf numFmtId="0" fontId="63" fillId="39" borderId="108" xfId="0" applyFont="1" applyFill="1" applyBorder="1"/>
    <xf numFmtId="0" fontId="76" fillId="40" borderId="0" xfId="0" applyFont="1" applyFill="1"/>
    <xf numFmtId="0" fontId="76" fillId="41" borderId="27" xfId="0" applyFont="1" applyFill="1" applyBorder="1"/>
    <xf numFmtId="0" fontId="76" fillId="41" borderId="104" xfId="0" applyFont="1" applyFill="1" applyBorder="1"/>
    <xf numFmtId="0" fontId="76" fillId="42" borderId="104" xfId="0" applyFont="1" applyFill="1" applyBorder="1"/>
    <xf numFmtId="16" fontId="63" fillId="0" borderId="0" xfId="0" applyNumberFormat="1" applyFont="1"/>
    <xf numFmtId="0" fontId="63" fillId="0" borderId="110" xfId="0" applyFont="1" applyBorder="1"/>
    <xf numFmtId="0" fontId="63" fillId="43" borderId="108" xfId="0" applyFont="1" applyFill="1" applyBorder="1"/>
    <xf numFmtId="0" fontId="63" fillId="0" borderId="108" xfId="0" applyFont="1" applyBorder="1"/>
    <xf numFmtId="0" fontId="76" fillId="0" borderId="108" xfId="0" applyFont="1" applyBorder="1"/>
    <xf numFmtId="0" fontId="63" fillId="0" borderId="34" xfId="0" applyFont="1" applyBorder="1"/>
    <xf numFmtId="0" fontId="63" fillId="0" borderId="54" xfId="0" applyFont="1" applyBorder="1"/>
    <xf numFmtId="0" fontId="63" fillId="43" borderId="0" xfId="0" applyFont="1" applyFill="1"/>
    <xf numFmtId="0" fontId="63" fillId="43" borderId="34" xfId="0" applyFont="1" applyFill="1" applyBorder="1"/>
    <xf numFmtId="0" fontId="63" fillId="43" borderId="54" xfId="0" applyFont="1" applyFill="1" applyBorder="1"/>
    <xf numFmtId="0" fontId="63" fillId="0" borderId="57" xfId="0" applyFont="1" applyBorder="1"/>
    <xf numFmtId="0" fontId="63" fillId="0" borderId="32" xfId="0" applyFont="1" applyBorder="1"/>
    <xf numFmtId="0" fontId="63" fillId="43" borderId="32" xfId="0" applyFont="1" applyFill="1" applyBorder="1"/>
    <xf numFmtId="0" fontId="63" fillId="44" borderId="0" xfId="0" applyFont="1" applyFill="1"/>
    <xf numFmtId="0" fontId="63" fillId="44" borderId="9" xfId="0" applyFont="1" applyFill="1" applyBorder="1"/>
    <xf numFmtId="0" fontId="77" fillId="0" borderId="0" xfId="0" applyFont="1"/>
    <xf numFmtId="43" fontId="0" fillId="5" borderId="65" xfId="1" applyFont="1" applyFill="1" applyBorder="1" applyAlignment="1" applyProtection="1">
      <alignment horizontal="left"/>
      <protection locked="0"/>
    </xf>
    <xf numFmtId="0" fontId="0" fillId="5" borderId="65" xfId="0" applyFill="1" applyBorder="1" applyAlignment="1" applyProtection="1">
      <alignment horizontal="center"/>
      <protection locked="0"/>
    </xf>
    <xf numFmtId="0" fontId="6" fillId="0" borderId="116" xfId="0" quotePrefix="1" applyFont="1" applyBorder="1"/>
    <xf numFmtId="0" fontId="28" fillId="0" borderId="87" xfId="0" applyFont="1" applyBorder="1" applyAlignment="1">
      <alignment horizontal="left"/>
    </xf>
    <xf numFmtId="0" fontId="0" fillId="0" borderId="91" xfId="0" applyBorder="1" applyProtection="1">
      <protection locked="0"/>
    </xf>
    <xf numFmtId="0" fontId="0" fillId="0" borderId="22" xfId="0" applyBorder="1" applyAlignment="1" applyProtection="1">
      <alignment wrapText="1"/>
      <protection locked="0"/>
    </xf>
    <xf numFmtId="0" fontId="0" fillId="0" borderId="104" xfId="0" applyBorder="1" applyProtection="1">
      <protection locked="0"/>
    </xf>
    <xf numFmtId="0" fontId="0" fillId="0" borderId="140" xfId="0" applyBorder="1" applyProtection="1">
      <protection locked="0"/>
    </xf>
    <xf numFmtId="44" fontId="0" fillId="0" borderId="121" xfId="0" applyNumberFormat="1" applyBorder="1" applyProtection="1">
      <protection locked="0"/>
    </xf>
    <xf numFmtId="44" fontId="0" fillId="0" borderId="22" xfId="0" applyNumberFormat="1" applyBorder="1" applyProtection="1">
      <protection locked="0"/>
    </xf>
    <xf numFmtId="44" fontId="0" fillId="2" borderId="81" xfId="2" quotePrefix="1" applyFont="1" applyFill="1" applyBorder="1" applyAlignment="1" applyProtection="1">
      <alignment horizontal="center" vertical="top"/>
      <protection locked="0"/>
    </xf>
    <xf numFmtId="44" fontId="0" fillId="0" borderId="131" xfId="0" applyNumberFormat="1" applyBorder="1"/>
    <xf numFmtId="43" fontId="0" fillId="0" borderId="65" xfId="1" applyFont="1" applyFill="1" applyBorder="1" applyAlignment="1" applyProtection="1">
      <alignment horizontal="left"/>
      <protection locked="0"/>
    </xf>
    <xf numFmtId="44" fontId="0" fillId="0" borderId="110" xfId="2" applyFont="1" applyFill="1" applyBorder="1" applyAlignment="1" applyProtection="1">
      <alignment horizontal="left"/>
      <protection locked="0"/>
    </xf>
    <xf numFmtId="10" fontId="0" fillId="0" borderId="0" xfId="0" applyNumberFormat="1"/>
    <xf numFmtId="42" fontId="3" fillId="0" borderId="0" xfId="0" applyNumberFormat="1" applyFont="1" applyAlignment="1">
      <alignment horizontal="right"/>
    </xf>
    <xf numFmtId="167" fontId="39" fillId="0" borderId="0" xfId="2" applyNumberFormat="1" applyFont="1" applyAlignment="1">
      <alignment horizontal="left" vertical="top"/>
    </xf>
    <xf numFmtId="167" fontId="39" fillId="15" borderId="107" xfId="2" applyNumberFormat="1" applyFont="1" applyFill="1" applyBorder="1"/>
    <xf numFmtId="167" fontId="39" fillId="0" borderId="0" xfId="2" applyNumberFormat="1" applyFont="1"/>
    <xf numFmtId="167" fontId="39" fillId="0" borderId="39" xfId="2" applyNumberFormat="1" applyFont="1" applyBorder="1" applyAlignment="1">
      <alignment horizontal="left" vertical="center"/>
    </xf>
    <xf numFmtId="167" fontId="39" fillId="0" borderId="42" xfId="2" applyNumberFormat="1" applyFont="1" applyBorder="1" applyAlignment="1">
      <alignment horizontal="left" vertical="center"/>
    </xf>
    <xf numFmtId="167" fontId="39" fillId="0" borderId="44" xfId="2" applyNumberFormat="1" applyFont="1" applyBorder="1" applyAlignment="1">
      <alignment horizontal="left" vertical="center"/>
    </xf>
    <xf numFmtId="167" fontId="39" fillId="0" borderId="47" xfId="2" applyNumberFormat="1" applyFont="1" applyBorder="1" applyAlignment="1">
      <alignment horizontal="left" vertical="center"/>
    </xf>
    <xf numFmtId="167" fontId="39" fillId="0" borderId="0" xfId="2" applyNumberFormat="1" applyFont="1" applyAlignment="1">
      <alignment vertical="top"/>
    </xf>
    <xf numFmtId="167" fontId="39" fillId="0" borderId="144" xfId="2" applyNumberFormat="1" applyFont="1" applyBorder="1" applyAlignment="1">
      <alignment horizontal="left" vertical="center"/>
    </xf>
    <xf numFmtId="167" fontId="39" fillId="0" borderId="70" xfId="2" applyNumberFormat="1" applyFont="1" applyBorder="1" applyAlignment="1">
      <alignment horizontal="left" vertical="center"/>
    </xf>
    <xf numFmtId="44" fontId="39" fillId="0" borderId="0" xfId="3" applyNumberFormat="1" applyFont="1"/>
    <xf numFmtId="164" fontId="15" fillId="0" borderId="0" xfId="0" applyNumberFormat="1" applyFont="1" applyAlignment="1">
      <alignment horizontal="center" vertical="center"/>
    </xf>
    <xf numFmtId="178" fontId="0" fillId="0" borderId="0" xfId="0" applyNumberFormat="1"/>
    <xf numFmtId="42" fontId="0" fillId="0" borderId="145" xfId="1" applyNumberFormat="1" applyFont="1" applyFill="1" applyBorder="1" applyAlignment="1"/>
    <xf numFmtId="44" fontId="0" fillId="0" borderId="146" xfId="2" applyFont="1" applyFill="1" applyBorder="1" applyAlignment="1">
      <alignment horizontal="center"/>
    </xf>
    <xf numFmtId="44" fontId="0" fillId="0" borderId="146" xfId="1" applyNumberFormat="1" applyFont="1" applyFill="1" applyBorder="1" applyAlignment="1"/>
    <xf numFmtId="44" fontId="0" fillId="0" borderId="147" xfId="2" applyFont="1" applyFill="1" applyBorder="1" applyAlignment="1"/>
    <xf numFmtId="42" fontId="0" fillId="0" borderId="147" xfId="1" applyNumberFormat="1" applyFont="1" applyFill="1" applyBorder="1" applyAlignment="1"/>
    <xf numFmtId="42" fontId="0" fillId="0" borderId="126" xfId="1" applyNumberFormat="1" applyFont="1" applyFill="1" applyBorder="1" applyAlignment="1"/>
    <xf numFmtId="42" fontId="0" fillId="0" borderId="148" xfId="1" applyNumberFormat="1" applyFont="1" applyFill="1" applyBorder="1" applyAlignment="1"/>
    <xf numFmtId="42" fontId="0" fillId="0" borderId="34" xfId="1" applyNumberFormat="1" applyFont="1" applyFill="1" applyBorder="1" applyAlignment="1"/>
    <xf numFmtId="42" fontId="0" fillId="13" borderId="34" xfId="1" applyNumberFormat="1" applyFont="1" applyFill="1" applyBorder="1" applyAlignment="1"/>
    <xf numFmtId="44" fontId="20" fillId="0" borderId="110" xfId="12" applyNumberFormat="1" applyFont="1" applyBorder="1"/>
    <xf numFmtId="44" fontId="20" fillId="0" borderId="65" xfId="12" applyNumberFormat="1" applyFont="1" applyBorder="1"/>
    <xf numFmtId="0" fontId="10" fillId="0" borderId="110" xfId="12" applyBorder="1" applyAlignment="1">
      <alignment horizontal="center" vertical="top"/>
    </xf>
    <xf numFmtId="0" fontId="10" fillId="0" borderId="110" xfId="12" applyBorder="1" applyAlignment="1">
      <alignment vertical="top" wrapText="1"/>
    </xf>
    <xf numFmtId="0" fontId="10" fillId="0" borderId="110" xfId="12" applyBorder="1" applyAlignment="1">
      <alignment vertical="top"/>
    </xf>
    <xf numFmtId="44" fontId="10" fillId="0" borderId="110" xfId="2" applyFont="1" applyBorder="1" applyAlignment="1">
      <alignment vertical="top"/>
    </xf>
    <xf numFmtId="0" fontId="10" fillId="0" borderId="0" xfId="12" applyAlignment="1">
      <alignment vertical="top"/>
    </xf>
    <xf numFmtId="44" fontId="10" fillId="0" borderId="0" xfId="12" applyNumberFormat="1"/>
    <xf numFmtId="44" fontId="10" fillId="0" borderId="110" xfId="12" applyNumberFormat="1" applyBorder="1"/>
    <xf numFmtId="44" fontId="10" fillId="10" borderId="0" xfId="12" applyNumberFormat="1" applyFill="1"/>
    <xf numFmtId="42" fontId="10" fillId="0" borderId="0" xfId="12" applyNumberFormat="1"/>
    <xf numFmtId="167" fontId="10" fillId="0" borderId="0" xfId="12" applyNumberFormat="1"/>
    <xf numFmtId="9" fontId="0" fillId="0" borderId="0" xfId="3" applyFont="1"/>
    <xf numFmtId="179" fontId="0" fillId="0" borderId="0" xfId="3" applyNumberFormat="1" applyFont="1"/>
    <xf numFmtId="10" fontId="0" fillId="0" borderId="0" xfId="3" applyNumberFormat="1" applyFont="1"/>
    <xf numFmtId="9" fontId="10" fillId="0" borderId="0" xfId="3" applyFont="1"/>
    <xf numFmtId="0" fontId="0" fillId="0" borderId="149" xfId="0" applyBorder="1" applyAlignment="1" applyProtection="1">
      <alignment horizontal="center" vertical="center"/>
      <protection locked="0"/>
    </xf>
    <xf numFmtId="0" fontId="10" fillId="0" borderId="149" xfId="0" applyFont="1" applyBorder="1" applyAlignment="1">
      <alignment horizontal="left" vertical="center" wrapText="1"/>
    </xf>
    <xf numFmtId="0" fontId="10" fillId="0" borderId="149" xfId="0" applyFont="1" applyBorder="1" applyAlignment="1">
      <alignment wrapText="1"/>
    </xf>
    <xf numFmtId="167" fontId="0" fillId="0" borderId="0" xfId="2" applyNumberFormat="1" applyFont="1" applyProtection="1">
      <protection locked="0"/>
    </xf>
    <xf numFmtId="183" fontId="0" fillId="0" borderId="0" xfId="2" applyNumberFormat="1" applyFont="1" applyProtection="1">
      <protection locked="0"/>
    </xf>
    <xf numFmtId="167" fontId="0" fillId="0" borderId="0" xfId="0" applyNumberFormat="1" applyProtection="1">
      <protection locked="0"/>
    </xf>
    <xf numFmtId="42" fontId="1" fillId="0" borderId="87" xfId="1" applyNumberFormat="1" applyFont="1" applyFill="1" applyBorder="1" applyAlignment="1"/>
    <xf numFmtId="44" fontId="1" fillId="0" borderId="110" xfId="2" applyFont="1" applyBorder="1" applyAlignment="1">
      <alignment horizontal="center" wrapText="1"/>
    </xf>
    <xf numFmtId="0" fontId="10" fillId="0" borderId="0" xfId="0" applyFont="1" applyAlignment="1">
      <alignment horizontal="left" vertical="center" wrapText="1"/>
    </xf>
    <xf numFmtId="0" fontId="10" fillId="0" borderId="120" xfId="0" applyFont="1" applyBorder="1" applyAlignment="1">
      <alignment horizontal="left" vertical="center" wrapText="1"/>
    </xf>
    <xf numFmtId="0" fontId="61" fillId="29" borderId="105" xfId="0" applyFont="1" applyFill="1" applyBorder="1" applyAlignment="1">
      <alignment horizontal="center" wrapText="1"/>
    </xf>
    <xf numFmtId="0" fontId="51" fillId="0" borderId="97" xfId="0" applyFont="1" applyBorder="1" applyAlignment="1">
      <alignment wrapText="1"/>
    </xf>
    <xf numFmtId="0" fontId="51" fillId="0" borderId="149" xfId="0" applyFont="1" applyBorder="1" applyAlignment="1">
      <alignment wrapText="1"/>
    </xf>
    <xf numFmtId="44" fontId="1" fillId="0" borderId="110" xfId="2" applyFont="1" applyBorder="1" applyAlignment="1" applyProtection="1">
      <alignment horizontal="center"/>
      <protection locked="0"/>
    </xf>
    <xf numFmtId="44" fontId="1" fillId="0" borderId="106" xfId="2" applyFont="1" applyBorder="1" applyProtection="1">
      <protection locked="0"/>
    </xf>
    <xf numFmtId="44" fontId="1" fillId="0" borderId="110" xfId="2" applyFont="1" applyBorder="1" applyAlignment="1" applyProtection="1">
      <alignment horizontal="left"/>
      <protection locked="0"/>
    </xf>
    <xf numFmtId="44" fontId="1" fillId="0" borderId="110" xfId="2" applyFont="1" applyBorder="1" applyAlignment="1" applyProtection="1">
      <alignment horizontal="left" vertical="top"/>
      <protection locked="0"/>
    </xf>
    <xf numFmtId="43" fontId="1" fillId="0" borderId="65" xfId="1" applyFont="1" applyBorder="1" applyAlignment="1" applyProtection="1">
      <alignment horizontal="left"/>
      <protection locked="0"/>
    </xf>
    <xf numFmtId="164" fontId="1" fillId="0" borderId="65" xfId="1" applyNumberFormat="1" applyFont="1" applyBorder="1" applyAlignment="1" applyProtection="1">
      <alignment horizontal="left"/>
      <protection locked="0"/>
    </xf>
    <xf numFmtId="14" fontId="3" fillId="0" borderId="0" xfId="0" applyNumberFormat="1" applyFont="1" applyAlignment="1">
      <alignment horizontal="center"/>
    </xf>
    <xf numFmtId="0" fontId="0" fillId="13" borderId="0" xfId="0" applyFill="1" applyAlignment="1" applyProtection="1">
      <alignment horizontal="right" indent="1"/>
      <protection locked="0"/>
    </xf>
    <xf numFmtId="0" fontId="0" fillId="50" borderId="0" xfId="0" applyFill="1" applyAlignment="1" applyProtection="1">
      <alignment horizontal="right" indent="1"/>
      <protection locked="0"/>
    </xf>
    <xf numFmtId="44" fontId="0" fillId="13" borderId="0" xfId="2" applyFont="1" applyFill="1" applyProtection="1">
      <protection locked="0"/>
    </xf>
    <xf numFmtId="174" fontId="39" fillId="0" borderId="38" xfId="0" applyNumberFormat="1" applyFont="1" applyBorder="1" applyAlignment="1">
      <alignment horizontal="center" vertical="top"/>
    </xf>
    <xf numFmtId="167" fontId="0" fillId="0" borderId="87" xfId="2" applyNumberFormat="1" applyFont="1" applyFill="1" applyBorder="1" applyAlignment="1"/>
    <xf numFmtId="0" fontId="6" fillId="0" borderId="87" xfId="0" applyFont="1" applyBorder="1" applyAlignment="1">
      <alignment horizontal="left"/>
    </xf>
    <xf numFmtId="42" fontId="6" fillId="0" borderId="87" xfId="1" applyNumberFormat="1" applyFont="1" applyFill="1" applyBorder="1" applyAlignment="1"/>
    <xf numFmtId="0" fontId="6" fillId="5" borderId="87" xfId="0" applyFont="1" applyFill="1" applyBorder="1" applyAlignment="1">
      <alignment horizontal="left"/>
    </xf>
    <xf numFmtId="42" fontId="6" fillId="5" borderId="87" xfId="1" applyNumberFormat="1" applyFont="1" applyFill="1" applyBorder="1" applyAlignment="1"/>
    <xf numFmtId="0" fontId="0" fillId="0" borderId="145" xfId="0" applyBorder="1" applyAlignment="1">
      <alignment horizontal="left"/>
    </xf>
    <xf numFmtId="42" fontId="1" fillId="0" borderId="146" xfId="1" applyNumberFormat="1" applyFont="1" applyFill="1" applyBorder="1" applyAlignment="1"/>
    <xf numFmtId="42" fontId="1" fillId="0" borderId="147" xfId="1" applyNumberFormat="1" applyFont="1" applyFill="1" applyBorder="1" applyAlignment="1"/>
    <xf numFmtId="42" fontId="1" fillId="5" borderId="34" xfId="1" applyNumberFormat="1" applyFont="1" applyFill="1" applyBorder="1" applyAlignment="1"/>
    <xf numFmtId="44" fontId="0" fillId="0" borderId="116" xfId="2" applyFont="1" applyBorder="1" applyAlignment="1" applyProtection="1">
      <alignment horizontal="center"/>
      <protection locked="0"/>
    </xf>
    <xf numFmtId="42" fontId="3" fillId="0" borderId="0" xfId="0" applyNumberFormat="1" applyFont="1" applyAlignment="1">
      <alignment horizontal="center"/>
    </xf>
    <xf numFmtId="0" fontId="3" fillId="0" borderId="0" xfId="0" applyFont="1" applyAlignment="1">
      <alignment horizontal="center" wrapText="1"/>
    </xf>
    <xf numFmtId="182" fontId="0" fillId="0" borderId="0" xfId="0" applyNumberFormat="1"/>
    <xf numFmtId="0" fontId="3" fillId="0" borderId="12" xfId="0" applyFont="1" applyBorder="1" applyAlignment="1">
      <alignment horizontal="center"/>
    </xf>
    <xf numFmtId="10" fontId="0" fillId="0" borderId="12" xfId="0" applyNumberFormat="1" applyBorder="1"/>
    <xf numFmtId="0" fontId="0" fillId="0" borderId="31" xfId="0" applyBorder="1" applyAlignment="1">
      <alignment horizontal="left"/>
    </xf>
    <xf numFmtId="0" fontId="0" fillId="0" borderId="16" xfId="0" applyBorder="1"/>
    <xf numFmtId="0" fontId="0" fillId="0" borderId="16" xfId="0" applyBorder="1" applyAlignment="1">
      <alignment wrapText="1"/>
    </xf>
    <xf numFmtId="0" fontId="3" fillId="0" borderId="151" xfId="0" applyFont="1" applyBorder="1" applyAlignment="1">
      <alignment horizontal="center"/>
    </xf>
    <xf numFmtId="42" fontId="3" fillId="0" borderId="152" xfId="0" applyNumberFormat="1" applyFont="1" applyBorder="1" applyAlignment="1">
      <alignment horizontal="center"/>
    </xf>
    <xf numFmtId="0" fontId="3" fillId="0" borderId="152" xfId="0" applyFont="1" applyBorder="1" applyAlignment="1">
      <alignment horizontal="center"/>
    </xf>
    <xf numFmtId="0" fontId="3" fillId="0" borderId="152" xfId="0" applyFont="1" applyBorder="1" applyAlignment="1">
      <alignment horizontal="center" wrapText="1"/>
    </xf>
    <xf numFmtId="0" fontId="3" fillId="0" borderId="153" xfId="0" applyFont="1" applyBorder="1" applyAlignment="1">
      <alignment horizontal="center"/>
    </xf>
    <xf numFmtId="42" fontId="0" fillId="0" borderId="0" xfId="0" applyNumberFormat="1" applyAlignment="1">
      <alignment horizontal="right"/>
    </xf>
    <xf numFmtId="164" fontId="0" fillId="0" borderId="65" xfId="1" applyNumberFormat="1" applyFont="1" applyFill="1" applyBorder="1" applyAlignment="1" applyProtection="1">
      <alignment horizontal="left"/>
      <protection locked="0"/>
    </xf>
    <xf numFmtId="179" fontId="0" fillId="0" borderId="0" xfId="0" applyNumberFormat="1"/>
    <xf numFmtId="0" fontId="29" fillId="19" borderId="154" xfId="0" applyFont="1" applyFill="1" applyBorder="1" applyAlignment="1">
      <alignment horizontal="center" vertical="center"/>
    </xf>
    <xf numFmtId="44" fontId="0" fillId="0" borderId="155" xfId="2" applyFont="1" applyBorder="1" applyAlignment="1" applyProtection="1">
      <alignment horizontal="right"/>
      <protection locked="0"/>
    </xf>
    <xf numFmtId="44" fontId="0" fillId="0" borderId="155" xfId="2" applyFont="1" applyBorder="1" applyAlignment="1" applyProtection="1">
      <alignment horizontal="left"/>
      <protection locked="0"/>
    </xf>
    <xf numFmtId="0" fontId="0" fillId="0" borderId="156" xfId="0" applyBorder="1" applyProtection="1">
      <protection locked="0"/>
    </xf>
    <xf numFmtId="0" fontId="0" fillId="0" borderId="155" xfId="0" applyBorder="1" applyAlignment="1" applyProtection="1">
      <alignment horizontal="right"/>
      <protection locked="0"/>
    </xf>
    <xf numFmtId="44" fontId="0" fillId="0" borderId="155" xfId="2" applyFont="1" applyFill="1" applyBorder="1" applyAlignment="1" applyProtection="1">
      <alignment horizontal="left"/>
      <protection locked="0"/>
    </xf>
    <xf numFmtId="0" fontId="0" fillId="0" borderId="156" xfId="0" applyBorder="1" applyAlignment="1" applyProtection="1">
      <alignment vertical="top"/>
      <protection locked="0"/>
    </xf>
    <xf numFmtId="44" fontId="1" fillId="0" borderId="155" xfId="2" applyFont="1" applyBorder="1" applyAlignment="1" applyProtection="1">
      <alignment horizontal="left"/>
      <protection locked="0"/>
    </xf>
    <xf numFmtId="165" fontId="0" fillId="22" borderId="156" xfId="0" applyNumberFormat="1" applyFill="1" applyBorder="1" applyProtection="1">
      <protection locked="0"/>
    </xf>
    <xf numFmtId="0" fontId="20" fillId="0" borderId="154" xfId="12" applyFont="1" applyBorder="1"/>
    <xf numFmtId="44" fontId="20" fillId="0" borderId="154" xfId="12" applyNumberFormat="1" applyFont="1" applyBorder="1"/>
    <xf numFmtId="0" fontId="29" fillId="19" borderId="154" xfId="0" applyFont="1" applyFill="1" applyBorder="1" applyAlignment="1">
      <alignment horizontal="left" vertical="center"/>
    </xf>
    <xf numFmtId="0" fontId="29" fillId="19" borderId="157" xfId="0" applyFont="1" applyFill="1" applyBorder="1" applyAlignment="1">
      <alignment horizontal="center" vertical="center"/>
    </xf>
    <xf numFmtId="0" fontId="7" fillId="0" borderId="158" xfId="12" applyFont="1" applyBorder="1" applyAlignment="1">
      <alignment horizontal="center" vertical="top"/>
    </xf>
    <xf numFmtId="0" fontId="39" fillId="0" borderId="43" xfId="0" applyFont="1" applyBorder="1" applyAlignment="1">
      <alignment horizontal="left" vertical="top" wrapText="1"/>
    </xf>
    <xf numFmtId="167" fontId="39" fillId="0" borderId="44" xfId="2" applyNumberFormat="1" applyFont="1" applyFill="1" applyBorder="1" applyAlignment="1">
      <alignment horizontal="left" vertical="top"/>
    </xf>
    <xf numFmtId="167" fontId="39" fillId="0" borderId="70" xfId="2" applyNumberFormat="1" applyFont="1" applyBorder="1" applyAlignment="1">
      <alignment horizontal="left" vertical="top"/>
    </xf>
    <xf numFmtId="0" fontId="39" fillId="0" borderId="0" xfId="0" quotePrefix="1" applyFont="1" applyAlignment="1">
      <alignment horizontal="left" vertical="center"/>
    </xf>
    <xf numFmtId="43" fontId="39" fillId="0" borderId="0" xfId="1" applyFont="1" applyAlignment="1">
      <alignment horizontal="left" vertical="top"/>
    </xf>
    <xf numFmtId="43" fontId="41" fillId="0" borderId="0" xfId="1" applyFont="1" applyAlignment="1">
      <alignment horizontal="left" vertical="top"/>
    </xf>
    <xf numFmtId="43" fontId="41" fillId="0" borderId="0" xfId="1" applyFont="1"/>
    <xf numFmtId="43" fontId="39" fillId="0" borderId="0" xfId="1" applyFont="1"/>
    <xf numFmtId="43" fontId="39" fillId="0" borderId="0" xfId="1" applyFont="1" applyAlignment="1">
      <alignment horizontal="left" vertical="center"/>
    </xf>
    <xf numFmtId="44" fontId="39" fillId="0" borderId="0" xfId="2" applyFont="1" applyAlignment="1">
      <alignment horizontal="left" vertical="center"/>
    </xf>
    <xf numFmtId="44" fontId="39" fillId="0" borderId="0" xfId="0" applyNumberFormat="1" applyFont="1" applyAlignment="1">
      <alignment horizontal="left" vertical="top"/>
    </xf>
    <xf numFmtId="167" fontId="39" fillId="5" borderId="42" xfId="2" applyNumberFormat="1" applyFont="1" applyFill="1" applyBorder="1" applyAlignment="1">
      <alignment horizontal="left" vertical="center"/>
    </xf>
    <xf numFmtId="167" fontId="39" fillId="5" borderId="44" xfId="2" applyNumberFormat="1" applyFont="1" applyFill="1" applyBorder="1" applyAlignment="1">
      <alignment horizontal="left" vertical="center"/>
    </xf>
    <xf numFmtId="0" fontId="20" fillId="17" borderId="16" xfId="5" applyFont="1" applyFill="1" applyBorder="1" applyAlignment="1">
      <alignment horizontal="center"/>
    </xf>
    <xf numFmtId="0" fontId="20" fillId="17" borderId="16" xfId="5" applyFont="1" applyFill="1" applyBorder="1" applyAlignment="1">
      <alignment horizontal="left"/>
    </xf>
    <xf numFmtId="44" fontId="26" fillId="17" borderId="57" xfId="5" applyNumberFormat="1" applyFont="1" applyFill="1" applyBorder="1" applyAlignment="1">
      <alignment horizontal="center" vertical="center"/>
    </xf>
    <xf numFmtId="167" fontId="26" fillId="17" borderId="52" xfId="5" applyNumberFormat="1" applyFont="1" applyFill="1" applyBorder="1" applyAlignment="1">
      <alignment horizontal="right"/>
    </xf>
    <xf numFmtId="0" fontId="20" fillId="0" borderId="58" xfId="5" applyFont="1" applyBorder="1" applyAlignment="1">
      <alignment horizontal="center" vertical="center"/>
    </xf>
    <xf numFmtId="0" fontId="73" fillId="0" borderId="54" xfId="5" applyFont="1" applyBorder="1" applyAlignment="1">
      <alignment horizontal="left" vertical="center"/>
    </xf>
    <xf numFmtId="44" fontId="20" fillId="0" borderId="34" xfId="5" applyNumberFormat="1" applyFont="1" applyBorder="1" applyAlignment="1">
      <alignment horizontal="center" vertical="center"/>
    </xf>
    <xf numFmtId="44" fontId="20" fillId="0" borderId="34" xfId="5" applyNumberFormat="1" applyFont="1" applyBorder="1" applyAlignment="1">
      <alignment horizontal="right" vertical="center"/>
    </xf>
    <xf numFmtId="44" fontId="7" fillId="0" borderId="52" xfId="5" applyNumberFormat="1" applyBorder="1" applyAlignment="1"/>
    <xf numFmtId="44" fontId="20" fillId="0" borderId="34" xfId="5" applyNumberFormat="1" applyFont="1" applyBorder="1" applyAlignment="1">
      <alignment horizontal="right"/>
    </xf>
    <xf numFmtId="0" fontId="7" fillId="0" borderId="109" xfId="12" applyFont="1" applyBorder="1" applyAlignment="1">
      <alignment horizontal="center" vertical="top"/>
    </xf>
    <xf numFmtId="44" fontId="7" fillId="0" borderId="34" xfId="12" applyNumberFormat="1" applyFont="1" applyBorder="1"/>
    <xf numFmtId="44" fontId="7" fillId="0" borderId="58" xfId="5" applyNumberFormat="1" applyBorder="1" applyAlignment="1">
      <alignment horizontal="center"/>
    </xf>
    <xf numFmtId="0" fontId="7" fillId="5" borderId="35" xfId="5" applyFill="1" applyBorder="1" applyAlignment="1">
      <alignment horizontal="center"/>
    </xf>
    <xf numFmtId="0" fontId="73" fillId="5" borderId="80" xfId="5" applyFont="1" applyFill="1" applyBorder="1" applyAlignment="1">
      <alignment horizontal="center" vertical="center"/>
    </xf>
    <xf numFmtId="44" fontId="73" fillId="5" borderId="34" xfId="5" applyNumberFormat="1" applyFont="1" applyFill="1" applyBorder="1" applyAlignment="1">
      <alignment horizontal="center" vertical="center"/>
    </xf>
    <xf numFmtId="44" fontId="73" fillId="5" borderId="34" xfId="5" applyNumberFormat="1" applyFont="1" applyFill="1" applyBorder="1" applyAlignment="1">
      <alignment horizontal="center" vertical="center" wrapText="1"/>
    </xf>
    <xf numFmtId="0" fontId="7" fillId="5" borderId="55" xfId="5" applyFill="1" applyBorder="1" applyAlignment="1">
      <alignment horizontal="center"/>
    </xf>
    <xf numFmtId="0" fontId="73" fillId="5" borderId="132" xfId="5" applyFont="1" applyFill="1" applyBorder="1" applyAlignment="1">
      <alignment horizontal="center" vertical="center"/>
    </xf>
    <xf numFmtId="0" fontId="73" fillId="5" borderId="159" xfId="5" applyFont="1" applyFill="1" applyBorder="1" applyAlignment="1">
      <alignment horizontal="center" vertical="center"/>
    </xf>
    <xf numFmtId="15" fontId="73" fillId="5" borderId="34" xfId="5" applyNumberFormat="1" applyFont="1" applyFill="1" applyBorder="1" applyAlignment="1">
      <alignment horizontal="center" vertical="center"/>
    </xf>
    <xf numFmtId="0" fontId="7" fillId="17" borderId="55" xfId="5" applyFill="1" applyBorder="1" applyAlignment="1">
      <alignment horizontal="center"/>
    </xf>
    <xf numFmtId="0" fontId="73" fillId="17" borderId="159" xfId="5" applyFont="1" applyFill="1" applyBorder="1" applyAlignment="1">
      <alignment horizontal="center" vertical="center"/>
    </xf>
    <xf numFmtId="15" fontId="73" fillId="17" borderId="34" xfId="5" applyNumberFormat="1" applyFont="1" applyFill="1" applyBorder="1" applyAlignment="1">
      <alignment horizontal="center" vertical="center"/>
    </xf>
    <xf numFmtId="15" fontId="73" fillId="17" borderId="57" xfId="5" applyNumberFormat="1" applyFont="1" applyFill="1" applyBorder="1" applyAlignment="1">
      <alignment horizontal="center" vertical="center"/>
    </xf>
    <xf numFmtId="0" fontId="78" fillId="0" borderId="0" xfId="0" applyFont="1"/>
    <xf numFmtId="44" fontId="39" fillId="0" borderId="0" xfId="0" applyNumberFormat="1" applyFont="1" applyAlignment="1">
      <alignment horizontal="left" vertical="center"/>
    </xf>
    <xf numFmtId="44" fontId="10" fillId="0" borderId="0" xfId="2" applyFont="1"/>
    <xf numFmtId="167" fontId="10" fillId="0" borderId="0" xfId="2" applyNumberFormat="1" applyFont="1"/>
    <xf numFmtId="167" fontId="10" fillId="0" borderId="0" xfId="2" applyNumberFormat="1" applyFont="1" applyAlignment="1">
      <alignment vertical="center"/>
    </xf>
    <xf numFmtId="167" fontId="10" fillId="0" borderId="0" xfId="2" applyNumberFormat="1" applyFont="1" applyAlignment="1">
      <alignment vertical="top"/>
    </xf>
    <xf numFmtId="167" fontId="1" fillId="0" borderId="13" xfId="2" applyNumberFormat="1" applyFont="1" applyBorder="1" applyAlignment="1">
      <alignment horizontal="center"/>
    </xf>
    <xf numFmtId="167" fontId="0" fillId="0" borderId="13" xfId="2" applyNumberFormat="1" applyFont="1" applyBorder="1" applyAlignment="1">
      <alignment horizontal="center"/>
    </xf>
    <xf numFmtId="167" fontId="0" fillId="0" borderId="13" xfId="2" applyNumberFormat="1" applyFont="1" applyBorder="1"/>
    <xf numFmtId="167" fontId="0" fillId="0" borderId="32" xfId="2" applyNumberFormat="1" applyFont="1" applyBorder="1"/>
    <xf numFmtId="167" fontId="3" fillId="0" borderId="150" xfId="0" applyNumberFormat="1" applyFont="1" applyBorder="1"/>
    <xf numFmtId="167" fontId="26" fillId="33" borderId="57" xfId="12" applyNumberFormat="1" applyFont="1" applyFill="1" applyBorder="1" applyAlignment="1">
      <alignment horizontal="right"/>
    </xf>
    <xf numFmtId="44" fontId="26" fillId="33" borderId="34" xfId="2" applyFont="1" applyFill="1" applyBorder="1" applyAlignment="1">
      <alignment horizontal="right"/>
    </xf>
    <xf numFmtId="167" fontId="39" fillId="0" borderId="69" xfId="2" applyNumberFormat="1" applyFont="1" applyBorder="1" applyAlignment="1">
      <alignment horizontal="left" vertical="center"/>
    </xf>
    <xf numFmtId="174" fontId="39" fillId="0" borderId="160" xfId="0" applyNumberFormat="1" applyFont="1" applyBorder="1" applyAlignment="1">
      <alignment horizontal="center" vertical="center"/>
    </xf>
    <xf numFmtId="0" fontId="39" fillId="0" borderId="161" xfId="0" applyFont="1" applyBorder="1" applyAlignment="1">
      <alignment horizontal="left" vertical="center" wrapText="1"/>
    </xf>
    <xf numFmtId="0" fontId="10" fillId="0" borderId="161" xfId="12" applyBorder="1" applyAlignment="1">
      <alignment vertical="top" wrapText="1"/>
    </xf>
    <xf numFmtId="167" fontId="39" fillId="0" borderId="67" xfId="2" applyNumberFormat="1" applyFont="1" applyBorder="1"/>
    <xf numFmtId="44" fontId="0" fillId="0" borderId="0" xfId="2" applyFont="1" applyFill="1" applyProtection="1">
      <protection locked="0"/>
    </xf>
    <xf numFmtId="167" fontId="39" fillId="5" borderId="44" xfId="2" applyNumberFormat="1" applyFont="1" applyFill="1" applyBorder="1" applyAlignment="1">
      <alignment horizontal="left" vertical="top"/>
    </xf>
    <xf numFmtId="44" fontId="20" fillId="0" borderId="158" xfId="2" applyFont="1" applyBorder="1"/>
    <xf numFmtId="170" fontId="20" fillId="0" borderId="158" xfId="0" applyNumberFormat="1" applyFont="1" applyBorder="1" applyAlignment="1">
      <alignment horizontal="right"/>
    </xf>
    <xf numFmtId="0" fontId="7" fillId="0" borderId="158" xfId="12" applyFont="1" applyBorder="1" applyAlignment="1">
      <alignment horizontal="left"/>
    </xf>
    <xf numFmtId="0" fontId="20" fillId="0" borderId="158" xfId="12" applyFont="1" applyBorder="1" applyAlignment="1">
      <alignment horizontal="left"/>
    </xf>
    <xf numFmtId="6" fontId="20" fillId="0" borderId="158" xfId="12" applyNumberFormat="1" applyFont="1" applyBorder="1" applyAlignment="1">
      <alignment horizontal="right"/>
    </xf>
    <xf numFmtId="180" fontId="20" fillId="0" borderId="158" xfId="12" applyNumberFormat="1" applyFont="1" applyBorder="1" applyAlignment="1">
      <alignment horizontal="right"/>
    </xf>
    <xf numFmtId="167" fontId="3" fillId="0" borderId="158" xfId="2" applyNumberFormat="1" applyFont="1" applyFill="1" applyBorder="1"/>
    <xf numFmtId="0" fontId="0" fillId="0" borderId="158" xfId="0" applyBorder="1" applyAlignment="1">
      <alignment horizontal="center"/>
    </xf>
    <xf numFmtId="167" fontId="3" fillId="0" borderId="158" xfId="2" applyNumberFormat="1" applyFont="1" applyBorder="1"/>
    <xf numFmtId="167" fontId="3" fillId="17" borderId="163" xfId="2" applyNumberFormat="1" applyFont="1" applyFill="1" applyBorder="1" applyAlignment="1">
      <alignment horizontal="center" vertical="center"/>
    </xf>
    <xf numFmtId="9" fontId="0" fillId="0" borderId="163" xfId="3" applyFont="1" applyBorder="1" applyAlignment="1">
      <alignment horizontal="left"/>
    </xf>
    <xf numFmtId="164" fontId="29" fillId="6" borderId="164" xfId="1" applyNumberFormat="1" applyFont="1" applyFill="1" applyBorder="1" applyAlignment="1">
      <alignment horizontal="left" vertical="center"/>
    </xf>
    <xf numFmtId="164" fontId="29" fillId="6" borderId="165" xfId="1" applyNumberFormat="1" applyFont="1" applyFill="1" applyBorder="1" applyAlignment="1">
      <alignment horizontal="left" vertical="center" wrapText="1"/>
    </xf>
    <xf numFmtId="164" fontId="29" fillId="6" borderId="166" xfId="1" applyNumberFormat="1" applyFont="1" applyFill="1" applyBorder="1" applyAlignment="1">
      <alignment horizontal="left" vertical="center" wrapText="1"/>
    </xf>
    <xf numFmtId="164" fontId="29" fillId="6" borderId="164" xfId="1" applyNumberFormat="1" applyFont="1" applyFill="1" applyBorder="1" applyAlignment="1">
      <alignment horizontal="center" vertical="center"/>
    </xf>
    <xf numFmtId="164" fontId="29" fillId="6" borderId="165" xfId="1" applyNumberFormat="1" applyFont="1" applyFill="1" applyBorder="1" applyAlignment="1">
      <alignment horizontal="center" vertical="center" wrapText="1"/>
    </xf>
    <xf numFmtId="164" fontId="29" fillId="6" borderId="166" xfId="1" applyNumberFormat="1" applyFont="1" applyFill="1" applyBorder="1" applyAlignment="1">
      <alignment horizontal="center" vertical="center" wrapText="1"/>
    </xf>
    <xf numFmtId="0" fontId="20" fillId="0" borderId="164" xfId="5" applyFont="1" applyBorder="1" applyAlignment="1">
      <alignment horizontal="center"/>
    </xf>
    <xf numFmtId="0" fontId="73" fillId="0" borderId="166" xfId="5" applyFont="1" applyBorder="1" applyAlignment="1">
      <alignment horizontal="center" vertical="center"/>
    </xf>
    <xf numFmtId="0" fontId="7" fillId="32" borderId="165" xfId="12" applyFont="1" applyFill="1" applyBorder="1" applyAlignment="1">
      <alignment horizontal="center"/>
    </xf>
    <xf numFmtId="0" fontId="7" fillId="32" borderId="166" xfId="12" applyFont="1" applyFill="1" applyBorder="1"/>
    <xf numFmtId="0" fontId="7" fillId="0" borderId="165" xfId="5" applyBorder="1" applyAlignment="1">
      <alignment horizontal="center"/>
    </xf>
    <xf numFmtId="0" fontId="7" fillId="0" borderId="165" xfId="5" applyBorder="1" applyAlignment="1"/>
    <xf numFmtId="0" fontId="0" fillId="0" borderId="167" xfId="0" applyBorder="1" applyAlignment="1">
      <alignment horizontal="center"/>
    </xf>
    <xf numFmtId="167" fontId="3" fillId="0" borderId="167" xfId="2" applyNumberFormat="1" applyFont="1" applyBorder="1"/>
    <xf numFmtId="0" fontId="0" fillId="0" borderId="168" xfId="0" applyBorder="1" applyProtection="1">
      <protection locked="0"/>
    </xf>
    <xf numFmtId="43" fontId="23" fillId="0" borderId="167" xfId="0" applyNumberFormat="1" applyFont="1" applyBorder="1"/>
    <xf numFmtId="0" fontId="0" fillId="0" borderId="169" xfId="0" applyBorder="1" applyProtection="1">
      <protection locked="0"/>
    </xf>
    <xf numFmtId="0" fontId="5" fillId="0" borderId="169" xfId="0" applyFont="1" applyBorder="1" applyProtection="1">
      <protection locked="0"/>
    </xf>
    <xf numFmtId="44" fontId="0" fillId="0" borderId="170" xfId="0" applyNumberFormat="1" applyBorder="1" applyAlignment="1" applyProtection="1">
      <alignment horizontal="center"/>
      <protection locked="0"/>
    </xf>
    <xf numFmtId="0" fontId="0" fillId="0" borderId="171" xfId="0" applyBorder="1" applyAlignment="1">
      <alignment horizontal="right"/>
    </xf>
    <xf numFmtId="0" fontId="0" fillId="0" borderId="171" xfId="0" applyBorder="1"/>
    <xf numFmtId="0" fontId="0" fillId="4" borderId="171" xfId="0" applyFill="1" applyBorder="1"/>
    <xf numFmtId="0" fontId="0" fillId="0" borderId="171" xfId="0" applyBorder="1" applyProtection="1">
      <protection locked="0"/>
    </xf>
    <xf numFmtId="0" fontId="0" fillId="0" borderId="172" xfId="0" applyBorder="1"/>
    <xf numFmtId="0" fontId="0" fillId="0" borderId="173" xfId="0" applyBorder="1" applyProtection="1">
      <protection locked="0"/>
    </xf>
    <xf numFmtId="164" fontId="0" fillId="0" borderId="174" xfId="1" applyNumberFormat="1" applyFont="1" applyBorder="1" applyProtection="1">
      <protection locked="0"/>
    </xf>
    <xf numFmtId="0" fontId="0" fillId="0" borderId="174" xfId="0" applyBorder="1" applyAlignment="1" applyProtection="1">
      <alignment horizontal="center"/>
      <protection locked="0"/>
    </xf>
    <xf numFmtId="0" fontId="0" fillId="0" borderId="174" xfId="0" applyBorder="1" applyProtection="1">
      <protection locked="0"/>
    </xf>
    <xf numFmtId="0" fontId="0" fillId="0" borderId="175" xfId="0" applyBorder="1" applyProtection="1">
      <protection locked="0"/>
    </xf>
    <xf numFmtId="0" fontId="0" fillId="0" borderId="176" xfId="0" applyBorder="1" applyProtection="1">
      <protection locked="0"/>
    </xf>
    <xf numFmtId="44" fontId="0" fillId="0" borderId="177" xfId="0" applyNumberFormat="1" applyBorder="1" applyAlignment="1" applyProtection="1">
      <alignment horizontal="center"/>
      <protection locked="0"/>
    </xf>
    <xf numFmtId="0" fontId="3" fillId="0" borderId="177" xfId="0" applyFont="1" applyBorder="1" applyAlignment="1" applyProtection="1">
      <alignment horizontal="right"/>
      <protection locked="0"/>
    </xf>
    <xf numFmtId="0" fontId="0" fillId="0" borderId="174" xfId="0" applyBorder="1" applyAlignment="1">
      <alignment wrapText="1"/>
    </xf>
    <xf numFmtId="164" fontId="30" fillId="0" borderId="178" xfId="1" applyNumberFormat="1" applyFont="1" applyBorder="1" applyAlignment="1">
      <alignment horizontal="right"/>
    </xf>
    <xf numFmtId="39" fontId="30" fillId="0" borderId="178" xfId="1" applyNumberFormat="1" applyFont="1" applyBorder="1" applyAlignment="1">
      <alignment horizontal="right"/>
    </xf>
    <xf numFmtId="164" fontId="30" fillId="0" borderId="178" xfId="0" applyNumberFormat="1" applyFont="1" applyBorder="1" applyAlignment="1">
      <alignment horizontal="right"/>
    </xf>
    <xf numFmtId="0" fontId="3" fillId="8" borderId="179" xfId="0" applyFont="1" applyFill="1" applyBorder="1" applyAlignment="1">
      <alignment horizontal="left"/>
    </xf>
    <xf numFmtId="2" fontId="3" fillId="8" borderId="180" xfId="0" applyNumberFormat="1" applyFont="1" applyFill="1" applyBorder="1" applyAlignment="1">
      <alignment horizontal="left"/>
    </xf>
    <xf numFmtId="10" fontId="3" fillId="8" borderId="181" xfId="0" applyNumberFormat="1" applyFont="1" applyFill="1" applyBorder="1" applyAlignment="1">
      <alignment horizontal="left"/>
    </xf>
    <xf numFmtId="164" fontId="3" fillId="8" borderId="180" xfId="1" applyNumberFormat="1" applyFont="1" applyFill="1" applyBorder="1"/>
    <xf numFmtId="10" fontId="3" fillId="8" borderId="180" xfId="0" applyNumberFormat="1" applyFont="1" applyFill="1" applyBorder="1"/>
    <xf numFmtId="10" fontId="3" fillId="8" borderId="181" xfId="0" applyNumberFormat="1" applyFont="1" applyFill="1" applyBorder="1"/>
    <xf numFmtId="44" fontId="20" fillId="0" borderId="183" xfId="2" applyFont="1" applyBorder="1"/>
    <xf numFmtId="172" fontId="20" fillId="0" borderId="184" xfId="1" applyNumberFormat="1" applyFont="1" applyBorder="1" applyAlignment="1">
      <alignment horizontal="center"/>
    </xf>
    <xf numFmtId="170" fontId="20" fillId="0" borderId="183" xfId="0" applyNumberFormat="1" applyFont="1" applyBorder="1"/>
    <xf numFmtId="173" fontId="20" fillId="0" borderId="184" xfId="1" applyNumberFormat="1" applyFont="1" applyBorder="1"/>
    <xf numFmtId="170" fontId="20" fillId="0" borderId="185" xfId="0" applyNumberFormat="1" applyFont="1" applyBorder="1" applyAlignment="1">
      <alignment horizontal="right"/>
    </xf>
    <xf numFmtId="44" fontId="20" fillId="0" borderId="187" xfId="2" applyFont="1" applyBorder="1"/>
    <xf numFmtId="172" fontId="20" fillId="0" borderId="188" xfId="1" applyNumberFormat="1" applyFont="1" applyBorder="1" applyAlignment="1">
      <alignment horizontal="center"/>
    </xf>
    <xf numFmtId="170" fontId="20" fillId="0" borderId="187" xfId="0" applyNumberFormat="1" applyFont="1" applyBorder="1"/>
    <xf numFmtId="173" fontId="20" fillId="0" borderId="188" xfId="1" applyNumberFormat="1" applyFont="1" applyBorder="1"/>
    <xf numFmtId="172" fontId="20" fillId="7" borderId="188" xfId="1" applyNumberFormat="1" applyFont="1" applyFill="1" applyBorder="1" applyAlignment="1">
      <alignment horizontal="center"/>
    </xf>
    <xf numFmtId="173" fontId="20" fillId="7" borderId="188" xfId="1" applyNumberFormat="1" applyFont="1" applyFill="1" applyBorder="1" applyAlignment="1">
      <alignment horizontal="center"/>
    </xf>
    <xf numFmtId="44" fontId="20" fillId="0" borderId="189" xfId="2" applyFont="1" applyBorder="1"/>
    <xf numFmtId="44" fontId="20" fillId="7" borderId="190" xfId="2" applyFont="1" applyFill="1" applyBorder="1" applyAlignment="1">
      <alignment horizontal="center"/>
    </xf>
    <xf numFmtId="44" fontId="20" fillId="0" borderId="191" xfId="2" applyFont="1" applyBorder="1"/>
    <xf numFmtId="170" fontId="20" fillId="0" borderId="189" xfId="0" applyNumberFormat="1" applyFont="1" applyBorder="1"/>
    <xf numFmtId="173" fontId="20" fillId="7" borderId="190" xfId="1" applyNumberFormat="1" applyFont="1" applyFill="1" applyBorder="1" applyAlignment="1">
      <alignment horizontal="center"/>
    </xf>
    <xf numFmtId="170" fontId="20" fillId="7" borderId="181" xfId="0" applyNumberFormat="1" applyFont="1" applyFill="1" applyBorder="1" applyAlignment="1">
      <alignment horizontal="right"/>
    </xf>
    <xf numFmtId="0" fontId="41" fillId="0" borderId="192" xfId="10" applyFont="1" applyBorder="1" applyAlignment="1">
      <alignment vertical="top" wrapText="1"/>
    </xf>
    <xf numFmtId="167" fontId="41" fillId="0" borderId="192" xfId="2" applyNumberFormat="1" applyFont="1" applyBorder="1" applyAlignment="1">
      <alignment vertical="top" wrapText="1"/>
    </xf>
    <xf numFmtId="167" fontId="20" fillId="5" borderId="183" xfId="12" applyNumberFormat="1" applyFont="1" applyFill="1" applyBorder="1" applyAlignment="1">
      <alignment horizontal="right"/>
    </xf>
    <xf numFmtId="0" fontId="20" fillId="0" borderId="187" xfId="12" applyFont="1" applyBorder="1" applyAlignment="1">
      <alignment horizontal="center"/>
    </xf>
    <xf numFmtId="0" fontId="7" fillId="0" borderId="187" xfId="12" applyFont="1" applyBorder="1" applyAlignment="1">
      <alignment horizontal="left"/>
    </xf>
    <xf numFmtId="165" fontId="20" fillId="0" borderId="187" xfId="12" applyNumberFormat="1" applyFont="1" applyBorder="1" applyAlignment="1">
      <alignment horizontal="right"/>
    </xf>
    <xf numFmtId="0" fontId="7" fillId="0" borderId="183" xfId="5" applyBorder="1" applyAlignment="1">
      <alignment horizontal="left"/>
    </xf>
    <xf numFmtId="167" fontId="20" fillId="13" borderId="183" xfId="12" applyNumberFormat="1" applyFont="1" applyFill="1" applyBorder="1" applyAlignment="1">
      <alignment horizontal="right"/>
    </xf>
    <xf numFmtId="0" fontId="20" fillId="0" borderId="187" xfId="5" applyFont="1" applyBorder="1" applyAlignment="1">
      <alignment horizontal="center"/>
    </xf>
    <xf numFmtId="167" fontId="20" fillId="5" borderId="187" xfId="12" applyNumberFormat="1" applyFont="1" applyFill="1" applyBorder="1" applyAlignment="1">
      <alignment horizontal="right"/>
    </xf>
    <xf numFmtId="0" fontId="7" fillId="0" borderId="187" xfId="5" applyBorder="1" applyAlignment="1">
      <alignment horizontal="left"/>
    </xf>
    <xf numFmtId="167" fontId="20" fillId="13" borderId="187" xfId="12" applyNumberFormat="1" applyFont="1" applyFill="1" applyBorder="1" applyAlignment="1">
      <alignment horizontal="right"/>
    </xf>
    <xf numFmtId="0" fontId="20" fillId="0" borderId="187" xfId="12" applyFont="1" applyBorder="1" applyAlignment="1">
      <alignment horizontal="left"/>
    </xf>
    <xf numFmtId="0" fontId="73" fillId="0" borderId="189" xfId="12" applyFont="1" applyBorder="1" applyAlignment="1">
      <alignment horizontal="center"/>
    </xf>
    <xf numFmtId="0" fontId="20" fillId="0" borderId="189" xfId="12" applyFont="1" applyBorder="1"/>
    <xf numFmtId="165" fontId="20" fillId="0" borderId="189" xfId="12" applyNumberFormat="1" applyFont="1" applyBorder="1" applyAlignment="1">
      <alignment horizontal="right"/>
    </xf>
    <xf numFmtId="167" fontId="20" fillId="5" borderId="189" xfId="12" applyNumberFormat="1" applyFont="1" applyFill="1" applyBorder="1" applyAlignment="1">
      <alignment horizontal="right"/>
    </xf>
    <xf numFmtId="7" fontId="20" fillId="0" borderId="187" xfId="12" applyNumberFormat="1" applyFont="1" applyBorder="1" applyAlignment="1">
      <alignment horizontal="right"/>
    </xf>
    <xf numFmtId="0" fontId="7" fillId="0" borderId="187" xfId="12" applyFont="1" applyBorder="1" applyAlignment="1">
      <alignment horizontal="center" vertical="top"/>
    </xf>
    <xf numFmtId="0" fontId="7" fillId="5" borderId="187" xfId="12" applyFont="1" applyFill="1" applyBorder="1" applyAlignment="1">
      <alignment vertical="top" wrapText="1"/>
    </xf>
    <xf numFmtId="0" fontId="7" fillId="0" borderId="187" xfId="5" applyBorder="1" applyAlignment="1">
      <alignment horizontal="center" vertical="top"/>
    </xf>
    <xf numFmtId="167" fontId="23" fillId="5" borderId="187" xfId="12" applyNumberFormat="1" applyFont="1" applyFill="1" applyBorder="1" applyAlignment="1">
      <alignment horizontal="right"/>
    </xf>
    <xf numFmtId="0" fontId="7" fillId="0" borderId="181" xfId="12" applyFont="1" applyBorder="1" applyAlignment="1">
      <alignment horizontal="center" vertical="top"/>
    </xf>
    <xf numFmtId="0" fontId="7" fillId="5" borderId="189" xfId="12" applyFont="1" applyFill="1" applyBorder="1" applyAlignment="1">
      <alignment vertical="top" wrapText="1"/>
    </xf>
    <xf numFmtId="0" fontId="20" fillId="5" borderId="187" xfId="12" applyFont="1" applyFill="1" applyBorder="1" applyAlignment="1">
      <alignment horizontal="left"/>
    </xf>
    <xf numFmtId="165" fontId="20" fillId="0" borderId="187" xfId="12" applyNumberFormat="1" applyFont="1" applyBorder="1" applyAlignment="1">
      <alignment horizontal="right" vertical="top"/>
    </xf>
    <xf numFmtId="167" fontId="20" fillId="13" borderId="187" xfId="12" applyNumberFormat="1" applyFont="1" applyFill="1" applyBorder="1" applyAlignment="1">
      <alignment horizontal="right" vertical="top"/>
    </xf>
    <xf numFmtId="167" fontId="20" fillId="13" borderId="187" xfId="12" applyNumberFormat="1" applyFont="1" applyFill="1" applyBorder="1" applyAlignment="1">
      <alignment horizontal="center" vertical="center"/>
    </xf>
    <xf numFmtId="167" fontId="20" fillId="5" borderId="187" xfId="12" applyNumberFormat="1" applyFont="1" applyFill="1" applyBorder="1" applyAlignment="1">
      <alignment horizontal="right" vertical="top"/>
    </xf>
    <xf numFmtId="165" fontId="20" fillId="0" borderId="187" xfId="5" applyNumberFormat="1" applyFont="1" applyBorder="1" applyAlignment="1">
      <alignment horizontal="right"/>
    </xf>
    <xf numFmtId="0" fontId="7" fillId="0" borderId="186" xfId="5" applyBorder="1" applyAlignment="1">
      <alignment horizontal="center" vertical="top"/>
    </xf>
    <xf numFmtId="167" fontId="73" fillId="5" borderId="187" xfId="12" applyNumberFormat="1" applyFont="1" applyFill="1" applyBorder="1" applyAlignment="1">
      <alignment horizontal="right"/>
    </xf>
    <xf numFmtId="0" fontId="20" fillId="5" borderId="187" xfId="12" applyFont="1" applyFill="1" applyBorder="1" applyAlignment="1">
      <alignment horizontal="right"/>
    </xf>
    <xf numFmtId="0" fontId="7" fillId="0" borderId="179" xfId="5" applyBorder="1" applyAlignment="1">
      <alignment horizontal="center" vertical="top"/>
    </xf>
    <xf numFmtId="0" fontId="20" fillId="5" borderId="189" xfId="12" applyFont="1" applyFill="1" applyBorder="1" applyAlignment="1">
      <alignment horizontal="right"/>
    </xf>
    <xf numFmtId="165" fontId="20" fillId="0" borderId="189" xfId="5" applyNumberFormat="1" applyFont="1" applyBorder="1" applyAlignment="1">
      <alignment horizontal="right"/>
    </xf>
    <xf numFmtId="0" fontId="7" fillId="0" borderId="184" xfId="12" applyFont="1" applyBorder="1" applyAlignment="1">
      <alignment horizontal="center"/>
    </xf>
    <xf numFmtId="0" fontId="20" fillId="0" borderId="193" xfId="5" applyFont="1" applyBorder="1" applyAlignment="1"/>
    <xf numFmtId="6" fontId="20" fillId="0" borderId="185" xfId="12" applyNumberFormat="1" applyFont="1" applyBorder="1" applyAlignment="1">
      <alignment horizontal="right"/>
    </xf>
    <xf numFmtId="0" fontId="7" fillId="0" borderId="188" xfId="12" applyFont="1" applyBorder="1" applyAlignment="1">
      <alignment horizontal="center"/>
    </xf>
    <xf numFmtId="0" fontId="7" fillId="0" borderId="190" xfId="12" applyFont="1" applyBorder="1" applyAlignment="1">
      <alignment horizontal="center"/>
    </xf>
    <xf numFmtId="44" fontId="73" fillId="0" borderId="194" xfId="12" applyNumberFormat="1" applyFont="1" applyBorder="1"/>
    <xf numFmtId="180" fontId="20" fillId="0" borderId="191" xfId="12" applyNumberFormat="1" applyFont="1" applyBorder="1" applyAlignment="1">
      <alignment horizontal="right"/>
    </xf>
    <xf numFmtId="0" fontId="39" fillId="15" borderId="195" xfId="0" applyFont="1" applyFill="1" applyBorder="1"/>
    <xf numFmtId="0" fontId="39" fillId="15" borderId="178" xfId="0" applyFont="1" applyFill="1" applyBorder="1"/>
    <xf numFmtId="43" fontId="30" fillId="0" borderId="178" xfId="1" applyFont="1" applyBorder="1" applyAlignment="1">
      <alignment horizontal="right"/>
    </xf>
    <xf numFmtId="0" fontId="3" fillId="0" borderId="198" xfId="0" applyFont="1" applyBorder="1" applyAlignment="1">
      <alignment horizontal="center" vertical="center"/>
    </xf>
    <xf numFmtId="166" fontId="3" fillId="17" borderId="187" xfId="1" applyNumberFormat="1" applyFont="1" applyFill="1" applyBorder="1" applyAlignment="1">
      <alignment horizontal="center" vertical="center"/>
    </xf>
    <xf numFmtId="43" fontId="3" fillId="17" borderId="187" xfId="1" applyFont="1" applyFill="1" applyBorder="1" applyAlignment="1">
      <alignment horizontal="center" vertical="center"/>
    </xf>
    <xf numFmtId="166" fontId="3" fillId="17" borderId="189" xfId="1" applyNumberFormat="1" applyFont="1" applyFill="1" applyBorder="1" applyAlignment="1">
      <alignment horizontal="center" vertical="center"/>
    </xf>
    <xf numFmtId="43" fontId="3" fillId="17" borderId="189" xfId="1" applyFont="1" applyFill="1" applyBorder="1" applyAlignment="1">
      <alignment horizontal="center" vertical="center"/>
    </xf>
    <xf numFmtId="43" fontId="3" fillId="17" borderId="181" xfId="1" applyFont="1" applyFill="1" applyBorder="1" applyAlignment="1">
      <alignment horizontal="center" vertical="center"/>
    </xf>
    <xf numFmtId="0" fontId="0" fillId="0" borderId="183" xfId="0" applyBorder="1"/>
    <xf numFmtId="176" fontId="0" fillId="0" borderId="184" xfId="1" applyNumberFormat="1" applyFont="1" applyFill="1" applyBorder="1"/>
    <xf numFmtId="0" fontId="0" fillId="0" borderId="193" xfId="0" applyBorder="1" applyAlignment="1">
      <alignment horizontal="center"/>
    </xf>
    <xf numFmtId="167" fontId="0" fillId="0" borderId="188" xfId="2" applyNumberFormat="1" applyFont="1" applyFill="1" applyBorder="1"/>
    <xf numFmtId="9" fontId="0" fillId="0" borderId="200" xfId="3" applyFont="1" applyFill="1" applyBorder="1" applyAlignment="1">
      <alignment horizontal="left"/>
    </xf>
    <xf numFmtId="167" fontId="0" fillId="0" borderId="183" xfId="2" applyNumberFormat="1" applyFont="1" applyFill="1" applyBorder="1"/>
    <xf numFmtId="44" fontId="28" fillId="0" borderId="183" xfId="0" applyNumberFormat="1" applyFont="1" applyBorder="1" applyAlignment="1">
      <alignment wrapText="1"/>
    </xf>
    <xf numFmtId="0" fontId="0" fillId="0" borderId="184" xfId="0" applyBorder="1" applyAlignment="1">
      <alignment horizontal="center"/>
    </xf>
    <xf numFmtId="0" fontId="0" fillId="0" borderId="185" xfId="0" applyBorder="1" applyAlignment="1">
      <alignment horizontal="center"/>
    </xf>
    <xf numFmtId="167" fontId="3" fillId="0" borderId="187" xfId="2" applyNumberFormat="1" applyFont="1" applyFill="1" applyBorder="1"/>
    <xf numFmtId="167" fontId="3" fillId="0" borderId="185" xfId="2" applyNumberFormat="1" applyFont="1" applyFill="1" applyBorder="1"/>
    <xf numFmtId="0" fontId="0" fillId="0" borderId="187" xfId="0" applyBorder="1"/>
    <xf numFmtId="167" fontId="0" fillId="0" borderId="187" xfId="2" applyNumberFormat="1" applyFont="1" applyFill="1" applyBorder="1"/>
    <xf numFmtId="167" fontId="3" fillId="0" borderId="183" xfId="2" applyNumberFormat="1" applyFont="1" applyFill="1" applyBorder="1"/>
    <xf numFmtId="167" fontId="3" fillId="0" borderId="185" xfId="2" applyNumberFormat="1" applyFont="1" applyBorder="1"/>
    <xf numFmtId="167" fontId="3" fillId="0" borderId="183" xfId="2" applyNumberFormat="1" applyFont="1" applyBorder="1"/>
    <xf numFmtId="9" fontId="0" fillId="0" borderId="187" xfId="3" applyFont="1" applyFill="1" applyBorder="1" applyAlignment="1">
      <alignment horizontal="left"/>
    </xf>
    <xf numFmtId="167" fontId="0" fillId="0" borderId="184" xfId="2" applyNumberFormat="1" applyFont="1" applyFill="1" applyBorder="1"/>
    <xf numFmtId="167" fontId="3" fillId="0" borderId="191" xfId="2" applyNumberFormat="1" applyFont="1" applyFill="1" applyBorder="1"/>
    <xf numFmtId="167" fontId="3" fillId="0" borderId="189" xfId="2" applyNumberFormat="1" applyFont="1" applyFill="1" applyBorder="1"/>
    <xf numFmtId="167" fontId="0" fillId="0" borderId="183" xfId="2" applyNumberFormat="1" applyFont="1" applyBorder="1"/>
    <xf numFmtId="176" fontId="0" fillId="0" borderId="184" xfId="1" applyNumberFormat="1" applyFont="1" applyBorder="1"/>
    <xf numFmtId="167" fontId="0" fillId="0" borderId="188" xfId="2" applyNumberFormat="1" applyFont="1" applyBorder="1"/>
    <xf numFmtId="9" fontId="0" fillId="0" borderId="187" xfId="3" applyFont="1" applyBorder="1" applyAlignment="1">
      <alignment horizontal="left"/>
    </xf>
    <xf numFmtId="167" fontId="0" fillId="0" borderId="187" xfId="2" applyNumberFormat="1" applyFont="1" applyBorder="1"/>
    <xf numFmtId="0" fontId="0" fillId="0" borderId="191" xfId="0" applyBorder="1" applyAlignment="1">
      <alignment horizontal="center"/>
    </xf>
    <xf numFmtId="0" fontId="0" fillId="7" borderId="191" xfId="0" applyFill="1" applyBorder="1" applyAlignment="1">
      <alignment horizontal="center"/>
    </xf>
    <xf numFmtId="167" fontId="0" fillId="0" borderId="190" xfId="2" applyNumberFormat="1" applyFont="1" applyBorder="1"/>
    <xf numFmtId="167" fontId="3" fillId="0" borderId="189" xfId="2" applyNumberFormat="1" applyFont="1" applyBorder="1"/>
    <xf numFmtId="9" fontId="0" fillId="7" borderId="181" xfId="3" applyFont="1" applyFill="1" applyBorder="1" applyAlignment="1">
      <alignment horizontal="left"/>
    </xf>
    <xf numFmtId="0" fontId="0" fillId="0" borderId="188" xfId="0" applyBorder="1" applyAlignment="1">
      <alignment horizontal="center"/>
    </xf>
    <xf numFmtId="167" fontId="0" fillId="0" borderId="184" xfId="2" applyNumberFormat="1" applyFont="1" applyBorder="1"/>
    <xf numFmtId="10" fontId="0" fillId="0" borderId="184" xfId="3" applyNumberFormat="1" applyFont="1" applyBorder="1"/>
    <xf numFmtId="167" fontId="0" fillId="7" borderId="187" xfId="2" applyNumberFormat="1" applyFont="1" applyFill="1" applyBorder="1"/>
    <xf numFmtId="176" fontId="0" fillId="7" borderId="184" xfId="1" applyNumberFormat="1" applyFont="1" applyFill="1" applyBorder="1"/>
    <xf numFmtId="167" fontId="3" fillId="0" borderId="187" xfId="2" applyNumberFormat="1" applyFont="1" applyBorder="1"/>
    <xf numFmtId="0" fontId="0" fillId="0" borderId="189" xfId="0" applyBorder="1"/>
    <xf numFmtId="0" fontId="0" fillId="0" borderId="190" xfId="0" applyBorder="1" applyAlignment="1">
      <alignment horizontal="center"/>
    </xf>
    <xf numFmtId="167" fontId="0" fillId="7" borderId="183" xfId="2" applyNumberFormat="1" applyFont="1" applyFill="1" applyBorder="1"/>
    <xf numFmtId="176" fontId="0" fillId="0" borderId="190" xfId="1" applyNumberFormat="1" applyFont="1" applyBorder="1"/>
    <xf numFmtId="167" fontId="3" fillId="0" borderId="191" xfId="2" applyNumberFormat="1" applyFont="1" applyBorder="1"/>
    <xf numFmtId="167" fontId="0" fillId="0" borderId="189" xfId="2" applyNumberFormat="1" applyFont="1" applyBorder="1"/>
    <xf numFmtId="176" fontId="0" fillId="7" borderId="190" xfId="1" applyNumberFormat="1" applyFont="1" applyFill="1" applyBorder="1"/>
    <xf numFmtId="176" fontId="0" fillId="0" borderId="188" xfId="1" applyNumberFormat="1" applyFont="1" applyBorder="1"/>
    <xf numFmtId="176" fontId="0" fillId="7" borderId="188" xfId="1" applyNumberFormat="1" applyFont="1" applyFill="1" applyBorder="1"/>
    <xf numFmtId="44" fontId="0" fillId="0" borderId="188" xfId="2" applyFont="1" applyBorder="1"/>
    <xf numFmtId="167" fontId="0" fillId="0" borderId="187" xfId="2" applyNumberFormat="1" applyFont="1" applyFill="1" applyBorder="1" applyAlignment="1">
      <alignment wrapText="1"/>
    </xf>
    <xf numFmtId="178" fontId="3" fillId="0" borderId="185" xfId="2" applyNumberFormat="1" applyFont="1" applyFill="1" applyBorder="1"/>
    <xf numFmtId="167" fontId="0" fillId="7" borderId="189" xfId="2" applyNumberFormat="1" applyFont="1" applyFill="1" applyBorder="1"/>
    <xf numFmtId="44" fontId="1" fillId="0" borderId="201" xfId="2" applyFont="1" applyBorder="1" applyAlignment="1">
      <alignment horizontal="center" wrapText="1"/>
    </xf>
    <xf numFmtId="0" fontId="63" fillId="45" borderId="201" xfId="0" applyFont="1" applyFill="1" applyBorder="1"/>
    <xf numFmtId="0" fontId="63" fillId="45" borderId="202" xfId="0" applyFont="1" applyFill="1" applyBorder="1"/>
    <xf numFmtId="0" fontId="63" fillId="46" borderId="201" xfId="0" applyFont="1" applyFill="1" applyBorder="1"/>
    <xf numFmtId="0" fontId="63" fillId="46" borderId="202" xfId="0" applyFont="1" applyFill="1" applyBorder="1"/>
    <xf numFmtId="0" fontId="63" fillId="47" borderId="201" xfId="0" applyFont="1" applyFill="1" applyBorder="1"/>
    <xf numFmtId="0" fontId="63" fillId="47" borderId="202" xfId="0" applyFont="1" applyFill="1" applyBorder="1"/>
    <xf numFmtId="0" fontId="63" fillId="48" borderId="201" xfId="0" applyFont="1" applyFill="1" applyBorder="1"/>
    <xf numFmtId="0" fontId="63" fillId="48" borderId="202" xfId="0" applyFont="1" applyFill="1" applyBorder="1"/>
    <xf numFmtId="0" fontId="63" fillId="0" borderId="201" xfId="0" applyFont="1" applyBorder="1"/>
    <xf numFmtId="0" fontId="63" fillId="44" borderId="202" xfId="0" applyFont="1" applyFill="1" applyBorder="1"/>
    <xf numFmtId="0" fontId="0" fillId="0" borderId="203" xfId="0" applyBorder="1" applyAlignment="1">
      <alignment horizontal="right"/>
    </xf>
    <xf numFmtId="0" fontId="3" fillId="26" borderId="177" xfId="0" applyFont="1" applyFill="1" applyBorder="1" applyAlignment="1">
      <alignment wrapText="1"/>
    </xf>
    <xf numFmtId="0" fontId="0" fillId="0" borderId="177" xfId="0" applyBorder="1" applyAlignment="1">
      <alignment horizontal="left" wrapText="1"/>
    </xf>
    <xf numFmtId="14" fontId="0" fillId="0" borderId="177" xfId="0" applyNumberFormat="1" applyBorder="1" applyAlignment="1">
      <alignment horizontal="left" wrapText="1"/>
    </xf>
    <xf numFmtId="0" fontId="0" fillId="0" borderId="204" xfId="0" applyBorder="1" applyAlignment="1">
      <alignment vertical="top"/>
    </xf>
    <xf numFmtId="0" fontId="6" fillId="20" borderId="205" xfId="0" applyFont="1" applyFill="1" applyBorder="1" applyAlignment="1">
      <alignment horizontal="center"/>
    </xf>
    <xf numFmtId="0" fontId="0" fillId="0" borderId="202" xfId="0" applyBorder="1" applyProtection="1">
      <protection locked="0"/>
    </xf>
    <xf numFmtId="0" fontId="0" fillId="0" borderId="201" xfId="0" applyBorder="1" applyProtection="1">
      <protection locked="0"/>
    </xf>
    <xf numFmtId="44" fontId="0" fillId="0" borderId="201" xfId="2" applyFont="1" applyBorder="1" applyProtection="1">
      <protection locked="0"/>
    </xf>
    <xf numFmtId="44" fontId="0" fillId="0" borderId="193" xfId="2" applyFont="1" applyBorder="1" applyProtection="1">
      <protection locked="0"/>
    </xf>
    <xf numFmtId="44" fontId="6" fillId="0" borderId="205" xfId="2" applyFont="1" applyBorder="1" applyAlignment="1">
      <alignment horizontal="center" vertical="center"/>
    </xf>
    <xf numFmtId="44" fontId="0" fillId="0" borderId="206" xfId="2" applyFont="1" applyBorder="1" applyProtection="1">
      <protection locked="0"/>
    </xf>
    <xf numFmtId="44" fontId="0" fillId="0" borderId="206" xfId="2" applyFont="1" applyBorder="1" applyAlignment="1" applyProtection="1">
      <alignment horizontal="left"/>
      <protection locked="0"/>
    </xf>
    <xf numFmtId="0" fontId="6" fillId="0" borderId="177" xfId="0" applyFont="1" applyBorder="1" applyAlignment="1">
      <alignment vertical="center"/>
    </xf>
    <xf numFmtId="44" fontId="6" fillId="0" borderId="177" xfId="2" applyFont="1" applyBorder="1" applyAlignment="1">
      <alignment horizontal="center" vertical="center"/>
    </xf>
    <xf numFmtId="0" fontId="0" fillId="0" borderId="203" xfId="0" applyBorder="1" applyAlignment="1">
      <alignment vertical="top"/>
    </xf>
    <xf numFmtId="0" fontId="6" fillId="0" borderId="177" xfId="0" quotePrefix="1" applyFont="1" applyBorder="1"/>
    <xf numFmtId="0" fontId="6" fillId="20" borderId="207" xfId="0" applyFont="1" applyFill="1" applyBorder="1" applyAlignment="1">
      <alignment horizontal="center"/>
    </xf>
    <xf numFmtId="0" fontId="6" fillId="22" borderId="208" xfId="0" applyFont="1" applyFill="1" applyBorder="1" applyAlignment="1">
      <alignment horizontal="left"/>
    </xf>
    <xf numFmtId="44" fontId="0" fillId="22" borderId="209" xfId="2" applyFont="1" applyFill="1" applyBorder="1" applyProtection="1">
      <protection locked="0"/>
    </xf>
    <xf numFmtId="44" fontId="0" fillId="22" borderId="210" xfId="2" applyFont="1" applyFill="1" applyBorder="1" applyProtection="1">
      <protection locked="0"/>
    </xf>
    <xf numFmtId="44" fontId="0" fillId="22" borderId="210" xfId="2" applyFont="1" applyFill="1" applyBorder="1" applyAlignment="1" applyProtection="1">
      <alignment horizontal="left"/>
      <protection locked="0"/>
    </xf>
    <xf numFmtId="0" fontId="0" fillId="0" borderId="211" xfId="0" applyBorder="1" applyAlignment="1">
      <alignment wrapText="1"/>
    </xf>
    <xf numFmtId="0" fontId="0" fillId="0" borderId="209" xfId="0" applyBorder="1" applyAlignment="1">
      <alignment wrapText="1"/>
    </xf>
    <xf numFmtId="44" fontId="0" fillId="0" borderId="209" xfId="2" applyFont="1" applyBorder="1" applyProtection="1">
      <protection locked="0"/>
    </xf>
    <xf numFmtId="44" fontId="0" fillId="0" borderId="203" xfId="2" applyFont="1" applyBorder="1" applyProtection="1">
      <protection locked="0"/>
    </xf>
    <xf numFmtId="0" fontId="6" fillId="0" borderId="212" xfId="0" applyFont="1" applyBorder="1" applyAlignment="1">
      <alignment horizontal="left" vertical="center" wrapText="1"/>
    </xf>
    <xf numFmtId="4" fontId="0" fillId="0" borderId="213" xfId="0" applyNumberFormat="1" applyBorder="1" applyAlignment="1" applyProtection="1">
      <alignment horizontal="left"/>
      <protection locked="0"/>
    </xf>
    <xf numFmtId="44" fontId="0" fillId="0" borderId="213" xfId="2" applyFont="1" applyBorder="1" applyAlignment="1" applyProtection="1">
      <alignment horizontal="left"/>
      <protection locked="0"/>
    </xf>
    <xf numFmtId="44" fontId="0" fillId="0" borderId="214" xfId="2" applyFont="1" applyBorder="1" applyAlignment="1" applyProtection="1">
      <alignment horizontal="left"/>
      <protection locked="0"/>
    </xf>
    <xf numFmtId="44" fontId="0" fillId="5" borderId="210" xfId="2" applyFont="1" applyFill="1" applyBorder="1" applyProtection="1">
      <protection locked="0"/>
    </xf>
    <xf numFmtId="0" fontId="6" fillId="0" borderId="209" xfId="0" applyFont="1" applyBorder="1" applyAlignment="1">
      <alignment horizontal="left" vertical="center" wrapText="1"/>
    </xf>
    <xf numFmtId="0" fontId="0" fillId="4" borderId="203" xfId="0" applyFill="1" applyBorder="1"/>
    <xf numFmtId="0" fontId="0" fillId="4" borderId="177" xfId="0" applyFill="1" applyBorder="1" applyAlignment="1">
      <alignment wrapText="1"/>
    </xf>
    <xf numFmtId="9" fontId="0" fillId="4" borderId="177" xfId="3" applyFont="1" applyFill="1" applyBorder="1" applyProtection="1">
      <protection locked="0"/>
    </xf>
    <xf numFmtId="44" fontId="0" fillId="4" borderId="177" xfId="2" applyFont="1" applyFill="1" applyBorder="1" applyProtection="1">
      <protection locked="0"/>
    </xf>
    <xf numFmtId="44" fontId="9" fillId="4" borderId="177" xfId="2" applyFont="1" applyFill="1" applyBorder="1" applyAlignment="1" applyProtection="1">
      <alignment horizontal="center"/>
      <protection locked="0"/>
    </xf>
    <xf numFmtId="44" fontId="0" fillId="4" borderId="177" xfId="2" applyFont="1" applyFill="1" applyBorder="1" applyAlignment="1" applyProtection="1">
      <alignment horizontal="center"/>
      <protection locked="0"/>
    </xf>
    <xf numFmtId="0" fontId="0" fillId="0" borderId="215" xfId="0" applyBorder="1"/>
    <xf numFmtId="0" fontId="0" fillId="0" borderId="216" xfId="0" applyBorder="1" applyProtection="1">
      <protection locked="0"/>
    </xf>
    <xf numFmtId="165" fontId="0" fillId="0" borderId="212" xfId="0" applyNumberFormat="1" applyBorder="1" applyProtection="1">
      <protection locked="0"/>
    </xf>
    <xf numFmtId="165" fontId="0" fillId="0" borderId="210" xfId="0" applyNumberFormat="1" applyBorder="1" applyProtection="1">
      <protection locked="0"/>
    </xf>
    <xf numFmtId="0" fontId="0" fillId="0" borderId="203" xfId="0" applyBorder="1"/>
    <xf numFmtId="165" fontId="0" fillId="0" borderId="177" xfId="0" applyNumberFormat="1" applyBorder="1" applyAlignment="1" applyProtection="1">
      <alignment horizontal="right"/>
      <protection locked="0"/>
    </xf>
    <xf numFmtId="0" fontId="0" fillId="0" borderId="203" xfId="0" applyBorder="1" applyProtection="1">
      <protection locked="0"/>
    </xf>
    <xf numFmtId="0" fontId="0" fillId="0" borderId="177" xfId="0" applyBorder="1" applyAlignment="1" applyProtection="1">
      <alignment wrapText="1"/>
      <protection locked="0"/>
    </xf>
    <xf numFmtId="44" fontId="0" fillId="0" borderId="177" xfId="0" applyNumberFormat="1" applyBorder="1" applyProtection="1">
      <protection locked="0"/>
    </xf>
    <xf numFmtId="0" fontId="0" fillId="0" borderId="215" xfId="0" applyBorder="1" applyProtection="1">
      <protection locked="0"/>
    </xf>
    <xf numFmtId="0" fontId="0" fillId="0" borderId="212" xfId="0" applyBorder="1" applyAlignment="1" applyProtection="1">
      <alignment wrapText="1"/>
      <protection locked="0"/>
    </xf>
    <xf numFmtId="165" fontId="0" fillId="0" borderId="177" xfId="0" applyNumberFormat="1" applyBorder="1" applyProtection="1">
      <protection locked="0"/>
    </xf>
    <xf numFmtId="0" fontId="0" fillId="0" borderId="212" xfId="0" applyBorder="1" applyAlignment="1">
      <alignment wrapText="1"/>
    </xf>
    <xf numFmtId="0" fontId="0" fillId="0" borderId="212" xfId="0" applyBorder="1" applyProtection="1">
      <protection locked="0"/>
    </xf>
    <xf numFmtId="0" fontId="0" fillId="0" borderId="210" xfId="0" applyBorder="1" applyProtection="1">
      <protection locked="0"/>
    </xf>
    <xf numFmtId="0" fontId="0" fillId="0" borderId="177" xfId="0" applyBorder="1" applyProtection="1">
      <protection locked="0"/>
    </xf>
    <xf numFmtId="0" fontId="0" fillId="0" borderId="217" xfId="0" applyBorder="1" applyAlignment="1">
      <alignment wrapText="1"/>
    </xf>
    <xf numFmtId="0" fontId="0" fillId="0" borderId="218" xfId="0" applyBorder="1" applyProtection="1">
      <protection locked="0"/>
    </xf>
    <xf numFmtId="0" fontId="0" fillId="0" borderId="219" xfId="0" applyBorder="1" applyProtection="1">
      <protection locked="0"/>
    </xf>
    <xf numFmtId="0" fontId="0" fillId="0" borderId="220" xfId="0" applyBorder="1" applyProtection="1">
      <protection locked="0"/>
    </xf>
    <xf numFmtId="0" fontId="0" fillId="0" borderId="217" xfId="0" applyBorder="1" applyProtection="1">
      <protection locked="0"/>
    </xf>
    <xf numFmtId="0" fontId="0" fillId="0" borderId="221" xfId="0" applyBorder="1" applyProtection="1">
      <protection locked="0"/>
    </xf>
    <xf numFmtId="0" fontId="3" fillId="0" borderId="203" xfId="0" applyFont="1" applyBorder="1" applyAlignment="1" applyProtection="1">
      <alignment horizontal="right"/>
      <protection locked="0"/>
    </xf>
    <xf numFmtId="169" fontId="0" fillId="0" borderId="177" xfId="0" applyNumberFormat="1" applyBorder="1" applyAlignment="1" applyProtection="1">
      <alignment horizontal="center"/>
      <protection locked="0"/>
    </xf>
    <xf numFmtId="44" fontId="4" fillId="0" borderId="177" xfId="4" applyNumberFormat="1" applyBorder="1" applyAlignment="1" applyProtection="1">
      <alignment horizontal="center" vertical="center"/>
      <protection locked="0"/>
    </xf>
    <xf numFmtId="0" fontId="3" fillId="0" borderId="222" xfId="0" applyFont="1" applyBorder="1" applyAlignment="1" applyProtection="1">
      <alignment horizontal="right"/>
      <protection locked="0"/>
    </xf>
    <xf numFmtId="44" fontId="0" fillId="0" borderId="217" xfId="2" applyFont="1" applyBorder="1" applyAlignment="1" applyProtection="1">
      <alignment horizontal="center"/>
      <protection locked="0"/>
    </xf>
    <xf numFmtId="0" fontId="0" fillId="0" borderId="215" xfId="0" applyBorder="1" applyAlignment="1">
      <alignment vertical="top"/>
    </xf>
    <xf numFmtId="0" fontId="10" fillId="20" borderId="212" xfId="0" applyFont="1" applyFill="1" applyBorder="1" applyAlignment="1">
      <alignment horizontal="center"/>
    </xf>
    <xf numFmtId="0" fontId="5" fillId="0" borderId="202" xfId="0" applyFont="1" applyBorder="1" applyProtection="1">
      <protection locked="0"/>
    </xf>
    <xf numFmtId="44" fontId="10" fillId="0" borderId="212" xfId="2" applyFont="1" applyBorder="1" applyAlignment="1">
      <alignment horizontal="center" vertical="center"/>
    </xf>
    <xf numFmtId="0" fontId="10" fillId="0" borderId="177" xfId="0" applyFont="1" applyBorder="1" applyAlignment="1">
      <alignment vertical="center"/>
    </xf>
    <xf numFmtId="44" fontId="10" fillId="0" borderId="177" xfId="2" applyFont="1" applyBorder="1" applyAlignment="1">
      <alignment horizontal="center" vertical="center"/>
    </xf>
    <xf numFmtId="0" fontId="10" fillId="0" borderId="177" xfId="0" quotePrefix="1" applyFont="1" applyBorder="1"/>
    <xf numFmtId="0" fontId="10" fillId="20" borderId="207" xfId="0" applyFont="1" applyFill="1" applyBorder="1" applyAlignment="1">
      <alignment horizontal="center"/>
    </xf>
    <xf numFmtId="0" fontId="10" fillId="22" borderId="223" xfId="0" applyFont="1" applyFill="1" applyBorder="1" applyAlignment="1">
      <alignment horizontal="left"/>
    </xf>
    <xf numFmtId="44" fontId="5" fillId="22" borderId="209" xfId="2" applyFont="1" applyFill="1" applyBorder="1" applyProtection="1">
      <protection locked="0"/>
    </xf>
    <xf numFmtId="44" fontId="0" fillId="22" borderId="224" xfId="2" applyFont="1" applyFill="1" applyBorder="1" applyAlignment="1" applyProtection="1">
      <alignment horizontal="left"/>
      <protection locked="0"/>
    </xf>
    <xf numFmtId="44" fontId="0" fillId="22" borderId="224" xfId="2" applyFont="1" applyFill="1" applyBorder="1" applyProtection="1">
      <protection locked="0"/>
    </xf>
    <xf numFmtId="0" fontId="10" fillId="0" borderId="225" xfId="0" applyFont="1" applyBorder="1" applyAlignment="1">
      <alignment horizontal="left" vertical="center" wrapText="1"/>
    </xf>
    <xf numFmtId="4" fontId="0" fillId="0" borderId="201" xfId="0" applyNumberFormat="1" applyBorder="1" applyAlignment="1" applyProtection="1">
      <alignment horizontal="left"/>
      <protection locked="0"/>
    </xf>
    <xf numFmtId="44" fontId="0" fillId="0" borderId="201" xfId="2" applyFont="1" applyBorder="1" applyAlignment="1" applyProtection="1">
      <alignment horizontal="left"/>
      <protection locked="0"/>
    </xf>
    <xf numFmtId="44" fontId="0" fillId="0" borderId="226" xfId="2" applyFont="1" applyBorder="1" applyAlignment="1" applyProtection="1">
      <alignment horizontal="left"/>
      <protection locked="0"/>
    </xf>
    <xf numFmtId="0" fontId="10" fillId="0" borderId="209" xfId="0" applyFont="1" applyBorder="1" applyAlignment="1">
      <alignment horizontal="left" vertical="center" wrapText="1"/>
    </xf>
    <xf numFmtId="0" fontId="0" fillId="4" borderId="209" xfId="0" applyFill="1" applyBorder="1" applyAlignment="1">
      <alignment wrapText="1"/>
    </xf>
    <xf numFmtId="9" fontId="0" fillId="4" borderId="209" xfId="3" applyFont="1" applyFill="1" applyBorder="1" applyProtection="1">
      <protection locked="0"/>
    </xf>
    <xf numFmtId="44" fontId="0" fillId="4" borderId="209" xfId="2" applyFont="1" applyFill="1" applyBorder="1" applyProtection="1">
      <protection locked="0"/>
    </xf>
    <xf numFmtId="44" fontId="9" fillId="4" borderId="209" xfId="2" applyFont="1" applyFill="1" applyBorder="1" applyAlignment="1" applyProtection="1">
      <alignment horizontal="center"/>
      <protection locked="0"/>
    </xf>
    <xf numFmtId="44" fontId="0" fillId="4" borderId="209" xfId="2" applyFont="1" applyFill="1" applyBorder="1" applyAlignment="1" applyProtection="1">
      <alignment horizontal="center"/>
      <protection locked="0"/>
    </xf>
    <xf numFmtId="0" fontId="0" fillId="0" borderId="204" xfId="0" applyBorder="1"/>
    <xf numFmtId="0" fontId="0" fillId="0" borderId="227" xfId="0" applyBorder="1" applyProtection="1">
      <protection locked="0"/>
    </xf>
    <xf numFmtId="165" fontId="0" fillId="0" borderId="206" xfId="0" applyNumberFormat="1" applyBorder="1" applyProtection="1">
      <protection locked="0"/>
    </xf>
    <xf numFmtId="165" fontId="0" fillId="0" borderId="205" xfId="0" applyNumberFormat="1" applyBorder="1" applyProtection="1">
      <protection locked="0"/>
    </xf>
    <xf numFmtId="165" fontId="0" fillId="0" borderId="209" xfId="0" applyNumberFormat="1" applyBorder="1" applyAlignment="1" applyProtection="1">
      <alignment horizontal="right"/>
      <protection locked="0"/>
    </xf>
    <xf numFmtId="0" fontId="0" fillId="0" borderId="209" xfId="0" applyBorder="1" applyAlignment="1" applyProtection="1">
      <alignment wrapText="1"/>
      <protection locked="0"/>
    </xf>
    <xf numFmtId="44" fontId="0" fillId="0" borderId="209" xfId="0" applyNumberFormat="1" applyBorder="1" applyProtection="1">
      <protection locked="0"/>
    </xf>
    <xf numFmtId="0" fontId="0" fillId="0" borderId="204" xfId="0" applyBorder="1" applyProtection="1">
      <protection locked="0"/>
    </xf>
    <xf numFmtId="0" fontId="0" fillId="0" borderId="205" xfId="0" applyBorder="1" applyAlignment="1" applyProtection="1">
      <alignment wrapText="1"/>
      <protection locked="0"/>
    </xf>
    <xf numFmtId="165" fontId="0" fillId="0" borderId="209" xfId="0" applyNumberFormat="1" applyBorder="1" applyProtection="1">
      <protection locked="0"/>
    </xf>
    <xf numFmtId="0" fontId="0" fillId="0" borderId="205" xfId="0" applyBorder="1" applyAlignment="1">
      <alignment wrapText="1"/>
    </xf>
    <xf numFmtId="0" fontId="0" fillId="0" borderId="206" xfId="0" applyBorder="1" applyProtection="1">
      <protection locked="0"/>
    </xf>
    <xf numFmtId="0" fontId="0" fillId="0" borderId="205" xfId="0" applyBorder="1" applyProtection="1">
      <protection locked="0"/>
    </xf>
    <xf numFmtId="0" fontId="0" fillId="0" borderId="209" xfId="0" applyBorder="1" applyProtection="1">
      <protection locked="0"/>
    </xf>
    <xf numFmtId="0" fontId="0" fillId="0" borderId="228" xfId="0" applyBorder="1"/>
    <xf numFmtId="0" fontId="0" fillId="0" borderId="229" xfId="0" applyBorder="1" applyAlignment="1">
      <alignment wrapText="1"/>
    </xf>
    <xf numFmtId="0" fontId="0" fillId="0" borderId="230" xfId="0" applyBorder="1" applyProtection="1">
      <protection locked="0"/>
    </xf>
    <xf numFmtId="0" fontId="0" fillId="0" borderId="231" xfId="0" applyBorder="1" applyProtection="1">
      <protection locked="0"/>
    </xf>
    <xf numFmtId="0" fontId="0" fillId="0" borderId="232" xfId="0" applyBorder="1" applyProtection="1">
      <protection locked="0"/>
    </xf>
    <xf numFmtId="0" fontId="0" fillId="0" borderId="233" xfId="0" applyBorder="1" applyProtection="1">
      <protection locked="0"/>
    </xf>
    <xf numFmtId="0" fontId="0" fillId="0" borderId="229" xfId="0" applyBorder="1" applyProtection="1">
      <protection locked="0"/>
    </xf>
    <xf numFmtId="0" fontId="0" fillId="0" borderId="209" xfId="0" applyBorder="1" applyAlignment="1" applyProtection="1">
      <alignment horizontal="center"/>
      <protection locked="0"/>
    </xf>
    <xf numFmtId="0" fontId="3" fillId="0" borderId="209" xfId="0" applyFont="1" applyBorder="1" applyAlignment="1" applyProtection="1">
      <alignment horizontal="right"/>
      <protection locked="0"/>
    </xf>
    <xf numFmtId="169" fontId="0" fillId="0" borderId="209" xfId="0" applyNumberFormat="1" applyBorder="1" applyAlignment="1" applyProtection="1">
      <alignment horizontal="center"/>
      <protection locked="0"/>
    </xf>
    <xf numFmtId="0" fontId="4" fillId="0" borderId="209" xfId="4" applyBorder="1" applyAlignment="1" applyProtection="1">
      <alignment horizontal="center" vertical="center"/>
      <protection locked="0"/>
    </xf>
    <xf numFmtId="0" fontId="3" fillId="0" borderId="234" xfId="0" applyFont="1" applyBorder="1" applyAlignment="1" applyProtection="1">
      <alignment horizontal="right"/>
      <protection locked="0"/>
    </xf>
    <xf numFmtId="5" fontId="0" fillId="0" borderId="229" xfId="2" applyNumberFormat="1" applyFont="1" applyBorder="1" applyAlignment="1" applyProtection="1">
      <alignment horizontal="center"/>
      <protection locked="0"/>
    </xf>
    <xf numFmtId="0" fontId="3" fillId="26" borderId="209" xfId="0" applyFont="1" applyFill="1" applyBorder="1" applyAlignment="1">
      <alignment wrapText="1"/>
    </xf>
    <xf numFmtId="0" fontId="0" fillId="0" borderId="209" xfId="0" applyBorder="1" applyAlignment="1">
      <alignment horizontal="left" wrapText="1"/>
    </xf>
    <xf numFmtId="14" fontId="0" fillId="0" borderId="209" xfId="0" applyNumberFormat="1" applyBorder="1" applyAlignment="1">
      <alignment horizontal="left" wrapText="1"/>
    </xf>
    <xf numFmtId="43" fontId="0" fillId="0" borderId="201" xfId="1" applyFont="1" applyBorder="1" applyProtection="1">
      <protection locked="0"/>
    </xf>
    <xf numFmtId="0" fontId="0" fillId="0" borderId="201" xfId="0" applyBorder="1" applyAlignment="1" applyProtection="1">
      <alignment horizontal="center"/>
      <protection locked="0"/>
    </xf>
    <xf numFmtId="0" fontId="6" fillId="0" borderId="209" xfId="0" applyFont="1" applyBorder="1" applyAlignment="1">
      <alignment vertical="center"/>
    </xf>
    <xf numFmtId="44" fontId="6" fillId="0" borderId="209" xfId="2" applyFont="1" applyBorder="1" applyAlignment="1">
      <alignment horizontal="center" vertical="center"/>
    </xf>
    <xf numFmtId="0" fontId="6" fillId="0" borderId="209" xfId="0" quotePrefix="1" applyFont="1" applyBorder="1"/>
    <xf numFmtId="0" fontId="6" fillId="0" borderId="225" xfId="0" applyFont="1" applyBorder="1" applyAlignment="1">
      <alignment horizontal="left" vertical="center" wrapText="1"/>
    </xf>
    <xf numFmtId="43" fontId="0" fillId="0" borderId="235" xfId="1" applyFont="1" applyBorder="1" applyAlignment="1" applyProtection="1">
      <alignment horizontal="left"/>
      <protection locked="0"/>
    </xf>
    <xf numFmtId="44" fontId="0" fillId="0" borderId="235" xfId="2" applyFont="1" applyBorder="1" applyAlignment="1" applyProtection="1">
      <alignment horizontal="left"/>
      <protection locked="0"/>
    </xf>
    <xf numFmtId="44" fontId="0" fillId="0" borderId="236" xfId="2" applyFont="1" applyBorder="1" applyAlignment="1" applyProtection="1">
      <alignment horizontal="left"/>
      <protection locked="0"/>
    </xf>
    <xf numFmtId="44" fontId="0" fillId="5" borderId="224" xfId="2" applyFont="1" applyFill="1" applyBorder="1" applyProtection="1">
      <protection locked="0"/>
    </xf>
    <xf numFmtId="0" fontId="6" fillId="5" borderId="225" xfId="0" applyFont="1" applyFill="1" applyBorder="1" applyAlignment="1">
      <alignment horizontal="left" vertical="center" wrapText="1" indent="2"/>
    </xf>
    <xf numFmtId="44" fontId="0" fillId="5" borderId="236" xfId="2" applyFont="1" applyFill="1" applyBorder="1" applyAlignment="1" applyProtection="1">
      <alignment horizontal="left"/>
      <protection locked="0"/>
    </xf>
    <xf numFmtId="44" fontId="6" fillId="5" borderId="209" xfId="2" applyFont="1" applyFill="1" applyBorder="1" applyAlignment="1">
      <alignment horizontal="center" vertical="center"/>
    </xf>
    <xf numFmtId="0" fontId="6" fillId="5" borderId="225" xfId="0" applyFont="1" applyFill="1" applyBorder="1" applyAlignment="1">
      <alignment horizontal="left" vertical="center" wrapText="1"/>
    </xf>
    <xf numFmtId="0" fontId="6" fillId="5" borderId="209" xfId="0" applyFont="1" applyFill="1" applyBorder="1" applyAlignment="1">
      <alignment horizontal="left" vertical="center" wrapText="1"/>
    </xf>
    <xf numFmtId="0" fontId="0" fillId="5" borderId="202" xfId="0" applyFill="1" applyBorder="1" applyProtection="1">
      <protection locked="0"/>
    </xf>
    <xf numFmtId="0" fontId="6" fillId="13" borderId="209" xfId="0" applyFont="1" applyFill="1" applyBorder="1" applyAlignment="1">
      <alignment horizontal="left" vertical="center" wrapText="1"/>
    </xf>
    <xf numFmtId="44" fontId="0" fillId="13" borderId="236" xfId="2" applyFont="1" applyFill="1" applyBorder="1" applyAlignment="1" applyProtection="1">
      <alignment horizontal="left"/>
      <protection locked="0"/>
    </xf>
    <xf numFmtId="44" fontId="6" fillId="13" borderId="209" xfId="2" applyFont="1" applyFill="1" applyBorder="1" applyAlignment="1">
      <alignment horizontal="center" vertical="center"/>
    </xf>
    <xf numFmtId="44" fontId="0" fillId="13" borderId="224" xfId="2" applyFont="1" applyFill="1" applyBorder="1" applyProtection="1">
      <protection locked="0"/>
    </xf>
    <xf numFmtId="0" fontId="0" fillId="0" borderId="237" xfId="0" applyBorder="1"/>
    <xf numFmtId="0" fontId="0" fillId="0" borderId="235" xfId="0" applyBorder="1" applyProtection="1">
      <protection locked="0"/>
    </xf>
    <xf numFmtId="0" fontId="0" fillId="0" borderId="238" xfId="0" applyBorder="1" applyProtection="1">
      <protection locked="0"/>
    </xf>
    <xf numFmtId="165" fontId="0" fillId="0" borderId="224" xfId="0" applyNumberFormat="1" applyBorder="1" applyProtection="1">
      <protection locked="0"/>
    </xf>
    <xf numFmtId="165" fontId="0" fillId="0" borderId="225" xfId="0" applyNumberFormat="1" applyBorder="1" applyProtection="1">
      <protection locked="0"/>
    </xf>
    <xf numFmtId="0" fontId="0" fillId="0" borderId="237" xfId="0" applyBorder="1" applyProtection="1">
      <protection locked="0"/>
    </xf>
    <xf numFmtId="0" fontId="0" fillId="0" borderId="225" xfId="0" applyBorder="1" applyAlignment="1" applyProtection="1">
      <alignment wrapText="1"/>
      <protection locked="0"/>
    </xf>
    <xf numFmtId="0" fontId="0" fillId="0" borderId="225" xfId="0" applyBorder="1" applyAlignment="1">
      <alignment wrapText="1"/>
    </xf>
    <xf numFmtId="0" fontId="0" fillId="0" borderId="224" xfId="0" applyBorder="1" applyProtection="1">
      <protection locked="0"/>
    </xf>
    <xf numFmtId="0" fontId="0" fillId="0" borderId="225" xfId="0" applyBorder="1" applyProtection="1">
      <protection locked="0"/>
    </xf>
    <xf numFmtId="43" fontId="0" fillId="0" borderId="231" xfId="1" applyFont="1" applyBorder="1" applyProtection="1">
      <protection locked="0"/>
    </xf>
    <xf numFmtId="0" fontId="0" fillId="0" borderId="231" xfId="0" applyBorder="1" applyAlignment="1" applyProtection="1">
      <alignment horizontal="center"/>
      <protection locked="0"/>
    </xf>
    <xf numFmtId="44" fontId="0" fillId="0" borderId="229" xfId="2" applyFont="1" applyBorder="1" applyAlignment="1" applyProtection="1">
      <alignment horizontal="center"/>
      <protection locked="0"/>
    </xf>
    <xf numFmtId="0" fontId="0" fillId="0" borderId="237" xfId="0" applyBorder="1" applyAlignment="1">
      <alignment vertical="top"/>
    </xf>
    <xf numFmtId="0" fontId="6" fillId="20" borderId="225" xfId="0" applyFont="1" applyFill="1" applyBorder="1" applyAlignment="1">
      <alignment horizontal="center"/>
    </xf>
    <xf numFmtId="44" fontId="0" fillId="31" borderId="206" xfId="2" applyFont="1" applyFill="1" applyBorder="1" applyAlignment="1" applyProtection="1">
      <alignment horizontal="left"/>
      <protection locked="0"/>
    </xf>
    <xf numFmtId="0" fontId="6" fillId="22" borderId="239" xfId="0" applyFont="1" applyFill="1" applyBorder="1" applyAlignment="1">
      <alignment horizontal="left"/>
    </xf>
    <xf numFmtId="44" fontId="0" fillId="22" borderId="206" xfId="2" applyFont="1" applyFill="1" applyBorder="1" applyAlignment="1" applyProtection="1">
      <alignment horizontal="left"/>
      <protection locked="0"/>
    </xf>
    <xf numFmtId="44" fontId="0" fillId="22" borderId="206" xfId="2" applyFont="1" applyFill="1" applyBorder="1" applyProtection="1">
      <protection locked="0"/>
    </xf>
    <xf numFmtId="43" fontId="0" fillId="0" borderId="240" xfId="0" applyNumberFormat="1" applyBorder="1" applyAlignment="1">
      <alignment vertical="top"/>
    </xf>
    <xf numFmtId="0" fontId="0" fillId="0" borderId="241" xfId="0" applyBorder="1" applyAlignment="1">
      <alignment horizontal="left" wrapText="1" indent="2"/>
    </xf>
    <xf numFmtId="44" fontId="0" fillId="0" borderId="242" xfId="2" applyFont="1" applyBorder="1" applyAlignment="1" applyProtection="1">
      <alignment horizontal="center"/>
      <protection locked="0"/>
    </xf>
    <xf numFmtId="44" fontId="0" fillId="0" borderId="243" xfId="2" applyFont="1" applyBorder="1" applyAlignment="1" applyProtection="1">
      <alignment horizontal="left"/>
      <protection locked="0"/>
    </xf>
    <xf numFmtId="44" fontId="0" fillId="0" borderId="178" xfId="2" applyFont="1" applyBorder="1" applyProtection="1">
      <protection locked="0"/>
    </xf>
    <xf numFmtId="0" fontId="0" fillId="0" borderId="241" xfId="0" applyBorder="1" applyAlignment="1">
      <alignment wrapText="1"/>
    </xf>
    <xf numFmtId="0" fontId="6" fillId="0" borderId="241" xfId="0" applyFont="1" applyBorder="1" applyAlignment="1">
      <alignment horizontal="left" vertical="center" wrapText="1"/>
    </xf>
    <xf numFmtId="0" fontId="6" fillId="0" borderId="241" xfId="0" applyFont="1" applyBorder="1" applyAlignment="1">
      <alignment horizontal="left" vertical="center" wrapText="1" indent="2"/>
    </xf>
    <xf numFmtId="43" fontId="0" fillId="0" borderId="203" xfId="0" applyNumberFormat="1" applyBorder="1" applyAlignment="1">
      <alignment vertical="top"/>
    </xf>
    <xf numFmtId="0" fontId="6" fillId="0" borderId="209" xfId="0" applyFont="1" applyBorder="1" applyAlignment="1">
      <alignment horizontal="left" vertical="center" wrapText="1" indent="2"/>
    </xf>
    <xf numFmtId="44" fontId="0" fillId="5" borderId="206" xfId="2" applyFont="1" applyFill="1" applyBorder="1" applyProtection="1">
      <protection locked="0"/>
    </xf>
    <xf numFmtId="44" fontId="0" fillId="25" borderId="206" xfId="2" applyFont="1" applyFill="1" applyBorder="1" applyProtection="1">
      <protection locked="0"/>
    </xf>
    <xf numFmtId="0" fontId="6" fillId="51" borderId="209" xfId="0" applyFont="1" applyFill="1" applyBorder="1" applyAlignment="1">
      <alignment horizontal="left" vertical="center" wrapText="1"/>
    </xf>
    <xf numFmtId="44" fontId="0" fillId="51" borderId="206" xfId="2" applyFont="1" applyFill="1" applyBorder="1" applyProtection="1">
      <protection locked="0"/>
    </xf>
    <xf numFmtId="0" fontId="6" fillId="51" borderId="209" xfId="0" applyFont="1" applyFill="1" applyBorder="1" applyAlignment="1">
      <alignment vertical="center" wrapText="1"/>
    </xf>
    <xf numFmtId="44" fontId="0" fillId="50" borderId="206" xfId="2" applyFont="1" applyFill="1" applyBorder="1" applyProtection="1">
      <protection locked="0"/>
    </xf>
    <xf numFmtId="0" fontId="6" fillId="0" borderId="205" xfId="0" applyFont="1" applyBorder="1" applyAlignment="1">
      <alignment vertical="center" wrapText="1"/>
    </xf>
    <xf numFmtId="179" fontId="0" fillId="31" borderId="209" xfId="3" applyNumberFormat="1" applyFont="1" applyFill="1" applyBorder="1" applyProtection="1">
      <protection locked="0"/>
    </xf>
    <xf numFmtId="44" fontId="0" fillId="0" borderId="209" xfId="0" applyNumberFormat="1" applyBorder="1" applyAlignment="1" applyProtection="1">
      <alignment horizontal="left"/>
      <protection locked="0"/>
    </xf>
    <xf numFmtId="44" fontId="0" fillId="50" borderId="244" xfId="2" applyFont="1" applyFill="1" applyBorder="1" applyProtection="1">
      <protection locked="0"/>
    </xf>
    <xf numFmtId="44" fontId="0" fillId="13" borderId="244" xfId="2" applyFont="1" applyFill="1" applyBorder="1" applyProtection="1">
      <protection locked="0"/>
    </xf>
    <xf numFmtId="44" fontId="4" fillId="0" borderId="203" xfId="4" applyNumberFormat="1" applyBorder="1" applyAlignment="1" applyProtection="1">
      <alignment horizontal="center" vertical="center"/>
      <protection locked="0"/>
    </xf>
    <xf numFmtId="0" fontId="10" fillId="20" borderId="205" xfId="0" applyFont="1" applyFill="1" applyBorder="1" applyAlignment="1">
      <alignment horizontal="center"/>
    </xf>
    <xf numFmtId="0" fontId="5" fillId="0" borderId="245" xfId="0" applyFont="1" applyBorder="1" applyProtection="1">
      <protection locked="0"/>
    </xf>
    <xf numFmtId="44" fontId="10" fillId="0" borderId="205" xfId="2" applyFont="1" applyBorder="1" applyAlignment="1">
      <alignment horizontal="center" vertical="center"/>
    </xf>
    <xf numFmtId="0" fontId="10" fillId="0" borderId="209" xfId="0" applyFont="1" applyBorder="1" applyAlignment="1">
      <alignment vertical="center"/>
    </xf>
    <xf numFmtId="44" fontId="10" fillId="0" borderId="209" xfId="2" applyFont="1" applyBorder="1" applyAlignment="1">
      <alignment horizontal="center" vertical="center"/>
    </xf>
    <xf numFmtId="0" fontId="10" fillId="0" borderId="209" xfId="0" quotePrefix="1" applyFont="1" applyBorder="1"/>
    <xf numFmtId="0" fontId="10" fillId="22" borderId="246" xfId="0" applyFont="1" applyFill="1" applyBorder="1" applyAlignment="1">
      <alignment horizontal="left"/>
    </xf>
    <xf numFmtId="0" fontId="3" fillId="0" borderId="211" xfId="0" applyFont="1" applyBorder="1" applyAlignment="1">
      <alignment wrapText="1"/>
    </xf>
    <xf numFmtId="0" fontId="10" fillId="0" borderId="205" xfId="0" applyFont="1" applyBorder="1" applyAlignment="1">
      <alignment horizontal="left" vertical="center" wrapText="1"/>
    </xf>
    <xf numFmtId="44" fontId="0" fillId="0" borderId="193" xfId="2" applyFont="1" applyBorder="1" applyAlignment="1" applyProtection="1">
      <alignment horizontal="left"/>
      <protection locked="0"/>
    </xf>
    <xf numFmtId="44" fontId="0" fillId="0" borderId="247" xfId="2" applyFont="1" applyBorder="1" applyProtection="1">
      <protection locked="0"/>
    </xf>
    <xf numFmtId="0" fontId="11" fillId="0" borderId="209" xfId="0" applyFont="1" applyBorder="1" applyAlignment="1">
      <alignment horizontal="left" vertical="center" wrapText="1"/>
    </xf>
    <xf numFmtId="44" fontId="0" fillId="0" borderId="201" xfId="2" applyFont="1" applyBorder="1" applyAlignment="1" applyProtection="1">
      <alignment horizontal="center"/>
      <protection locked="0"/>
    </xf>
    <xf numFmtId="44" fontId="10" fillId="5" borderId="209" xfId="2" applyFont="1" applyFill="1" applyBorder="1" applyAlignment="1">
      <alignment horizontal="center" vertical="center"/>
    </xf>
    <xf numFmtId="0" fontId="51" fillId="0" borderId="209" xfId="0" applyFont="1" applyBorder="1" applyAlignment="1">
      <alignment horizontal="left" vertical="center" wrapText="1"/>
    </xf>
    <xf numFmtId="44" fontId="52" fillId="5" borderId="209" xfId="2" applyFont="1" applyFill="1" applyBorder="1" applyAlignment="1">
      <alignment horizontal="center" vertical="center"/>
    </xf>
    <xf numFmtId="0" fontId="0" fillId="0" borderId="248" xfId="0" applyBorder="1" applyProtection="1">
      <protection locked="0"/>
    </xf>
    <xf numFmtId="44" fontId="0" fillId="0" borderId="209" xfId="0" applyNumberFormat="1" applyBorder="1" applyAlignment="1" applyProtection="1">
      <alignment horizontal="center"/>
      <protection locked="0"/>
    </xf>
    <xf numFmtId="44" fontId="4" fillId="0" borderId="209" xfId="4" applyNumberFormat="1" applyBorder="1" applyAlignment="1" applyProtection="1">
      <alignment horizontal="center" vertical="center"/>
      <protection locked="0"/>
    </xf>
    <xf numFmtId="0" fontId="5" fillId="0" borderId="248" xfId="0" applyFont="1" applyBorder="1" applyProtection="1">
      <protection locked="0"/>
    </xf>
    <xf numFmtId="0" fontId="10" fillId="22" borderId="249" xfId="0" applyFont="1" applyFill="1" applyBorder="1" applyAlignment="1">
      <alignment horizontal="left"/>
    </xf>
    <xf numFmtId="0" fontId="10" fillId="22" borderId="208" xfId="0" applyFont="1" applyFill="1" applyBorder="1" applyAlignment="1">
      <alignment horizontal="left"/>
    </xf>
    <xf numFmtId="4" fontId="0" fillId="0" borderId="235" xfId="0" applyNumberFormat="1" applyBorder="1" applyAlignment="1" applyProtection="1">
      <alignment horizontal="left"/>
      <protection locked="0"/>
    </xf>
    <xf numFmtId="0" fontId="10" fillId="20" borderId="225" xfId="0" applyFont="1" applyFill="1" applyBorder="1" applyAlignment="1">
      <alignment horizontal="center"/>
    </xf>
    <xf numFmtId="44" fontId="0" fillId="0" borderId="235" xfId="2" applyFont="1" applyBorder="1" applyProtection="1">
      <protection locked="0"/>
    </xf>
    <xf numFmtId="44" fontId="0" fillId="0" borderId="250" xfId="2" applyFont="1" applyBorder="1" applyProtection="1">
      <protection locked="0"/>
    </xf>
    <xf numFmtId="44" fontId="10" fillId="0" borderId="225" xfId="2" applyFont="1" applyBorder="1" applyAlignment="1">
      <alignment horizontal="center" vertical="center"/>
    </xf>
    <xf numFmtId="44" fontId="0" fillId="0" borderId="224" xfId="2" applyFont="1" applyBorder="1" applyAlignment="1" applyProtection="1">
      <alignment horizontal="left"/>
      <protection locked="0"/>
    </xf>
    <xf numFmtId="44" fontId="0" fillId="0" borderId="224" xfId="2" applyFont="1" applyBorder="1" applyProtection="1">
      <protection locked="0"/>
    </xf>
    <xf numFmtId="0" fontId="10" fillId="0" borderId="225" xfId="0" applyFont="1" applyBorder="1" applyAlignment="1">
      <alignment horizontal="left" vertical="center" wrapText="1" indent="2"/>
    </xf>
    <xf numFmtId="0" fontId="0" fillId="0" borderId="235" xfId="0" applyBorder="1" applyAlignment="1" applyProtection="1">
      <alignment horizontal="right"/>
      <protection locked="0"/>
    </xf>
    <xf numFmtId="44" fontId="10" fillId="0" borderId="203" xfId="2" applyFont="1" applyBorder="1" applyAlignment="1">
      <alignment horizontal="center" vertical="center"/>
    </xf>
    <xf numFmtId="44" fontId="0" fillId="0" borderId="251" xfId="2" applyFont="1" applyBorder="1" applyProtection="1">
      <protection locked="0"/>
    </xf>
    <xf numFmtId="44" fontId="0" fillId="0" borderId="252" xfId="2" applyFont="1" applyBorder="1" applyProtection="1">
      <protection locked="0"/>
    </xf>
    <xf numFmtId="4" fontId="0" fillId="0" borderId="201" xfId="0" applyNumberFormat="1" applyBorder="1" applyAlignment="1" applyProtection="1">
      <alignment horizontal="right"/>
      <protection locked="0"/>
    </xf>
    <xf numFmtId="44" fontId="55" fillId="0" borderId="206" xfId="2" applyFont="1" applyBorder="1" applyProtection="1">
      <protection locked="0"/>
    </xf>
    <xf numFmtId="0" fontId="0" fillId="0" borderId="211" xfId="0" applyBorder="1" applyAlignment="1">
      <alignment horizontal="left" wrapText="1" indent="1"/>
    </xf>
    <xf numFmtId="0" fontId="3" fillId="0" borderId="211" xfId="0" applyFont="1" applyBorder="1" applyAlignment="1">
      <alignment horizontal="left" wrapText="1"/>
    </xf>
    <xf numFmtId="0" fontId="0" fillId="0" borderId="253" xfId="0" applyBorder="1" applyAlignment="1">
      <alignment horizontal="left" wrapText="1" indent="1"/>
    </xf>
    <xf numFmtId="0" fontId="10" fillId="0" borderId="177" xfId="0" applyFont="1" applyBorder="1" applyAlignment="1">
      <alignment horizontal="left" vertical="center" wrapText="1"/>
    </xf>
    <xf numFmtId="0" fontId="11" fillId="0" borderId="177" xfId="0" applyFont="1" applyBorder="1" applyAlignment="1">
      <alignment horizontal="left" vertical="center" wrapText="1"/>
    </xf>
    <xf numFmtId="44" fontId="10" fillId="5" borderId="177" xfId="2" applyFont="1" applyFill="1" applyBorder="1" applyAlignment="1">
      <alignment horizontal="center" vertical="center"/>
    </xf>
    <xf numFmtId="0" fontId="51" fillId="0" borderId="177" xfId="0" applyFont="1" applyBorder="1" applyAlignment="1">
      <alignment horizontal="left" vertical="center" wrapText="1" indent="1"/>
    </xf>
    <xf numFmtId="0" fontId="10" fillId="0" borderId="177" xfId="0" applyFont="1" applyBorder="1" applyAlignment="1">
      <alignment horizontal="left" vertical="center" wrapText="1" indent="1"/>
    </xf>
    <xf numFmtId="0" fontId="11" fillId="0" borderId="205" xfId="0" applyFont="1" applyBorder="1" applyAlignment="1">
      <alignment horizontal="left" vertical="center" wrapText="1"/>
    </xf>
    <xf numFmtId="0" fontId="10" fillId="0" borderId="205" xfId="0" applyFont="1" applyBorder="1" applyAlignment="1">
      <alignment horizontal="left" vertical="center" wrapText="1" indent="1"/>
    </xf>
    <xf numFmtId="179" fontId="0" fillId="4" borderId="177" xfId="3" applyNumberFormat="1" applyFont="1" applyFill="1" applyBorder="1" applyProtection="1">
      <protection locked="0"/>
    </xf>
    <xf numFmtId="0" fontId="0" fillId="0" borderId="177" xfId="0" applyBorder="1" applyAlignment="1">
      <alignment wrapText="1"/>
    </xf>
    <xf numFmtId="0" fontId="0" fillId="0" borderId="254" xfId="0" applyBorder="1"/>
    <xf numFmtId="0" fontId="0" fillId="0" borderId="174" xfId="0" applyBorder="1" applyAlignment="1" applyProtection="1">
      <alignment horizontal="right"/>
      <protection locked="0"/>
    </xf>
    <xf numFmtId="0" fontId="65" fillId="0" borderId="248" xfId="0" applyFont="1" applyBorder="1" applyProtection="1">
      <protection locked="0"/>
    </xf>
    <xf numFmtId="0" fontId="0" fillId="0" borderId="255" xfId="0" applyBorder="1" applyProtection="1">
      <protection locked="0"/>
    </xf>
    <xf numFmtId="0" fontId="3" fillId="0" borderId="256" xfId="0" applyFont="1" applyBorder="1" applyAlignment="1">
      <alignment wrapText="1"/>
    </xf>
    <xf numFmtId="44" fontId="0" fillId="0" borderId="256" xfId="2" applyFont="1" applyBorder="1" applyProtection="1">
      <protection locked="0"/>
    </xf>
    <xf numFmtId="0" fontId="0" fillId="0" borderId="225" xfId="0" applyBorder="1" applyAlignment="1">
      <alignment horizontal="left" wrapText="1" indent="1"/>
    </xf>
    <xf numFmtId="0" fontId="57" fillId="0" borderId="248" xfId="0" applyFont="1" applyBorder="1" applyProtection="1">
      <protection locked="0"/>
    </xf>
    <xf numFmtId="44" fontId="10" fillId="5" borderId="256" xfId="2" applyFont="1" applyFill="1" applyBorder="1" applyAlignment="1">
      <alignment horizontal="center" vertical="center"/>
    </xf>
    <xf numFmtId="0" fontId="3" fillId="0" borderId="225" xfId="0" applyFont="1" applyBorder="1" applyAlignment="1">
      <alignment wrapText="1"/>
    </xf>
    <xf numFmtId="0" fontId="10" fillId="0" borderId="225" xfId="0" applyFont="1" applyBorder="1" applyAlignment="1">
      <alignment horizontal="left" vertical="center" wrapText="1" indent="1"/>
    </xf>
    <xf numFmtId="4" fontId="0" fillId="0" borderId="257" xfId="0" applyNumberFormat="1" applyBorder="1" applyAlignment="1" applyProtection="1">
      <alignment horizontal="left"/>
      <protection locked="0"/>
    </xf>
    <xf numFmtId="44" fontId="0" fillId="0" borderId="257" xfId="2" applyFont="1" applyBorder="1" applyAlignment="1" applyProtection="1">
      <alignment horizontal="left"/>
      <protection locked="0"/>
    </xf>
    <xf numFmtId="44" fontId="0" fillId="0" borderId="258" xfId="2" applyFont="1" applyBorder="1" applyAlignment="1" applyProtection="1">
      <alignment horizontal="left"/>
      <protection locked="0"/>
    </xf>
    <xf numFmtId="0" fontId="11" fillId="0" borderId="259" xfId="0" applyFont="1" applyBorder="1" applyAlignment="1">
      <alignment horizontal="left" vertical="center" wrapText="1"/>
    </xf>
    <xf numFmtId="0" fontId="10" fillId="0" borderId="259" xfId="0" applyFont="1" applyBorder="1" applyAlignment="1">
      <alignment horizontal="left" vertical="center" wrapText="1"/>
    </xf>
    <xf numFmtId="44" fontId="10" fillId="0" borderId="256" xfId="2" applyFont="1" applyFill="1" applyBorder="1" applyAlignment="1">
      <alignment horizontal="center" vertical="center"/>
    </xf>
    <xf numFmtId="0" fontId="10" fillId="0" borderId="256" xfId="0" applyFont="1" applyBorder="1" applyAlignment="1">
      <alignment horizontal="left" vertical="center" wrapText="1"/>
    </xf>
    <xf numFmtId="0" fontId="0" fillId="4" borderId="256" xfId="0" applyFill="1" applyBorder="1" applyAlignment="1">
      <alignment wrapText="1"/>
    </xf>
    <xf numFmtId="9" fontId="0" fillId="4" borderId="256" xfId="3" applyFont="1" applyFill="1" applyBorder="1" applyProtection="1">
      <protection locked="0"/>
    </xf>
    <xf numFmtId="44" fontId="0" fillId="4" borderId="256" xfId="2" applyFont="1" applyFill="1" applyBorder="1" applyProtection="1">
      <protection locked="0"/>
    </xf>
    <xf numFmtId="44" fontId="9" fillId="4" borderId="256" xfId="2" applyFont="1" applyFill="1" applyBorder="1" applyAlignment="1" applyProtection="1">
      <alignment horizontal="center"/>
      <protection locked="0"/>
    </xf>
    <xf numFmtId="44" fontId="0" fillId="4" borderId="256" xfId="2" applyFont="1" applyFill="1" applyBorder="1" applyAlignment="1" applyProtection="1">
      <alignment horizontal="center"/>
      <protection locked="0"/>
    </xf>
    <xf numFmtId="0" fontId="0" fillId="0" borderId="260" xfId="0" applyBorder="1"/>
    <xf numFmtId="0" fontId="0" fillId="0" borderId="256" xfId="0" applyBorder="1" applyAlignment="1">
      <alignment wrapText="1"/>
    </xf>
    <xf numFmtId="0" fontId="0" fillId="0" borderId="261" xfId="0" applyBorder="1" applyProtection="1">
      <protection locked="0"/>
    </xf>
    <xf numFmtId="165" fontId="0" fillId="0" borderId="259" xfId="0" applyNumberFormat="1" applyBorder="1" applyProtection="1">
      <protection locked="0"/>
    </xf>
    <xf numFmtId="165" fontId="0" fillId="0" borderId="262" xfId="0" applyNumberFormat="1" applyBorder="1" applyProtection="1">
      <protection locked="0"/>
    </xf>
    <xf numFmtId="165" fontId="0" fillId="0" borderId="256" xfId="0" applyNumberFormat="1" applyBorder="1" applyAlignment="1" applyProtection="1">
      <alignment horizontal="right"/>
      <protection locked="0"/>
    </xf>
    <xf numFmtId="0" fontId="0" fillId="0" borderId="256" xfId="0" applyBorder="1" applyAlignment="1" applyProtection="1">
      <alignment wrapText="1"/>
      <protection locked="0"/>
    </xf>
    <xf numFmtId="44" fontId="0" fillId="0" borderId="256" xfId="0" applyNumberFormat="1" applyBorder="1" applyProtection="1">
      <protection locked="0"/>
    </xf>
    <xf numFmtId="0" fontId="0" fillId="0" borderId="260" xfId="0" applyBorder="1" applyProtection="1">
      <protection locked="0"/>
    </xf>
    <xf numFmtId="0" fontId="0" fillId="0" borderId="259" xfId="0" applyBorder="1" applyAlignment="1" applyProtection="1">
      <alignment wrapText="1"/>
      <protection locked="0"/>
    </xf>
    <xf numFmtId="165" fontId="0" fillId="0" borderId="256" xfId="0" applyNumberFormat="1" applyBorder="1" applyProtection="1">
      <protection locked="0"/>
    </xf>
    <xf numFmtId="0" fontId="0" fillId="0" borderId="259" xfId="0" applyBorder="1" applyAlignment="1">
      <alignment wrapText="1"/>
    </xf>
    <xf numFmtId="0" fontId="0" fillId="0" borderId="259" xfId="0" applyBorder="1" applyProtection="1">
      <protection locked="0"/>
    </xf>
    <xf numFmtId="0" fontId="0" fillId="0" borderId="262" xfId="0" applyBorder="1" applyProtection="1">
      <protection locked="0"/>
    </xf>
    <xf numFmtId="0" fontId="0" fillId="0" borderId="256" xfId="0" applyBorder="1" applyProtection="1">
      <protection locked="0"/>
    </xf>
    <xf numFmtId="0" fontId="57" fillId="0" borderId="230" xfId="0" applyFont="1" applyBorder="1" applyProtection="1">
      <protection locked="0"/>
    </xf>
    <xf numFmtId="44" fontId="0" fillId="0" borderId="256" xfId="0" applyNumberFormat="1" applyBorder="1" applyAlignment="1" applyProtection="1">
      <alignment horizontal="center"/>
      <protection locked="0"/>
    </xf>
    <xf numFmtId="0" fontId="3" fillId="0" borderId="256" xfId="0" applyFont="1" applyBorder="1" applyAlignment="1" applyProtection="1">
      <alignment horizontal="right"/>
      <protection locked="0"/>
    </xf>
    <xf numFmtId="169" fontId="0" fillId="0" borderId="256" xfId="0" applyNumberFormat="1" applyBorder="1" applyAlignment="1" applyProtection="1">
      <alignment horizontal="center"/>
      <protection locked="0"/>
    </xf>
    <xf numFmtId="44" fontId="4" fillId="0" borderId="256" xfId="4" applyNumberFormat="1" applyBorder="1" applyAlignment="1" applyProtection="1">
      <alignment horizontal="center" vertical="center"/>
      <protection locked="0"/>
    </xf>
    <xf numFmtId="0" fontId="3" fillId="26" borderId="256" xfId="0" applyFont="1" applyFill="1" applyBorder="1" applyAlignment="1">
      <alignment wrapText="1"/>
    </xf>
    <xf numFmtId="0" fontId="0" fillId="0" borderId="256" xfId="0" applyBorder="1" applyAlignment="1">
      <alignment horizontal="left" wrapText="1"/>
    </xf>
    <xf numFmtId="14" fontId="0" fillId="0" borderId="256" xfId="0" applyNumberFormat="1" applyBorder="1" applyAlignment="1">
      <alignment horizontal="left" wrapText="1"/>
    </xf>
    <xf numFmtId="0" fontId="0" fillId="0" borderId="260" xfId="0" applyBorder="1" applyAlignment="1">
      <alignment vertical="top"/>
    </xf>
    <xf numFmtId="0" fontId="10" fillId="20" borderId="259" xfId="0" applyFont="1" applyFill="1" applyBorder="1" applyAlignment="1">
      <alignment horizontal="center"/>
    </xf>
    <xf numFmtId="43" fontId="0" fillId="0" borderId="257" xfId="1" applyFont="1" applyBorder="1" applyProtection="1">
      <protection locked="0"/>
    </xf>
    <xf numFmtId="0" fontId="0" fillId="0" borderId="257" xfId="0" applyBorder="1" applyProtection="1">
      <protection locked="0"/>
    </xf>
    <xf numFmtId="44" fontId="0" fillId="0" borderId="257" xfId="2" applyFont="1" applyBorder="1" applyProtection="1">
      <protection locked="0"/>
    </xf>
    <xf numFmtId="44" fontId="0" fillId="0" borderId="263" xfId="2" applyFont="1" applyBorder="1" applyProtection="1">
      <protection locked="0"/>
    </xf>
    <xf numFmtId="44" fontId="10" fillId="0" borderId="259" xfId="2" applyFont="1" applyBorder="1" applyAlignment="1">
      <alignment horizontal="center" vertical="center"/>
    </xf>
    <xf numFmtId="44" fontId="0" fillId="0" borderId="262" xfId="2" applyFont="1" applyBorder="1" applyAlignment="1" applyProtection="1">
      <alignment horizontal="left"/>
      <protection locked="0"/>
    </xf>
    <xf numFmtId="44" fontId="0" fillId="0" borderId="262" xfId="2" applyFont="1" applyBorder="1" applyProtection="1">
      <protection locked="0"/>
    </xf>
    <xf numFmtId="0" fontId="10" fillId="0" borderId="256" xfId="0" applyFont="1" applyBorder="1" applyAlignment="1">
      <alignment vertical="center"/>
    </xf>
    <xf numFmtId="44" fontId="10" fillId="0" borderId="256" xfId="2" applyFont="1" applyBorder="1" applyAlignment="1">
      <alignment horizontal="center" vertical="center"/>
    </xf>
    <xf numFmtId="0" fontId="10" fillId="0" borderId="256" xfId="0" quotePrefix="1" applyFont="1" applyBorder="1"/>
    <xf numFmtId="0" fontId="10" fillId="22" borderId="264" xfId="0" applyFont="1" applyFill="1" applyBorder="1" applyAlignment="1">
      <alignment horizontal="left"/>
    </xf>
    <xf numFmtId="44" fontId="0" fillId="22" borderId="262" xfId="2" applyFont="1" applyFill="1" applyBorder="1" applyAlignment="1" applyProtection="1">
      <alignment horizontal="left"/>
      <protection locked="0"/>
    </xf>
    <xf numFmtId="44" fontId="0" fillId="22" borderId="262" xfId="2" applyFont="1" applyFill="1" applyBorder="1" applyProtection="1">
      <protection locked="0"/>
    </xf>
    <xf numFmtId="0" fontId="0" fillId="0" borderId="265" xfId="0" applyBorder="1" applyAlignment="1">
      <alignment wrapText="1"/>
    </xf>
    <xf numFmtId="0" fontId="10" fillId="0" borderId="259" xfId="0" applyFont="1" applyBorder="1" applyAlignment="1">
      <alignment horizontal="left" vertical="center" wrapText="1" indent="2"/>
    </xf>
    <xf numFmtId="44" fontId="0" fillId="5" borderId="262" xfId="2" applyFont="1" applyFill="1" applyBorder="1" applyProtection="1">
      <protection locked="0"/>
    </xf>
    <xf numFmtId="0" fontId="10" fillId="0" borderId="259" xfId="0" applyFont="1" applyBorder="1" applyAlignment="1">
      <alignment vertical="center" wrapText="1"/>
    </xf>
    <xf numFmtId="0" fontId="0" fillId="0" borderId="245" xfId="0" applyBorder="1" applyProtection="1">
      <protection locked="0"/>
    </xf>
    <xf numFmtId="0" fontId="0" fillId="0" borderId="256" xfId="0" applyBorder="1" applyAlignment="1" applyProtection="1">
      <alignment horizontal="center"/>
      <protection locked="0"/>
    </xf>
    <xf numFmtId="0" fontId="4" fillId="0" borderId="256" xfId="4" applyBorder="1" applyAlignment="1" applyProtection="1">
      <alignment horizontal="center" vertical="center"/>
      <protection locked="0"/>
    </xf>
    <xf numFmtId="0" fontId="0" fillId="0" borderId="266" xfId="0" applyBorder="1"/>
    <xf numFmtId="0" fontId="0" fillId="0" borderId="267" xfId="0" applyBorder="1" applyAlignment="1">
      <alignment wrapText="1"/>
    </xf>
    <xf numFmtId="0" fontId="0" fillId="0" borderId="268" xfId="0" applyBorder="1" applyProtection="1">
      <protection locked="0"/>
    </xf>
    <xf numFmtId="0" fontId="0" fillId="0" borderId="269" xfId="0" applyBorder="1" applyProtection="1">
      <protection locked="0"/>
    </xf>
    <xf numFmtId="0" fontId="0" fillId="0" borderId="270" xfId="0" applyBorder="1" applyProtection="1">
      <protection locked="0"/>
    </xf>
    <xf numFmtId="0" fontId="0" fillId="0" borderId="271" xfId="0" applyBorder="1" applyProtection="1">
      <protection locked="0"/>
    </xf>
    <xf numFmtId="0" fontId="0" fillId="0" borderId="267" xfId="0" applyBorder="1" applyProtection="1">
      <protection locked="0"/>
    </xf>
    <xf numFmtId="0" fontId="3" fillId="0" borderId="272" xfId="0" applyFont="1" applyBorder="1" applyAlignment="1" applyProtection="1">
      <alignment horizontal="right"/>
      <protection locked="0"/>
    </xf>
    <xf numFmtId="5" fontId="0" fillId="0" borderId="267" xfId="2" applyNumberFormat="1" applyFont="1" applyBorder="1" applyAlignment="1" applyProtection="1">
      <alignment horizontal="center"/>
      <protection locked="0"/>
    </xf>
    <xf numFmtId="44" fontId="0" fillId="31" borderId="262" xfId="2" applyFont="1" applyFill="1" applyBorder="1" applyProtection="1">
      <protection locked="0"/>
    </xf>
    <xf numFmtId="0" fontId="3" fillId="0" borderId="209" xfId="0" applyFont="1" applyBorder="1" applyAlignment="1">
      <alignment wrapText="1"/>
    </xf>
    <xf numFmtId="44" fontId="10" fillId="0" borderId="209" xfId="2" applyFont="1" applyFill="1" applyBorder="1" applyAlignment="1">
      <alignment horizontal="center" vertical="center"/>
    </xf>
    <xf numFmtId="44" fontId="0" fillId="0" borderId="203" xfId="2" applyFont="1" applyFill="1" applyBorder="1" applyProtection="1">
      <protection locked="0"/>
    </xf>
    <xf numFmtId="44" fontId="0" fillId="0" borderId="273" xfId="2" applyFont="1" applyBorder="1" applyProtection="1">
      <protection locked="0"/>
    </xf>
    <xf numFmtId="44" fontId="0" fillId="0" borderId="273" xfId="2" applyFont="1" applyFill="1" applyBorder="1" applyProtection="1">
      <protection locked="0"/>
    </xf>
    <xf numFmtId="0" fontId="1" fillId="0" borderId="225" xfId="0" applyFont="1" applyBorder="1" applyAlignment="1">
      <alignment horizontal="left" wrapText="1" indent="1"/>
    </xf>
    <xf numFmtId="44" fontId="0" fillId="5" borderId="273" xfId="2" applyFont="1" applyFill="1" applyBorder="1" applyProtection="1">
      <protection locked="0"/>
    </xf>
    <xf numFmtId="0" fontId="11" fillId="0" borderId="225" xfId="0" applyFont="1" applyBorder="1" applyAlignment="1">
      <alignment horizontal="left" vertical="center" wrapText="1"/>
    </xf>
    <xf numFmtId="44" fontId="0" fillId="0" borderId="262" xfId="2" applyFont="1" applyFill="1" applyBorder="1" applyProtection="1">
      <protection locked="0"/>
    </xf>
    <xf numFmtId="179" fontId="0" fillId="4" borderId="209" xfId="3" applyNumberFormat="1" applyFont="1" applyFill="1" applyBorder="1" applyProtection="1">
      <protection locked="0"/>
    </xf>
    <xf numFmtId="0" fontId="0" fillId="0" borderId="274" xfId="0" applyBorder="1" applyProtection="1">
      <protection locked="0"/>
    </xf>
    <xf numFmtId="44" fontId="0" fillId="0" borderId="267" xfId="2" applyFont="1" applyBorder="1" applyAlignment="1" applyProtection="1">
      <alignment horizontal="center"/>
      <protection locked="0"/>
    </xf>
    <xf numFmtId="0" fontId="5" fillId="0" borderId="274" xfId="0" applyFont="1" applyBorder="1" applyProtection="1">
      <protection locked="0"/>
    </xf>
    <xf numFmtId="0" fontId="10" fillId="22" borderId="275" xfId="0" applyFont="1" applyFill="1" applyBorder="1" applyAlignment="1">
      <alignment horizontal="left"/>
    </xf>
    <xf numFmtId="4" fontId="0" fillId="0" borderId="276" xfId="0" applyNumberFormat="1" applyBorder="1" applyAlignment="1" applyProtection="1">
      <alignment horizontal="left"/>
      <protection locked="0"/>
    </xf>
    <xf numFmtId="44" fontId="0" fillId="0" borderId="276" xfId="2" applyFont="1" applyBorder="1" applyAlignment="1" applyProtection="1">
      <alignment horizontal="left"/>
      <protection locked="0"/>
    </xf>
    <xf numFmtId="44" fontId="0" fillId="0" borderId="277" xfId="2" applyFont="1" applyBorder="1" applyAlignment="1" applyProtection="1">
      <alignment horizontal="left"/>
      <protection locked="0"/>
    </xf>
    <xf numFmtId="0" fontId="0" fillId="0" borderId="278" xfId="0" applyBorder="1"/>
    <xf numFmtId="0" fontId="0" fillId="0" borderId="279" xfId="0" applyBorder="1" applyProtection="1">
      <protection locked="0"/>
    </xf>
    <xf numFmtId="165" fontId="0" fillId="0" borderId="280" xfId="0" applyNumberFormat="1" applyBorder="1" applyProtection="1">
      <protection locked="0"/>
    </xf>
    <xf numFmtId="165" fontId="0" fillId="0" borderId="281" xfId="0" applyNumberFormat="1" applyBorder="1" applyProtection="1">
      <protection locked="0"/>
    </xf>
    <xf numFmtId="0" fontId="0" fillId="0" borderId="278" xfId="0" applyBorder="1" applyProtection="1">
      <protection locked="0"/>
    </xf>
    <xf numFmtId="0" fontId="0" fillId="0" borderId="281" xfId="0" applyBorder="1" applyAlignment="1" applyProtection="1">
      <alignment wrapText="1"/>
      <protection locked="0"/>
    </xf>
    <xf numFmtId="0" fontId="0" fillId="0" borderId="281" xfId="0" applyBorder="1" applyAlignment="1">
      <alignment wrapText="1"/>
    </xf>
    <xf numFmtId="0" fontId="0" fillId="0" borderId="280" xfId="0" applyBorder="1" applyProtection="1">
      <protection locked="0"/>
    </xf>
    <xf numFmtId="0" fontId="0" fillId="0" borderId="281" xfId="0" applyBorder="1" applyProtection="1">
      <protection locked="0"/>
    </xf>
    <xf numFmtId="0" fontId="0" fillId="0" borderId="278" xfId="0" applyBorder="1" applyAlignment="1">
      <alignment vertical="top"/>
    </xf>
    <xf numFmtId="0" fontId="10" fillId="20" borderId="281" xfId="0" applyFont="1" applyFill="1" applyBorder="1" applyAlignment="1">
      <alignment horizontal="center"/>
    </xf>
    <xf numFmtId="43" fontId="0" fillId="0" borderId="276" xfId="1" applyFont="1" applyBorder="1" applyProtection="1">
      <protection locked="0"/>
    </xf>
    <xf numFmtId="0" fontId="0" fillId="0" borderId="276" xfId="0" applyBorder="1" applyAlignment="1" applyProtection="1">
      <alignment horizontal="center"/>
      <protection locked="0"/>
    </xf>
    <xf numFmtId="44" fontId="0" fillId="0" borderId="276" xfId="2" applyFont="1" applyBorder="1" applyProtection="1">
      <protection locked="0"/>
    </xf>
    <xf numFmtId="44" fontId="0" fillId="0" borderId="282" xfId="2" applyFont="1" applyBorder="1" applyProtection="1">
      <protection locked="0"/>
    </xf>
    <xf numFmtId="44" fontId="10" fillId="0" borderId="281" xfId="2" applyFont="1" applyBorder="1" applyAlignment="1">
      <alignment horizontal="center" vertical="center"/>
    </xf>
    <xf numFmtId="44" fontId="0" fillId="0" borderId="280" xfId="2" applyFont="1" applyBorder="1" applyProtection="1">
      <protection locked="0"/>
    </xf>
    <xf numFmtId="44" fontId="0" fillId="0" borderId="280" xfId="2" applyFont="1" applyBorder="1" applyAlignment="1" applyProtection="1">
      <alignment horizontal="left"/>
      <protection locked="0"/>
    </xf>
    <xf numFmtId="0" fontId="10" fillId="22" borderId="283" xfId="0" applyFont="1" applyFill="1" applyBorder="1" applyAlignment="1">
      <alignment horizontal="left"/>
    </xf>
    <xf numFmtId="44" fontId="0" fillId="22" borderId="280" xfId="2" applyFont="1" applyFill="1" applyBorder="1" applyProtection="1">
      <protection locked="0"/>
    </xf>
    <xf numFmtId="44" fontId="0" fillId="22" borderId="280" xfId="2" applyFont="1" applyFill="1" applyBorder="1" applyAlignment="1" applyProtection="1">
      <alignment horizontal="left"/>
      <protection locked="0"/>
    </xf>
    <xf numFmtId="0" fontId="0" fillId="0" borderId="284" xfId="0" applyBorder="1" applyAlignment="1">
      <alignment wrapText="1"/>
    </xf>
    <xf numFmtId="0" fontId="10" fillId="0" borderId="281" xfId="0" applyFont="1" applyBorder="1" applyAlignment="1">
      <alignment horizontal="left" vertical="center" wrapText="1"/>
    </xf>
    <xf numFmtId="43" fontId="0" fillId="0" borderId="285" xfId="1" applyFont="1" applyBorder="1" applyAlignment="1" applyProtection="1">
      <alignment horizontal="left"/>
      <protection locked="0"/>
    </xf>
    <xf numFmtId="44" fontId="0" fillId="0" borderId="285" xfId="2" applyFont="1" applyBorder="1" applyAlignment="1" applyProtection="1">
      <alignment horizontal="left"/>
      <protection locked="0"/>
    </xf>
    <xf numFmtId="44" fontId="0" fillId="0" borderId="286" xfId="2" applyFont="1" applyBorder="1" applyAlignment="1" applyProtection="1">
      <alignment horizontal="left"/>
      <protection locked="0"/>
    </xf>
    <xf numFmtId="0" fontId="10" fillId="0" borderId="287" xfId="0" applyFont="1" applyBorder="1" applyAlignment="1">
      <alignment horizontal="left" vertical="center" wrapText="1" indent="2"/>
    </xf>
    <xf numFmtId="44" fontId="0" fillId="5" borderId="280" xfId="2" applyFont="1" applyFill="1" applyBorder="1" applyProtection="1">
      <protection locked="0"/>
    </xf>
    <xf numFmtId="0" fontId="10" fillId="0" borderId="281" xfId="0" applyFont="1" applyBorder="1" applyAlignment="1">
      <alignment horizontal="left" vertical="center" wrapText="1" indent="4"/>
    </xf>
    <xf numFmtId="0" fontId="10" fillId="0" borderId="209" xfId="0" applyFont="1" applyBorder="1" applyAlignment="1">
      <alignment horizontal="left" vertical="center" wrapText="1" indent="2"/>
    </xf>
    <xf numFmtId="44" fontId="0" fillId="0" borderId="277" xfId="2" applyFont="1" applyFill="1" applyBorder="1" applyAlignment="1" applyProtection="1">
      <alignment horizontal="left"/>
      <protection locked="0"/>
    </xf>
    <xf numFmtId="0" fontId="10" fillId="0" borderId="209" xfId="0" applyFont="1" applyBorder="1" applyAlignment="1">
      <alignment horizontal="left" vertical="center" wrapText="1" indent="3"/>
    </xf>
    <xf numFmtId="0" fontId="0" fillId="0" borderId="276" xfId="0" applyBorder="1" applyProtection="1">
      <protection locked="0"/>
    </xf>
    <xf numFmtId="43" fontId="0" fillId="0" borderId="269" xfId="1" applyFont="1" applyBorder="1" applyProtection="1">
      <protection locked="0"/>
    </xf>
    <xf numFmtId="0" fontId="0" fillId="0" borderId="269" xfId="0" applyBorder="1" applyAlignment="1" applyProtection="1">
      <alignment horizontal="center"/>
      <protection locked="0"/>
    </xf>
    <xf numFmtId="0" fontId="6" fillId="20" borderId="281" xfId="0" applyFont="1" applyFill="1" applyBorder="1" applyAlignment="1">
      <alignment horizontal="center"/>
    </xf>
    <xf numFmtId="44" fontId="6" fillId="0" borderId="281" xfId="2" applyFont="1" applyBorder="1" applyAlignment="1">
      <alignment horizontal="center" vertical="center"/>
    </xf>
    <xf numFmtId="44" fontId="0" fillId="31" borderId="280" xfId="2" applyFont="1" applyFill="1" applyBorder="1" applyProtection="1">
      <protection locked="0"/>
    </xf>
    <xf numFmtId="0" fontId="6" fillId="22" borderId="283" xfId="0" applyFont="1" applyFill="1" applyBorder="1" applyAlignment="1">
      <alignment horizontal="left"/>
    </xf>
    <xf numFmtId="0" fontId="6" fillId="0" borderId="281" xfId="0" applyFont="1" applyBorder="1" applyAlignment="1">
      <alignment horizontal="left" vertical="center" wrapText="1"/>
    </xf>
    <xf numFmtId="43" fontId="0" fillId="0" borderId="276" xfId="1" applyFont="1" applyBorder="1" applyAlignment="1" applyProtection="1">
      <alignment horizontal="left"/>
      <protection locked="0"/>
    </xf>
    <xf numFmtId="0" fontId="6" fillId="0" borderId="281" xfId="0" applyFont="1" applyBorder="1" applyAlignment="1">
      <alignment horizontal="left" vertical="center" wrapText="1" indent="2"/>
    </xf>
    <xf numFmtId="44" fontId="0" fillId="0" borderId="280" xfId="2" applyFont="1" applyBorder="1" applyAlignment="1" applyProtection="1">
      <alignment horizontal="center" vertical="top"/>
      <protection locked="0"/>
    </xf>
    <xf numFmtId="0" fontId="6" fillId="0" borderId="281" xfId="0" applyFont="1" applyBorder="1" applyAlignment="1">
      <alignment horizontal="left" vertical="center" wrapText="1" indent="4"/>
    </xf>
    <xf numFmtId="0" fontId="6" fillId="0" borderId="209" xfId="0" applyFont="1" applyBorder="1" applyAlignment="1">
      <alignment horizontal="left" vertical="center" wrapText="1" indent="4"/>
    </xf>
    <xf numFmtId="0" fontId="0" fillId="0" borderId="209" xfId="0" applyBorder="1" applyAlignment="1">
      <alignment horizontal="left" vertical="top" wrapText="1" indent="2"/>
    </xf>
    <xf numFmtId="0" fontId="0" fillId="0" borderId="209" xfId="0" applyBorder="1" applyAlignment="1">
      <alignment horizontal="left" vertical="top" wrapText="1" indent="4"/>
    </xf>
    <xf numFmtId="44" fontId="0" fillId="25" borderId="280" xfId="2" applyFont="1" applyFill="1" applyBorder="1" applyProtection="1">
      <protection locked="0"/>
    </xf>
    <xf numFmtId="0" fontId="6" fillId="0" borderId="209" xfId="0" applyFont="1" applyBorder="1" applyAlignment="1">
      <alignment vertical="center" wrapText="1"/>
    </xf>
    <xf numFmtId="44" fontId="6" fillId="25" borderId="280" xfId="2" applyFont="1" applyFill="1" applyBorder="1" applyProtection="1">
      <protection locked="0"/>
    </xf>
    <xf numFmtId="44" fontId="0" fillId="0" borderId="288" xfId="0" applyNumberFormat="1" applyBorder="1" applyAlignment="1" applyProtection="1">
      <alignment horizontal="left"/>
      <protection locked="0"/>
    </xf>
    <xf numFmtId="0" fontId="3" fillId="0" borderId="288" xfId="0" applyFont="1" applyBorder="1" applyAlignment="1" applyProtection="1">
      <alignment horizontal="right"/>
      <protection locked="0"/>
    </xf>
    <xf numFmtId="0" fontId="3" fillId="26" borderId="288" xfId="0" applyFont="1" applyFill="1" applyBorder="1" applyAlignment="1">
      <alignment wrapText="1"/>
    </xf>
    <xf numFmtId="0" fontId="0" fillId="0" borderId="288" xfId="0" applyBorder="1" applyAlignment="1">
      <alignment horizontal="left" wrapText="1"/>
    </xf>
    <xf numFmtId="14" fontId="0" fillId="0" borderId="288" xfId="0" applyNumberFormat="1" applyBorder="1" applyAlignment="1">
      <alignment horizontal="left" wrapText="1"/>
    </xf>
    <xf numFmtId="0" fontId="10" fillId="0" borderId="288" xfId="0" applyFont="1" applyBorder="1" applyAlignment="1">
      <alignment vertical="center"/>
    </xf>
    <xf numFmtId="44" fontId="10" fillId="0" borderId="288" xfId="2" applyFont="1" applyBorder="1" applyAlignment="1">
      <alignment horizontal="center" vertical="center"/>
    </xf>
    <xf numFmtId="0" fontId="10" fillId="0" borderId="288" xfId="0" quotePrefix="1" applyFont="1" applyBorder="1"/>
    <xf numFmtId="0" fontId="0" fillId="0" borderId="289" xfId="0" applyBorder="1" applyAlignment="1">
      <alignment wrapText="1"/>
    </xf>
    <xf numFmtId="0" fontId="0" fillId="4" borderId="288" xfId="0" applyFill="1" applyBorder="1" applyAlignment="1">
      <alignment wrapText="1"/>
    </xf>
    <xf numFmtId="9" fontId="0" fillId="4" borderId="288" xfId="3" applyFont="1" applyFill="1" applyBorder="1" applyProtection="1">
      <protection locked="0"/>
    </xf>
    <xf numFmtId="44" fontId="0" fillId="4" borderId="288" xfId="2" applyFont="1" applyFill="1" applyBorder="1" applyProtection="1">
      <protection locked="0"/>
    </xf>
    <xf numFmtId="44" fontId="9" fillId="4" borderId="288" xfId="2" applyFont="1" applyFill="1" applyBorder="1" applyAlignment="1" applyProtection="1">
      <alignment horizontal="center"/>
      <protection locked="0"/>
    </xf>
    <xf numFmtId="44" fontId="0" fillId="4" borderId="288" xfId="2" applyFont="1" applyFill="1" applyBorder="1" applyAlignment="1" applyProtection="1">
      <alignment horizontal="center"/>
      <protection locked="0"/>
    </xf>
    <xf numFmtId="0" fontId="0" fillId="0" borderId="288" xfId="0" applyBorder="1" applyAlignment="1">
      <alignment wrapText="1"/>
    </xf>
    <xf numFmtId="165" fontId="0" fillId="0" borderId="288" xfId="0" applyNumberFormat="1" applyBorder="1" applyAlignment="1" applyProtection="1">
      <alignment horizontal="right"/>
      <protection locked="0"/>
    </xf>
    <xf numFmtId="0" fontId="0" fillId="0" borderId="288" xfId="0" applyBorder="1" applyAlignment="1" applyProtection="1">
      <alignment wrapText="1"/>
      <protection locked="0"/>
    </xf>
    <xf numFmtId="44" fontId="0" fillId="0" borderId="288" xfId="0" applyNumberFormat="1" applyBorder="1" applyProtection="1">
      <protection locked="0"/>
    </xf>
    <xf numFmtId="165" fontId="0" fillId="0" borderId="288" xfId="0" applyNumberFormat="1" applyBorder="1" applyProtection="1">
      <protection locked="0"/>
    </xf>
    <xf numFmtId="0" fontId="0" fillId="0" borderId="288" xfId="0" applyBorder="1" applyProtection="1">
      <protection locked="0"/>
    </xf>
    <xf numFmtId="0" fontId="0" fillId="0" borderId="288" xfId="0" applyBorder="1" applyAlignment="1" applyProtection="1">
      <alignment horizontal="left"/>
      <protection locked="0"/>
    </xf>
    <xf numFmtId="0" fontId="0" fillId="0" borderId="288" xfId="0" applyBorder="1" applyAlignment="1" applyProtection="1">
      <alignment horizontal="center"/>
      <protection locked="0"/>
    </xf>
    <xf numFmtId="169" fontId="0" fillId="0" borderId="288" xfId="0" applyNumberFormat="1" applyBorder="1" applyAlignment="1" applyProtection="1">
      <alignment horizontal="center"/>
      <protection locked="0"/>
    </xf>
    <xf numFmtId="0" fontId="4" fillId="0" borderId="288" xfId="4" applyBorder="1" applyAlignment="1" applyProtection="1">
      <alignment horizontal="center" vertical="center"/>
      <protection locked="0"/>
    </xf>
    <xf numFmtId="0" fontId="0" fillId="0" borderId="290" xfId="0" applyBorder="1" applyAlignment="1">
      <alignment wrapText="1"/>
    </xf>
    <xf numFmtId="0" fontId="0" fillId="0" borderId="291" xfId="0" applyBorder="1"/>
    <xf numFmtId="0" fontId="0" fillId="0" borderId="292" xfId="0" applyBorder="1" applyAlignment="1">
      <alignment wrapText="1"/>
    </xf>
    <xf numFmtId="0" fontId="0" fillId="0" borderId="293" xfId="0" applyBorder="1" applyProtection="1">
      <protection locked="0"/>
    </xf>
    <xf numFmtId="0" fontId="0" fillId="0" borderId="294" xfId="0" applyBorder="1" applyProtection="1">
      <protection locked="0"/>
    </xf>
    <xf numFmtId="0" fontId="0" fillId="0" borderId="295" xfId="0" applyBorder="1" applyProtection="1">
      <protection locked="0"/>
    </xf>
    <xf numFmtId="0" fontId="0" fillId="0" borderId="296" xfId="0" applyBorder="1" applyProtection="1">
      <protection locked="0"/>
    </xf>
    <xf numFmtId="0" fontId="0" fillId="0" borderId="292" xfId="0" applyBorder="1" applyProtection="1">
      <protection locked="0"/>
    </xf>
    <xf numFmtId="0" fontId="6" fillId="0" borderId="288" xfId="0" applyFont="1" applyBorder="1" applyAlignment="1">
      <alignment vertical="center"/>
    </xf>
    <xf numFmtId="44" fontId="6" fillId="0" borderId="288" xfId="2" applyFont="1" applyBorder="1" applyAlignment="1">
      <alignment horizontal="center" vertical="center"/>
    </xf>
    <xf numFmtId="0" fontId="6" fillId="0" borderId="288" xfId="0" quotePrefix="1" applyFont="1" applyBorder="1"/>
    <xf numFmtId="44" fontId="0" fillId="0" borderId="280" xfId="2" applyFont="1" applyFill="1" applyBorder="1" applyProtection="1">
      <protection locked="0"/>
    </xf>
    <xf numFmtId="0" fontId="0" fillId="0" borderId="209" xfId="0" applyBorder="1" applyAlignment="1">
      <alignment vertical="top" wrapText="1"/>
    </xf>
    <xf numFmtId="0" fontId="27" fillId="0" borderId="209" xfId="0" applyFont="1" applyBorder="1" applyAlignment="1">
      <alignment vertical="top" wrapText="1"/>
    </xf>
    <xf numFmtId="44" fontId="0" fillId="0" borderId="288" xfId="0" applyNumberFormat="1" applyBorder="1" applyAlignment="1" applyProtection="1">
      <alignment horizontal="center"/>
      <protection locked="0"/>
    </xf>
    <xf numFmtId="164" fontId="0" fillId="0" borderId="276" xfId="1" applyNumberFormat="1" applyFont="1" applyBorder="1" applyProtection="1">
      <protection locked="0"/>
    </xf>
    <xf numFmtId="0" fontId="15" fillId="0" borderId="297" xfId="0" applyFont="1" applyBorder="1" applyAlignment="1">
      <alignment horizontal="left" vertical="center" wrapText="1"/>
    </xf>
    <xf numFmtId="0" fontId="6" fillId="0" borderId="298" xfId="0" applyFont="1" applyBorder="1" applyAlignment="1">
      <alignment horizontal="left" vertical="center" wrapText="1"/>
    </xf>
    <xf numFmtId="0" fontId="6" fillId="0" borderId="298" xfId="0" applyFont="1" applyBorder="1" applyAlignment="1">
      <alignment horizontal="left" vertical="center" wrapText="1" indent="2"/>
    </xf>
    <xf numFmtId="44" fontId="0" fillId="0" borderId="276" xfId="2" applyFont="1" applyBorder="1" applyAlignment="1" applyProtection="1">
      <alignment horizontal="center"/>
      <protection locked="0"/>
    </xf>
    <xf numFmtId="0" fontId="6" fillId="0" borderId="298" xfId="0" applyFont="1" applyBorder="1" applyAlignment="1">
      <alignment horizontal="left" vertical="center" wrapText="1" indent="4"/>
    </xf>
    <xf numFmtId="0" fontId="6" fillId="0" borderId="298" xfId="0" applyFont="1" applyBorder="1" applyAlignment="1">
      <alignment vertical="center" wrapText="1"/>
    </xf>
    <xf numFmtId="164" fontId="0" fillId="0" borderId="276" xfId="1" applyNumberFormat="1" applyFont="1" applyBorder="1" applyAlignment="1" applyProtection="1">
      <alignment horizontal="left"/>
      <protection locked="0"/>
    </xf>
    <xf numFmtId="0" fontId="6" fillId="0" borderId="288" xfId="0" applyFont="1" applyBorder="1" applyAlignment="1">
      <alignment horizontal="left" vertical="center" wrapText="1"/>
    </xf>
    <xf numFmtId="0" fontId="6" fillId="0" borderId="288" xfId="0" applyFont="1" applyBorder="1" applyAlignment="1">
      <alignment horizontal="left" vertical="center" wrapText="1" indent="2"/>
    </xf>
    <xf numFmtId="0" fontId="0" fillId="0" borderId="278" xfId="0" applyBorder="1" applyAlignment="1">
      <alignment horizontal="right" vertical="top"/>
    </xf>
    <xf numFmtId="0" fontId="6" fillId="5" borderId="288" xfId="0" applyFont="1" applyFill="1" applyBorder="1" applyAlignment="1">
      <alignment horizontal="left" vertical="center" wrapText="1" indent="2"/>
    </xf>
    <xf numFmtId="44" fontId="6" fillId="0" borderId="288" xfId="2" applyFont="1" applyFill="1" applyBorder="1" applyAlignment="1">
      <alignment horizontal="center" vertical="center"/>
    </xf>
    <xf numFmtId="0" fontId="6" fillId="0" borderId="288" xfId="0" applyFont="1" applyBorder="1" applyAlignment="1">
      <alignment vertical="center" wrapText="1"/>
    </xf>
    <xf numFmtId="164" fontId="0" fillId="0" borderId="269" xfId="1" applyNumberFormat="1" applyFont="1" applyBorder="1" applyProtection="1">
      <protection locked="0"/>
    </xf>
    <xf numFmtId="0" fontId="3" fillId="0" borderId="276" xfId="0" applyFont="1" applyBorder="1" applyAlignment="1">
      <alignment wrapText="1"/>
    </xf>
    <xf numFmtId="5" fontId="0" fillId="0" borderId="288" xfId="2" applyNumberFormat="1" applyFont="1" applyBorder="1" applyProtection="1">
      <protection locked="0"/>
    </xf>
    <xf numFmtId="0" fontId="5" fillId="0" borderId="281" xfId="0" applyFont="1" applyBorder="1" applyProtection="1">
      <protection locked="0"/>
    </xf>
    <xf numFmtId="3" fontId="0" fillId="0" borderId="280" xfId="0" applyNumberFormat="1" applyBorder="1" applyAlignment="1" applyProtection="1">
      <alignment horizontal="left"/>
      <protection locked="0"/>
    </xf>
    <xf numFmtId="0" fontId="0" fillId="0" borderId="299" xfId="0" applyBorder="1" applyAlignment="1">
      <alignment vertical="top"/>
    </xf>
    <xf numFmtId="0" fontId="10" fillId="0" borderId="300" xfId="0" applyFont="1" applyBorder="1" applyAlignment="1">
      <alignment vertical="center"/>
    </xf>
    <xf numFmtId="0" fontId="10" fillId="0" borderId="301" xfId="0" applyFont="1" applyBorder="1" applyAlignment="1">
      <alignment vertical="center"/>
    </xf>
    <xf numFmtId="0" fontId="0" fillId="0" borderId="302" xfId="0" applyBorder="1" applyProtection="1">
      <protection locked="0"/>
    </xf>
    <xf numFmtId="0" fontId="10" fillId="0" borderId="301" xfId="0" quotePrefix="1" applyFont="1" applyBorder="1"/>
    <xf numFmtId="0" fontId="10" fillId="20" borderId="301" xfId="0" applyFont="1" applyFill="1" applyBorder="1" applyAlignment="1">
      <alignment horizontal="center"/>
    </xf>
    <xf numFmtId="0" fontId="10" fillId="22" borderId="301" xfId="0" applyFont="1" applyFill="1" applyBorder="1" applyAlignment="1">
      <alignment horizontal="left"/>
    </xf>
    <xf numFmtId="0" fontId="5" fillId="22" borderId="225" xfId="0" applyFont="1" applyFill="1" applyBorder="1" applyProtection="1">
      <protection locked="0"/>
    </xf>
    <xf numFmtId="3" fontId="0" fillId="22" borderId="280" xfId="0" applyNumberFormat="1" applyFill="1" applyBorder="1" applyAlignment="1" applyProtection="1">
      <alignment horizontal="left"/>
      <protection locked="0"/>
    </xf>
    <xf numFmtId="0" fontId="0" fillId="22" borderId="280" xfId="0" applyFill="1" applyBorder="1" applyProtection="1">
      <protection locked="0"/>
    </xf>
    <xf numFmtId="3" fontId="0" fillId="0" borderId="288" xfId="0" applyNumberFormat="1" applyBorder="1" applyProtection="1">
      <protection locked="0"/>
    </xf>
    <xf numFmtId="3" fontId="0" fillId="0" borderId="225" xfId="0" applyNumberFormat="1" applyBorder="1" applyProtection="1">
      <protection locked="0"/>
    </xf>
    <xf numFmtId="0" fontId="10" fillId="0" borderId="273" xfId="0" applyFont="1" applyBorder="1" applyAlignment="1">
      <alignment horizontal="left" vertical="center"/>
    </xf>
    <xf numFmtId="170" fontId="0" fillId="4" borderId="288" xfId="3" applyNumberFormat="1" applyFont="1" applyFill="1" applyBorder="1" applyAlignment="1" applyProtection="1">
      <alignment horizontal="left"/>
      <protection locked="0"/>
    </xf>
    <xf numFmtId="170" fontId="0" fillId="4" borderId="288" xfId="2" applyNumberFormat="1" applyFont="1" applyFill="1" applyBorder="1" applyAlignment="1" applyProtection="1">
      <alignment horizontal="left"/>
      <protection locked="0"/>
    </xf>
    <xf numFmtId="44" fontId="0" fillId="4" borderId="288" xfId="0" applyNumberFormat="1" applyFill="1" applyBorder="1" applyProtection="1">
      <protection locked="0"/>
    </xf>
    <xf numFmtId="170" fontId="0" fillId="4" borderId="288" xfId="0" applyNumberFormat="1" applyFill="1" applyBorder="1" applyAlignment="1" applyProtection="1">
      <alignment horizontal="left"/>
      <protection locked="0"/>
    </xf>
    <xf numFmtId="165" fontId="9" fillId="4" borderId="288" xfId="0" applyNumberFormat="1" applyFont="1" applyFill="1" applyBorder="1" applyAlignment="1" applyProtection="1">
      <alignment horizontal="center"/>
      <protection locked="0"/>
    </xf>
    <xf numFmtId="165" fontId="9" fillId="4" borderId="288" xfId="0" applyNumberFormat="1" applyFont="1" applyFill="1" applyBorder="1" applyAlignment="1" applyProtection="1">
      <alignment horizontal="left"/>
      <protection locked="0"/>
    </xf>
    <xf numFmtId="0" fontId="0" fillId="4" borderId="267" xfId="0" applyFill="1" applyBorder="1" applyAlignment="1" applyProtection="1">
      <alignment horizontal="center"/>
      <protection locked="0"/>
    </xf>
    <xf numFmtId="7" fontId="0" fillId="4" borderId="288" xfId="0" applyNumberFormat="1" applyFill="1" applyBorder="1" applyAlignment="1" applyProtection="1">
      <alignment horizontal="center"/>
      <protection locked="0"/>
    </xf>
    <xf numFmtId="0" fontId="0" fillId="4" borderId="288" xfId="0" applyFill="1" applyBorder="1" applyAlignment="1" applyProtection="1">
      <alignment horizontal="center"/>
      <protection locked="0"/>
    </xf>
    <xf numFmtId="0" fontId="0" fillId="0" borderId="299" xfId="0" applyBorder="1"/>
    <xf numFmtId="0" fontId="0" fillId="0" borderId="299" xfId="0" applyBorder="1" applyProtection="1">
      <protection locked="0"/>
    </xf>
    <xf numFmtId="0" fontId="0" fillId="0" borderId="276" xfId="0" applyBorder="1" applyAlignment="1" applyProtection="1">
      <alignment wrapText="1"/>
      <protection locked="0"/>
    </xf>
    <xf numFmtId="0" fontId="0" fillId="0" borderId="276" xfId="0" applyBorder="1" applyAlignment="1">
      <alignment wrapText="1"/>
    </xf>
    <xf numFmtId="0" fontId="0" fillId="0" borderId="272" xfId="0" applyBorder="1"/>
    <xf numFmtId="0" fontId="0" fillId="0" borderId="269" xfId="0" applyBorder="1" applyAlignment="1">
      <alignment wrapText="1"/>
    </xf>
    <xf numFmtId="44" fontId="6" fillId="0" borderId="225" xfId="2" applyFont="1" applyBorder="1" applyAlignment="1">
      <alignment horizontal="center" vertical="center"/>
    </xf>
    <xf numFmtId="0" fontId="0" fillId="0" borderId="209" xfId="0" applyBorder="1" applyAlignment="1">
      <alignment horizontal="left" wrapText="1" indent="2"/>
    </xf>
    <xf numFmtId="0" fontId="6" fillId="0" borderId="225" xfId="0" applyFont="1" applyBorder="1" applyAlignment="1">
      <alignment horizontal="left" vertical="center" wrapText="1" indent="2"/>
    </xf>
    <xf numFmtId="44" fontId="0" fillId="0" borderId="303" xfId="2" applyFont="1" applyBorder="1" applyProtection="1">
      <protection locked="0"/>
    </xf>
    <xf numFmtId="0" fontId="0" fillId="0" borderId="225" xfId="0" applyBorder="1" applyAlignment="1">
      <alignment horizontal="left" wrapText="1" indent="2"/>
    </xf>
    <xf numFmtId="0" fontId="6" fillId="0" borderId="225" xfId="0" applyFont="1" applyBorder="1" applyAlignment="1">
      <alignment vertical="center" wrapText="1"/>
    </xf>
    <xf numFmtId="0" fontId="0" fillId="0" borderId="304" xfId="0" applyBorder="1" applyProtection="1">
      <protection locked="0"/>
    </xf>
    <xf numFmtId="0" fontId="6" fillId="22" borderId="305" xfId="0" applyFont="1" applyFill="1" applyBorder="1" applyAlignment="1">
      <alignment horizontal="left"/>
    </xf>
    <xf numFmtId="44" fontId="0" fillId="0" borderId="306" xfId="2" applyFont="1" applyBorder="1" applyProtection="1">
      <protection locked="0"/>
    </xf>
    <xf numFmtId="0" fontId="0" fillId="0" borderId="307" xfId="0" applyBorder="1" applyProtection="1">
      <protection locked="0"/>
    </xf>
    <xf numFmtId="0" fontId="6" fillId="22" borderId="308" xfId="0" applyFont="1" applyFill="1" applyBorder="1" applyAlignment="1">
      <alignment horizontal="left"/>
    </xf>
    <xf numFmtId="0" fontId="0" fillId="0" borderId="209" xfId="0" applyBorder="1" applyAlignment="1">
      <alignment horizontal="left" wrapText="1" indent="4"/>
    </xf>
    <xf numFmtId="0" fontId="0" fillId="0" borderId="309" xfId="0" applyBorder="1" applyAlignment="1">
      <alignment vertical="center"/>
    </xf>
    <xf numFmtId="44" fontId="0" fillId="0" borderId="280" xfId="2" applyFont="1" applyBorder="1" applyAlignment="1" applyProtection="1">
      <alignment vertical="center"/>
      <protection locked="0"/>
    </xf>
    <xf numFmtId="44" fontId="6" fillId="0" borderId="209" xfId="2" applyFont="1" applyFill="1" applyBorder="1" applyAlignment="1">
      <alignment horizontal="center" vertical="center"/>
    </xf>
    <xf numFmtId="0" fontId="5" fillId="0" borderId="307" xfId="0" applyFont="1" applyBorder="1" applyProtection="1">
      <protection locked="0"/>
    </xf>
    <xf numFmtId="0" fontId="10" fillId="22" borderId="308" xfId="0" applyFont="1" applyFill="1" applyBorder="1" applyAlignment="1">
      <alignment horizontal="left"/>
    </xf>
    <xf numFmtId="0" fontId="10" fillId="4" borderId="187" xfId="0" applyFont="1" applyFill="1" applyBorder="1" applyAlignment="1">
      <alignment vertical="top" wrapText="1"/>
    </xf>
    <xf numFmtId="0" fontId="62" fillId="4" borderId="187" xfId="0" applyFont="1" applyFill="1" applyBorder="1" applyAlignment="1">
      <alignment vertical="top" wrapText="1"/>
    </xf>
    <xf numFmtId="0" fontId="10" fillId="4" borderId="187" xfId="0" applyFont="1" applyFill="1" applyBorder="1" applyAlignment="1">
      <alignment vertical="center" wrapText="1"/>
    </xf>
    <xf numFmtId="0" fontId="62" fillId="4" borderId="187" xfId="0" applyFont="1" applyFill="1" applyBorder="1" applyAlignment="1">
      <alignment horizontal="center" vertical="center" wrapText="1"/>
    </xf>
    <xf numFmtId="0" fontId="63" fillId="0" borderId="307" xfId="0" applyFont="1" applyBorder="1"/>
    <xf numFmtId="0" fontId="63" fillId="0" borderId="306" xfId="0" applyFont="1" applyBorder="1"/>
    <xf numFmtId="44" fontId="0" fillId="10" borderId="280" xfId="2" applyFont="1" applyFill="1" applyBorder="1" applyProtection="1">
      <protection locked="0"/>
    </xf>
    <xf numFmtId="44" fontId="0" fillId="0" borderId="282" xfId="2" applyFont="1" applyBorder="1" applyAlignment="1" applyProtection="1">
      <alignment horizontal="left"/>
      <protection locked="0"/>
    </xf>
    <xf numFmtId="0" fontId="63" fillId="0" borderId="307" xfId="0" applyFont="1" applyBorder="1" applyAlignment="1">
      <alignment wrapText="1"/>
    </xf>
    <xf numFmtId="0" fontId="63" fillId="5" borderId="307" xfId="0" applyFont="1" applyFill="1" applyBorder="1"/>
    <xf numFmtId="0" fontId="11" fillId="4" borderId="310" xfId="0" applyFont="1" applyFill="1" applyBorder="1" applyAlignment="1">
      <alignment horizontal="left" vertical="center" wrapText="1"/>
    </xf>
    <xf numFmtId="44" fontId="0" fillId="10" borderId="256" xfId="2" applyFont="1" applyFill="1" applyBorder="1" applyProtection="1">
      <protection locked="0"/>
    </xf>
    <xf numFmtId="44" fontId="0" fillId="0" borderId="311" xfId="2" applyFont="1" applyBorder="1" applyProtection="1">
      <protection locked="0"/>
    </xf>
    <xf numFmtId="44" fontId="0" fillId="10" borderId="311" xfId="2" applyFont="1" applyFill="1" applyBorder="1" applyProtection="1">
      <protection locked="0"/>
    </xf>
    <xf numFmtId="0" fontId="10" fillId="4" borderId="310" xfId="0" applyFont="1" applyFill="1" applyBorder="1" applyAlignment="1">
      <alignment horizontal="left" vertical="center" wrapText="1"/>
    </xf>
    <xf numFmtId="0" fontId="10" fillId="4" borderId="301" xfId="0" applyFont="1" applyFill="1" applyBorder="1" applyAlignment="1">
      <alignment horizontal="left" vertical="center" wrapText="1"/>
    </xf>
    <xf numFmtId="0" fontId="11" fillId="4" borderId="301" xfId="0" applyFont="1" applyFill="1" applyBorder="1" applyAlignment="1">
      <alignment horizontal="left" vertical="center" wrapText="1"/>
    </xf>
    <xf numFmtId="44" fontId="0" fillId="10" borderId="302" xfId="2" applyFont="1" applyFill="1" applyBorder="1" applyProtection="1">
      <protection locked="0"/>
    </xf>
    <xf numFmtId="44" fontId="0" fillId="0" borderId="302" xfId="2" applyFont="1" applyFill="1" applyBorder="1" applyProtection="1">
      <protection locked="0"/>
    </xf>
    <xf numFmtId="0" fontId="54" fillId="4" borderId="312" xfId="0" applyFont="1" applyFill="1" applyBorder="1" applyAlignment="1">
      <alignment horizontal="left" vertical="center" wrapText="1"/>
    </xf>
    <xf numFmtId="0" fontId="23" fillId="4" borderId="312" xfId="0" applyFont="1" applyFill="1" applyBorder="1" applyAlignment="1">
      <alignment horizontal="left" vertical="center" wrapText="1"/>
    </xf>
    <xf numFmtId="44" fontId="10" fillId="10" borderId="209" xfId="2" applyFont="1" applyFill="1" applyBorder="1" applyAlignment="1">
      <alignment horizontal="center" vertical="center"/>
    </xf>
    <xf numFmtId="0" fontId="10" fillId="4" borderId="313" xfId="0" applyFont="1" applyFill="1" applyBorder="1" applyAlignment="1">
      <alignment horizontal="left" vertical="center" wrapText="1"/>
    </xf>
    <xf numFmtId="44" fontId="0" fillId="5" borderId="302" xfId="2" applyFont="1" applyFill="1" applyBorder="1" applyProtection="1">
      <protection locked="0"/>
    </xf>
    <xf numFmtId="0" fontId="0" fillId="0" borderId="314" xfId="0" applyBorder="1"/>
    <xf numFmtId="0" fontId="0" fillId="0" borderId="315" xfId="0" applyBorder="1" applyProtection="1">
      <protection locked="0"/>
    </xf>
    <xf numFmtId="165" fontId="0" fillId="0" borderId="316" xfId="0" applyNumberFormat="1" applyBorder="1" applyProtection="1">
      <protection locked="0"/>
    </xf>
    <xf numFmtId="165" fontId="0" fillId="0" borderId="302" xfId="0" applyNumberFormat="1" applyBorder="1" applyProtection="1">
      <protection locked="0"/>
    </xf>
    <xf numFmtId="44" fontId="0" fillId="0" borderId="315" xfId="0" applyNumberFormat="1" applyBorder="1" applyProtection="1">
      <protection locked="0"/>
    </xf>
    <xf numFmtId="0" fontId="0" fillId="0" borderId="314" xfId="0" applyBorder="1" applyProtection="1">
      <protection locked="0"/>
    </xf>
    <xf numFmtId="0" fontId="0" fillId="0" borderId="316" xfId="0" applyBorder="1" applyAlignment="1" applyProtection="1">
      <alignment wrapText="1"/>
      <protection locked="0"/>
    </xf>
    <xf numFmtId="0" fontId="0" fillId="0" borderId="316" xfId="0" applyBorder="1" applyAlignment="1">
      <alignment wrapText="1"/>
    </xf>
    <xf numFmtId="0" fontId="0" fillId="0" borderId="316" xfId="0" applyBorder="1" applyProtection="1">
      <protection locked="0"/>
    </xf>
    <xf numFmtId="0" fontId="0" fillId="0" borderId="314" xfId="0" applyBorder="1" applyAlignment="1">
      <alignment vertical="top"/>
    </xf>
    <xf numFmtId="0" fontId="10" fillId="20" borderId="316" xfId="0" applyFont="1" applyFill="1" applyBorder="1" applyAlignment="1">
      <alignment horizontal="center"/>
    </xf>
    <xf numFmtId="44" fontId="10" fillId="0" borderId="316" xfId="2" applyFont="1" applyBorder="1" applyAlignment="1">
      <alignment horizontal="center" vertical="center"/>
    </xf>
    <xf numFmtId="0" fontId="10" fillId="0" borderId="317" xfId="0" applyFont="1" applyBorder="1" applyAlignment="1">
      <alignment horizontal="left" vertical="center" wrapText="1"/>
    </xf>
    <xf numFmtId="44" fontId="0" fillId="0" borderId="318" xfId="2" applyFont="1" applyBorder="1" applyAlignment="1" applyProtection="1">
      <alignment horizontal="left"/>
      <protection locked="0"/>
    </xf>
    <xf numFmtId="0" fontId="0" fillId="0" borderId="309" xfId="0" applyBorder="1"/>
    <xf numFmtId="0" fontId="0" fillId="0" borderId="319" xfId="0" applyBorder="1" applyProtection="1">
      <protection locked="0"/>
    </xf>
    <xf numFmtId="165" fontId="0" fillId="0" borderId="317" xfId="0" applyNumberFormat="1" applyBorder="1" applyProtection="1">
      <protection locked="0"/>
    </xf>
    <xf numFmtId="165" fontId="0" fillId="0" borderId="320" xfId="0" applyNumberFormat="1" applyBorder="1" applyProtection="1">
      <protection locked="0"/>
    </xf>
    <xf numFmtId="0" fontId="0" fillId="0" borderId="309" xfId="0" applyBorder="1" applyProtection="1">
      <protection locked="0"/>
    </xf>
    <xf numFmtId="0" fontId="0" fillId="0" borderId="317" xfId="0" applyBorder="1" applyAlignment="1" applyProtection="1">
      <alignment wrapText="1"/>
      <protection locked="0"/>
    </xf>
    <xf numFmtId="0" fontId="0" fillId="0" borderId="317" xfId="0" applyBorder="1" applyAlignment="1">
      <alignment wrapText="1"/>
    </xf>
    <xf numFmtId="0" fontId="0" fillId="0" borderId="317" xfId="0" applyBorder="1" applyProtection="1">
      <protection locked="0"/>
    </xf>
    <xf numFmtId="0" fontId="0" fillId="0" borderId="320" xfId="0" applyBorder="1" applyProtection="1">
      <protection locked="0"/>
    </xf>
    <xf numFmtId="0" fontId="0" fillId="0" borderId="309" xfId="0" applyBorder="1" applyAlignment="1">
      <alignment vertical="top"/>
    </xf>
    <xf numFmtId="0" fontId="10" fillId="20" borderId="317" xfId="0" applyFont="1" applyFill="1" applyBorder="1" applyAlignment="1">
      <alignment horizontal="center"/>
    </xf>
    <xf numFmtId="0" fontId="0" fillId="0" borderId="321" xfId="0" applyBorder="1" applyProtection="1">
      <protection locked="0"/>
    </xf>
    <xf numFmtId="44" fontId="0" fillId="0" borderId="321" xfId="2" applyFont="1" applyBorder="1" applyProtection="1">
      <protection locked="0"/>
    </xf>
    <xf numFmtId="44" fontId="0" fillId="0" borderId="322" xfId="2" applyFont="1" applyBorder="1" applyProtection="1">
      <protection locked="0"/>
    </xf>
    <xf numFmtId="44" fontId="10" fillId="0" borderId="317" xfId="2" applyFont="1" applyBorder="1" applyAlignment="1">
      <alignment horizontal="center" vertical="center"/>
    </xf>
    <xf numFmtId="44" fontId="0" fillId="0" borderId="320" xfId="2" applyFont="1" applyBorder="1" applyAlignment="1" applyProtection="1">
      <alignment horizontal="left"/>
      <protection locked="0"/>
    </xf>
    <xf numFmtId="44" fontId="0" fillId="0" borderId="320" xfId="2" applyFont="1" applyBorder="1" applyProtection="1">
      <protection locked="0"/>
    </xf>
    <xf numFmtId="0" fontId="10" fillId="22" borderId="323" xfId="0" applyFont="1" applyFill="1" applyBorder="1" applyAlignment="1">
      <alignment horizontal="left"/>
    </xf>
    <xf numFmtId="44" fontId="0" fillId="22" borderId="320" xfId="2" applyFont="1" applyFill="1" applyBorder="1" applyAlignment="1" applyProtection="1">
      <alignment horizontal="left"/>
      <protection locked="0"/>
    </xf>
    <xf numFmtId="44" fontId="0" fillId="22" borderId="320" xfId="2" applyFont="1" applyFill="1" applyBorder="1" applyProtection="1">
      <protection locked="0"/>
    </xf>
    <xf numFmtId="0" fontId="11" fillId="12" borderId="317" xfId="0" applyFont="1" applyFill="1" applyBorder="1" applyAlignment="1">
      <alignment horizontal="center" vertical="center" wrapText="1"/>
    </xf>
    <xf numFmtId="4" fontId="0" fillId="0" borderId="324" xfId="0" applyNumberFormat="1" applyBorder="1" applyAlignment="1" applyProtection="1">
      <alignment horizontal="left"/>
      <protection locked="0"/>
    </xf>
    <xf numFmtId="44" fontId="0" fillId="0" borderId="324" xfId="2" applyFont="1" applyBorder="1" applyAlignment="1" applyProtection="1">
      <alignment horizontal="left"/>
      <protection locked="0"/>
    </xf>
    <xf numFmtId="44" fontId="0" fillId="0" borderId="325" xfId="2" applyFont="1" applyBorder="1" applyAlignment="1" applyProtection="1">
      <alignment horizontal="left"/>
      <protection locked="0"/>
    </xf>
    <xf numFmtId="0" fontId="10" fillId="12" borderId="326" xfId="0" applyFont="1" applyFill="1" applyBorder="1" applyAlignment="1">
      <alignment horizontal="left" vertical="center" wrapText="1"/>
    </xf>
    <xf numFmtId="0" fontId="10" fillId="0" borderId="326" xfId="0" applyFont="1" applyBorder="1" applyAlignment="1">
      <alignment horizontal="left" vertical="center" wrapText="1"/>
    </xf>
    <xf numFmtId="0" fontId="0" fillId="0" borderId="327" xfId="0" applyBorder="1"/>
    <xf numFmtId="0" fontId="0" fillId="0" borderId="328" xfId="0" applyBorder="1" applyProtection="1">
      <protection locked="0"/>
    </xf>
    <xf numFmtId="165" fontId="0" fillId="0" borderId="329" xfId="0" applyNumberFormat="1" applyBorder="1" applyProtection="1">
      <protection locked="0"/>
    </xf>
    <xf numFmtId="165" fontId="0" fillId="0" borderId="326" xfId="0" applyNumberFormat="1" applyBorder="1" applyProtection="1">
      <protection locked="0"/>
    </xf>
    <xf numFmtId="44" fontId="0" fillId="0" borderId="328" xfId="2" applyFont="1" applyBorder="1" applyProtection="1">
      <protection locked="0"/>
    </xf>
    <xf numFmtId="0" fontId="0" fillId="0" borderId="327" xfId="0" applyBorder="1" applyProtection="1">
      <protection locked="0"/>
    </xf>
    <xf numFmtId="0" fontId="0" fillId="0" borderId="326" xfId="0" applyBorder="1" applyAlignment="1" applyProtection="1">
      <alignment wrapText="1"/>
      <protection locked="0"/>
    </xf>
    <xf numFmtId="0" fontId="0" fillId="0" borderId="326" xfId="0" applyBorder="1" applyAlignment="1">
      <alignment wrapText="1"/>
    </xf>
    <xf numFmtId="0" fontId="0" fillId="0" borderId="329" xfId="0" applyBorder="1" applyProtection="1">
      <protection locked="0"/>
    </xf>
    <xf numFmtId="0" fontId="0" fillId="0" borderId="326" xfId="0" applyBorder="1" applyProtection="1">
      <protection locked="0"/>
    </xf>
    <xf numFmtId="0" fontId="0" fillId="0" borderId="327" xfId="0" applyBorder="1" applyAlignment="1">
      <alignment vertical="top"/>
    </xf>
    <xf numFmtId="0" fontId="10" fillId="20" borderId="326" xfId="0" applyFont="1" applyFill="1" applyBorder="1" applyAlignment="1">
      <alignment horizontal="center"/>
    </xf>
    <xf numFmtId="0" fontId="0" fillId="0" borderId="324" xfId="0" applyBorder="1" applyProtection="1">
      <protection locked="0"/>
    </xf>
    <xf numFmtId="44" fontId="0" fillId="0" borderId="324" xfId="2" applyFont="1" applyBorder="1" applyProtection="1">
      <protection locked="0"/>
    </xf>
    <xf numFmtId="44" fontId="0" fillId="0" borderId="330" xfId="2" applyFont="1" applyBorder="1" applyProtection="1">
      <protection locked="0"/>
    </xf>
    <xf numFmtId="44" fontId="10" fillId="0" borderId="326" xfId="2" applyFont="1" applyBorder="1" applyAlignment="1">
      <alignment horizontal="center" vertical="center"/>
    </xf>
    <xf numFmtId="44" fontId="0" fillId="0" borderId="329" xfId="2" applyFont="1" applyBorder="1" applyProtection="1">
      <protection locked="0"/>
    </xf>
    <xf numFmtId="44" fontId="0" fillId="0" borderId="329" xfId="2" applyFont="1" applyBorder="1" applyAlignment="1" applyProtection="1">
      <alignment horizontal="left"/>
      <protection locked="0"/>
    </xf>
    <xf numFmtId="44" fontId="0" fillId="31" borderId="329" xfId="2" applyFont="1" applyFill="1" applyBorder="1" applyProtection="1">
      <protection locked="0"/>
    </xf>
    <xf numFmtId="0" fontId="10" fillId="22" borderId="331" xfId="0" applyFont="1" applyFill="1" applyBorder="1" applyAlignment="1">
      <alignment horizontal="left"/>
    </xf>
    <xf numFmtId="44" fontId="0" fillId="22" borderId="329" xfId="2" applyFont="1" applyFill="1" applyBorder="1" applyProtection="1">
      <protection locked="0"/>
    </xf>
    <xf numFmtId="44" fontId="0" fillId="22" borderId="329" xfId="2" applyFont="1" applyFill="1" applyBorder="1" applyAlignment="1" applyProtection="1">
      <alignment horizontal="left"/>
      <protection locked="0"/>
    </xf>
    <xf numFmtId="0" fontId="11" fillId="4" borderId="187" xfId="0" applyFont="1" applyFill="1" applyBorder="1" applyAlignment="1">
      <alignment horizontal="center" wrapText="1"/>
    </xf>
    <xf numFmtId="0" fontId="10" fillId="4" borderId="187" xfId="0" applyFont="1" applyFill="1" applyBorder="1" applyAlignment="1">
      <alignment horizontal="left" vertical="center" wrapText="1" indent="1"/>
    </xf>
    <xf numFmtId="0" fontId="11" fillId="4" borderId="187" xfId="0" applyFont="1" applyFill="1" applyBorder="1" applyAlignment="1">
      <alignment horizontal="left" vertical="center" wrapText="1"/>
    </xf>
    <xf numFmtId="44" fontId="0" fillId="10" borderId="329" xfId="2" applyFont="1" applyFill="1" applyBorder="1" applyProtection="1">
      <protection locked="0"/>
    </xf>
    <xf numFmtId="44" fontId="0" fillId="5" borderId="329" xfId="2" applyFont="1" applyFill="1" applyBorder="1" applyProtection="1">
      <protection locked="0"/>
    </xf>
    <xf numFmtId="0" fontId="10" fillId="4" borderId="187" xfId="0" quotePrefix="1" applyFont="1" applyFill="1" applyBorder="1" applyAlignment="1">
      <alignment horizontal="left" vertical="center" wrapText="1" indent="1"/>
    </xf>
    <xf numFmtId="0" fontId="3" fillId="0" borderId="324" xfId="0" applyFont="1" applyBorder="1" applyAlignment="1">
      <alignment wrapText="1"/>
    </xf>
    <xf numFmtId="5" fontId="0" fillId="0" borderId="209" xfId="2" applyNumberFormat="1" applyFont="1" applyBorder="1" applyProtection="1">
      <protection locked="0"/>
    </xf>
    <xf numFmtId="44" fontId="0" fillId="0" borderId="333" xfId="2" applyFont="1" applyBorder="1" applyAlignment="1">
      <alignment vertical="top"/>
    </xf>
    <xf numFmtId="44" fontId="0" fillId="0" borderId="327" xfId="2" applyFont="1" applyBorder="1" applyAlignment="1">
      <alignment vertical="top"/>
    </xf>
    <xf numFmtId="0" fontId="5" fillId="0" borderId="209" xfId="0" applyFont="1" applyBorder="1" applyProtection="1">
      <protection locked="0"/>
    </xf>
    <xf numFmtId="3" fontId="0" fillId="0" borderId="329" xfId="0" applyNumberFormat="1" applyBorder="1" applyAlignment="1" applyProtection="1">
      <alignment horizontal="left"/>
      <protection locked="0"/>
    </xf>
    <xf numFmtId="0" fontId="10" fillId="20" borderId="300" xfId="0" applyFont="1" applyFill="1" applyBorder="1" applyAlignment="1">
      <alignment horizontal="center" vertical="center"/>
    </xf>
    <xf numFmtId="0" fontId="10" fillId="0" borderId="334" xfId="0" applyFont="1" applyBorder="1" applyAlignment="1">
      <alignment vertical="center"/>
    </xf>
    <xf numFmtId="0" fontId="0" fillId="0" borderId="333" xfId="0" applyBorder="1" applyAlignment="1">
      <alignment vertical="top"/>
    </xf>
    <xf numFmtId="0" fontId="10" fillId="0" borderId="335" xfId="0" quotePrefix="1" applyFont="1" applyBorder="1"/>
    <xf numFmtId="44" fontId="5" fillId="0" borderId="209" xfId="2" applyFont="1" applyBorder="1" applyProtection="1">
      <protection locked="0"/>
    </xf>
    <xf numFmtId="0" fontId="10" fillId="20" borderId="335" xfId="0" applyFont="1" applyFill="1" applyBorder="1" applyAlignment="1">
      <alignment horizontal="center"/>
    </xf>
    <xf numFmtId="0" fontId="10" fillId="22" borderId="335" xfId="0" applyFont="1" applyFill="1" applyBorder="1" applyAlignment="1">
      <alignment horizontal="left"/>
    </xf>
    <xf numFmtId="0" fontId="5" fillId="22" borderId="209" xfId="0" applyFont="1" applyFill="1" applyBorder="1" applyProtection="1">
      <protection locked="0"/>
    </xf>
    <xf numFmtId="0" fontId="10" fillId="21" borderId="187" xfId="0" applyFont="1" applyFill="1" applyBorder="1" applyAlignment="1">
      <alignment horizontal="left" vertical="center" wrapText="1"/>
    </xf>
    <xf numFmtId="0" fontId="10" fillId="7" borderId="335" xfId="0" applyFont="1" applyFill="1" applyBorder="1" applyAlignment="1">
      <alignment horizontal="left" vertical="center" wrapText="1"/>
    </xf>
    <xf numFmtId="0" fontId="10" fillId="7" borderId="335" xfId="0" applyFont="1" applyFill="1" applyBorder="1" applyAlignment="1">
      <alignment horizontal="left" vertical="center" wrapText="1" indent="1"/>
    </xf>
    <xf numFmtId="0" fontId="11" fillId="0" borderId="187" xfId="0" applyFont="1" applyBorder="1" applyAlignment="1">
      <alignment vertical="top"/>
    </xf>
    <xf numFmtId="0" fontId="10" fillId="0" borderId="187" xfId="0" applyFont="1" applyBorder="1" applyAlignment="1">
      <alignment vertical="top"/>
    </xf>
    <xf numFmtId="9" fontId="0" fillId="4" borderId="209" xfId="3" applyFont="1" applyFill="1" applyBorder="1" applyAlignment="1" applyProtection="1">
      <alignment horizontal="left"/>
      <protection locked="0"/>
    </xf>
    <xf numFmtId="5" fontId="0" fillId="4" borderId="209" xfId="2" applyNumberFormat="1" applyFont="1" applyFill="1" applyBorder="1" applyAlignment="1" applyProtection="1">
      <alignment horizontal="left"/>
      <protection locked="0"/>
    </xf>
    <xf numFmtId="44" fontId="0" fillId="4" borderId="209" xfId="2" applyFont="1" applyFill="1" applyBorder="1" applyAlignment="1" applyProtection="1">
      <alignment horizontal="left"/>
      <protection locked="0"/>
    </xf>
    <xf numFmtId="44" fontId="0" fillId="4" borderId="209" xfId="0" applyNumberFormat="1" applyFill="1" applyBorder="1" applyProtection="1">
      <protection locked="0"/>
    </xf>
    <xf numFmtId="5" fontId="0" fillId="4" borderId="209" xfId="0" applyNumberFormat="1" applyFill="1" applyBorder="1" applyAlignment="1" applyProtection="1">
      <alignment horizontal="left"/>
      <protection locked="0"/>
    </xf>
    <xf numFmtId="165" fontId="9" fillId="4" borderId="209" xfId="0" applyNumberFormat="1" applyFont="1" applyFill="1" applyBorder="1" applyAlignment="1" applyProtection="1">
      <alignment horizontal="center"/>
      <protection locked="0"/>
    </xf>
    <xf numFmtId="165" fontId="9" fillId="4" borderId="209" xfId="0" applyNumberFormat="1" applyFont="1" applyFill="1" applyBorder="1" applyAlignment="1" applyProtection="1">
      <alignment horizontal="left"/>
      <protection locked="0"/>
    </xf>
    <xf numFmtId="0" fontId="0" fillId="4" borderId="229" xfId="0" applyFill="1" applyBorder="1" applyAlignment="1" applyProtection="1">
      <alignment horizontal="center"/>
      <protection locked="0"/>
    </xf>
    <xf numFmtId="7" fontId="0" fillId="4" borderId="209" xfId="0" applyNumberFormat="1" applyFill="1" applyBorder="1" applyAlignment="1" applyProtection="1">
      <alignment horizontal="center"/>
      <protection locked="0"/>
    </xf>
    <xf numFmtId="0" fontId="0" fillId="4" borderId="209" xfId="0" applyFill="1" applyBorder="1" applyAlignment="1" applyProtection="1">
      <alignment horizontal="center"/>
      <protection locked="0"/>
    </xf>
    <xf numFmtId="0" fontId="0" fillId="0" borderId="333" xfId="0" applyBorder="1"/>
    <xf numFmtId="0" fontId="0" fillId="0" borderId="336" xfId="0" applyBorder="1" applyProtection="1">
      <protection locked="0"/>
    </xf>
    <xf numFmtId="0" fontId="0" fillId="0" borderId="337" xfId="0" applyBorder="1" applyProtection="1">
      <protection locked="0"/>
    </xf>
    <xf numFmtId="165" fontId="0" fillId="0" borderId="338" xfId="0" applyNumberFormat="1" applyBorder="1" applyProtection="1">
      <protection locked="0"/>
    </xf>
    <xf numFmtId="165" fontId="0" fillId="0" borderId="339" xfId="0" applyNumberFormat="1" applyBorder="1" applyProtection="1">
      <protection locked="0"/>
    </xf>
    <xf numFmtId="0" fontId="0" fillId="0" borderId="333" xfId="0" applyBorder="1" applyProtection="1">
      <protection locked="0"/>
    </xf>
    <xf numFmtId="0" fontId="0" fillId="0" borderId="336" xfId="0" applyBorder="1" applyAlignment="1" applyProtection="1">
      <alignment wrapText="1"/>
      <protection locked="0"/>
    </xf>
    <xf numFmtId="0" fontId="0" fillId="0" borderId="336" xfId="0" applyBorder="1" applyAlignment="1">
      <alignment wrapText="1"/>
    </xf>
    <xf numFmtId="0" fontId="0" fillId="0" borderId="234" xfId="0" applyBorder="1"/>
    <xf numFmtId="0" fontId="0" fillId="0" borderId="231" xfId="0" applyBorder="1" applyAlignment="1">
      <alignment wrapText="1"/>
    </xf>
    <xf numFmtId="0" fontId="3" fillId="0" borderId="336" xfId="0" applyFont="1" applyBorder="1" applyAlignment="1">
      <alignment wrapText="1"/>
    </xf>
    <xf numFmtId="0" fontId="0" fillId="0" borderId="338" xfId="0" applyBorder="1" applyProtection="1">
      <protection locked="0"/>
    </xf>
    <xf numFmtId="0" fontId="10" fillId="0" borderId="340" xfId="0" applyFont="1" applyBorder="1" applyAlignment="1">
      <alignment vertical="center"/>
    </xf>
    <xf numFmtId="3" fontId="0" fillId="0" borderId="338" xfId="0" applyNumberFormat="1" applyBorder="1" applyAlignment="1" applyProtection="1">
      <alignment horizontal="left"/>
      <protection locked="0"/>
    </xf>
    <xf numFmtId="0" fontId="10" fillId="0" borderId="340" xfId="0" quotePrefix="1" applyFont="1" applyBorder="1"/>
    <xf numFmtId="44" fontId="0" fillId="0" borderId="341" xfId="2" applyFont="1" applyBorder="1" applyAlignment="1">
      <alignment vertical="top"/>
    </xf>
    <xf numFmtId="44" fontId="0" fillId="0" borderId="342" xfId="2" applyFont="1" applyBorder="1" applyProtection="1">
      <protection locked="0"/>
    </xf>
    <xf numFmtId="0" fontId="10" fillId="20" borderId="343" xfId="0" applyFont="1" applyFill="1" applyBorder="1" applyAlignment="1">
      <alignment horizontal="center"/>
    </xf>
    <xf numFmtId="0" fontId="10" fillId="22" borderId="343" xfId="0" applyFont="1" applyFill="1" applyBorder="1" applyAlignment="1">
      <alignment horizontal="left"/>
    </xf>
    <xf numFmtId="3" fontId="0" fillId="22" borderId="342" xfId="0" applyNumberFormat="1" applyFill="1" applyBorder="1" applyAlignment="1" applyProtection="1">
      <alignment horizontal="left"/>
      <protection locked="0"/>
    </xf>
    <xf numFmtId="44" fontId="0" fillId="22" borderId="342" xfId="2" applyFont="1" applyFill="1" applyBorder="1" applyProtection="1">
      <protection locked="0"/>
    </xf>
    <xf numFmtId="44" fontId="0" fillId="0" borderId="344" xfId="2" applyFont="1" applyBorder="1" applyAlignment="1">
      <alignment vertical="top"/>
    </xf>
    <xf numFmtId="0" fontId="0" fillId="0" borderId="341" xfId="0" applyBorder="1"/>
    <xf numFmtId="0" fontId="0" fillId="0" borderId="345" xfId="0" applyBorder="1" applyProtection="1">
      <protection locked="0"/>
    </xf>
    <xf numFmtId="0" fontId="0" fillId="0" borderId="346" xfId="0" applyBorder="1" applyProtection="1">
      <protection locked="0"/>
    </xf>
    <xf numFmtId="165" fontId="0" fillId="0" borderId="347" xfId="0" applyNumberFormat="1" applyBorder="1" applyProtection="1">
      <protection locked="0"/>
    </xf>
    <xf numFmtId="165" fontId="0" fillId="0" borderId="348" xfId="0" applyNumberFormat="1" applyBorder="1" applyProtection="1">
      <protection locked="0"/>
    </xf>
    <xf numFmtId="0" fontId="0" fillId="0" borderId="349" xfId="0" applyBorder="1" applyProtection="1">
      <protection locked="0"/>
    </xf>
    <xf numFmtId="0" fontId="0" fillId="0" borderId="345" xfId="0" applyBorder="1" applyAlignment="1" applyProtection="1">
      <alignment wrapText="1"/>
      <protection locked="0"/>
    </xf>
    <xf numFmtId="0" fontId="0" fillId="0" borderId="345" xfId="0" applyBorder="1" applyAlignment="1">
      <alignment wrapText="1"/>
    </xf>
    <xf numFmtId="0" fontId="0" fillId="0" borderId="350" xfId="0" applyBorder="1" applyAlignment="1">
      <alignment vertical="top"/>
    </xf>
    <xf numFmtId="0" fontId="10" fillId="20" borderId="348" xfId="0" applyFont="1" applyFill="1" applyBorder="1" applyAlignment="1">
      <alignment horizontal="center"/>
    </xf>
    <xf numFmtId="44" fontId="0" fillId="0" borderId="345" xfId="2" applyFont="1" applyBorder="1" applyProtection="1">
      <protection locked="0"/>
    </xf>
    <xf numFmtId="44" fontId="0" fillId="0" borderId="351" xfId="2" applyFont="1" applyBorder="1" applyProtection="1">
      <protection locked="0"/>
    </xf>
    <xf numFmtId="44" fontId="10" fillId="0" borderId="348" xfId="2" applyFont="1" applyBorder="1" applyAlignment="1">
      <alignment horizontal="center" vertical="center"/>
    </xf>
    <xf numFmtId="44" fontId="0" fillId="0" borderId="347" xfId="2" applyFont="1" applyBorder="1" applyAlignment="1" applyProtection="1">
      <alignment horizontal="left"/>
      <protection locked="0"/>
    </xf>
    <xf numFmtId="44" fontId="0" fillId="0" borderId="347" xfId="2" applyFont="1" applyBorder="1" applyProtection="1">
      <protection locked="0"/>
    </xf>
    <xf numFmtId="0" fontId="10" fillId="22" borderId="352" xfId="0" applyFont="1" applyFill="1" applyBorder="1" applyAlignment="1">
      <alignment horizontal="left"/>
    </xf>
    <xf numFmtId="44" fontId="0" fillId="22" borderId="347" xfId="2" applyFont="1" applyFill="1" applyBorder="1" applyAlignment="1" applyProtection="1">
      <alignment horizontal="left"/>
      <protection locked="0"/>
    </xf>
    <xf numFmtId="44" fontId="0" fillId="22" borderId="347" xfId="2" applyFont="1" applyFill="1" applyBorder="1" applyProtection="1">
      <protection locked="0"/>
    </xf>
    <xf numFmtId="44" fontId="0" fillId="0" borderId="345" xfId="2" applyFont="1" applyBorder="1" applyAlignment="1" applyProtection="1">
      <alignment horizontal="left"/>
      <protection locked="0"/>
    </xf>
    <xf numFmtId="44" fontId="0" fillId="0" borderId="353" xfId="2" applyFont="1" applyBorder="1" applyAlignment="1" applyProtection="1">
      <alignment horizontal="left"/>
      <protection locked="0"/>
    </xf>
    <xf numFmtId="44" fontId="0" fillId="10" borderId="347" xfId="2" applyFont="1" applyFill="1" applyBorder="1" applyProtection="1">
      <protection locked="0"/>
    </xf>
    <xf numFmtId="44" fontId="0" fillId="5" borderId="347" xfId="2" applyFont="1" applyFill="1" applyBorder="1" applyProtection="1">
      <protection locked="0"/>
    </xf>
    <xf numFmtId="0" fontId="0" fillId="0" borderId="350" xfId="0" applyBorder="1"/>
    <xf numFmtId="0" fontId="0" fillId="0" borderId="354" xfId="0" applyBorder="1" applyProtection="1">
      <protection locked="0"/>
    </xf>
    <xf numFmtId="165" fontId="0" fillId="0" borderId="355" xfId="0" applyNumberFormat="1" applyBorder="1" applyProtection="1">
      <protection locked="0"/>
    </xf>
    <xf numFmtId="165" fontId="0" fillId="0" borderId="356" xfId="0" applyNumberFormat="1" applyBorder="1" applyProtection="1">
      <protection locked="0"/>
    </xf>
    <xf numFmtId="165" fontId="0" fillId="0" borderId="357" xfId="0" applyNumberFormat="1" applyBorder="1" applyProtection="1">
      <protection locked="0"/>
    </xf>
    <xf numFmtId="165" fontId="0" fillId="0" borderId="354" xfId="0" applyNumberFormat="1" applyBorder="1" applyProtection="1">
      <protection locked="0"/>
    </xf>
    <xf numFmtId="0" fontId="0" fillId="0" borderId="358" xfId="0" applyBorder="1" applyProtection="1">
      <protection locked="0"/>
    </xf>
    <xf numFmtId="0" fontId="0" fillId="0" borderId="356" xfId="0" applyBorder="1" applyAlignment="1" applyProtection="1">
      <alignment wrapText="1"/>
      <protection locked="0"/>
    </xf>
    <xf numFmtId="0" fontId="0" fillId="0" borderId="348" xfId="0" applyBorder="1" applyAlignment="1">
      <alignment wrapText="1"/>
    </xf>
    <xf numFmtId="0" fontId="0" fillId="0" borderId="355" xfId="0" applyBorder="1" applyProtection="1">
      <protection locked="0"/>
    </xf>
    <xf numFmtId="0" fontId="0" fillId="0" borderId="348" xfId="0" applyBorder="1" applyProtection="1">
      <protection locked="0"/>
    </xf>
    <xf numFmtId="0" fontId="3" fillId="0" borderId="357" xfId="0" applyFont="1" applyBorder="1" applyAlignment="1">
      <alignment wrapText="1"/>
    </xf>
    <xf numFmtId="44" fontId="0" fillId="0" borderId="349" xfId="2" applyFont="1" applyBorder="1" applyAlignment="1">
      <alignment vertical="top"/>
    </xf>
    <xf numFmtId="0" fontId="0" fillId="0" borderId="349" xfId="0" applyBorder="1" applyAlignment="1">
      <alignment vertical="top"/>
    </xf>
    <xf numFmtId="0" fontId="10" fillId="0" borderId="335" xfId="0" applyFont="1" applyBorder="1" applyAlignment="1">
      <alignment vertical="center"/>
    </xf>
    <xf numFmtId="44" fontId="0" fillId="0" borderId="314" xfId="2" applyFont="1" applyBorder="1" applyAlignment="1">
      <alignment vertical="top"/>
    </xf>
    <xf numFmtId="0" fontId="10" fillId="7" borderId="359" xfId="0" applyFont="1" applyFill="1" applyBorder="1" applyAlignment="1">
      <alignment horizontal="left" vertical="center" wrapText="1"/>
    </xf>
    <xf numFmtId="0" fontId="10" fillId="7" borderId="359" xfId="0" applyFont="1" applyFill="1" applyBorder="1" applyAlignment="1">
      <alignment horizontal="left" vertical="center" wrapText="1" indent="1"/>
    </xf>
    <xf numFmtId="0" fontId="0" fillId="0" borderId="360" xfId="0" applyBorder="1"/>
    <xf numFmtId="0" fontId="0" fillId="0" borderId="357" xfId="0" applyBorder="1" applyProtection="1">
      <protection locked="0"/>
    </xf>
    <xf numFmtId="0" fontId="0" fillId="0" borderId="360" xfId="0" applyBorder="1" applyProtection="1">
      <protection locked="0"/>
    </xf>
    <xf numFmtId="0" fontId="0" fillId="0" borderId="357" xfId="0" applyBorder="1" applyAlignment="1" applyProtection="1">
      <alignment wrapText="1"/>
      <protection locked="0"/>
    </xf>
    <xf numFmtId="0" fontId="0" fillId="0" borderId="357" xfId="0" applyBorder="1" applyAlignment="1">
      <alignment wrapText="1"/>
    </xf>
    <xf numFmtId="44" fontId="0" fillId="0" borderId="357" xfId="2" applyFont="1" applyBorder="1" applyProtection="1">
      <protection locked="0"/>
    </xf>
    <xf numFmtId="44" fontId="0" fillId="0" borderId="361" xfId="2" applyFont="1" applyBorder="1" applyProtection="1">
      <protection locked="0"/>
    </xf>
    <xf numFmtId="44" fontId="0" fillId="0" borderId="355" xfId="2" applyFont="1" applyBorder="1" applyAlignment="1" applyProtection="1">
      <alignment horizontal="left"/>
      <protection locked="0"/>
    </xf>
    <xf numFmtId="44" fontId="0" fillId="0" borderId="355" xfId="2" applyFont="1" applyBorder="1" applyProtection="1">
      <protection locked="0"/>
    </xf>
    <xf numFmtId="44" fontId="0" fillId="31" borderId="355" xfId="2" applyFont="1" applyFill="1" applyBorder="1" applyAlignment="1" applyProtection="1">
      <alignment horizontal="left"/>
      <protection locked="0"/>
    </xf>
    <xf numFmtId="44" fontId="0" fillId="22" borderId="355" xfId="2" applyFont="1" applyFill="1" applyBorder="1" applyAlignment="1" applyProtection="1">
      <alignment horizontal="left"/>
      <protection locked="0"/>
    </xf>
    <xf numFmtId="44" fontId="0" fillId="22" borderId="355" xfId="2" applyFont="1" applyFill="1" applyBorder="1" applyProtection="1">
      <protection locked="0"/>
    </xf>
    <xf numFmtId="44" fontId="0" fillId="0" borderId="362" xfId="2" applyFont="1" applyBorder="1" applyAlignment="1" applyProtection="1">
      <alignment horizontal="left"/>
      <protection locked="0"/>
    </xf>
    <xf numFmtId="44" fontId="0" fillId="0" borderId="357" xfId="2" applyFont="1" applyBorder="1" applyAlignment="1" applyProtection="1">
      <alignment horizontal="left"/>
      <protection locked="0"/>
    </xf>
    <xf numFmtId="0" fontId="10" fillId="0" borderId="363" xfId="0" applyFont="1" applyBorder="1" applyAlignment="1">
      <alignment horizontal="left" vertical="center" wrapText="1"/>
    </xf>
    <xf numFmtId="0" fontId="10" fillId="0" borderId="364" xfId="0" applyFont="1" applyBorder="1" applyAlignment="1">
      <alignment horizontal="left" vertical="center" wrapText="1"/>
    </xf>
    <xf numFmtId="0" fontId="0" fillId="4" borderId="316" xfId="0" applyFill="1" applyBorder="1" applyAlignment="1">
      <alignment wrapText="1"/>
    </xf>
    <xf numFmtId="167" fontId="0" fillId="0" borderId="306" xfId="2" applyNumberFormat="1" applyFont="1" applyBorder="1" applyProtection="1">
      <protection locked="0"/>
    </xf>
    <xf numFmtId="0" fontId="0" fillId="0" borderId="360" xfId="0" applyBorder="1" applyAlignment="1">
      <alignment vertical="top"/>
    </xf>
    <xf numFmtId="0" fontId="10" fillId="0" borderId="365" xfId="0" applyFont="1" applyBorder="1" applyAlignment="1">
      <alignment vertical="center"/>
    </xf>
    <xf numFmtId="3" fontId="0" fillId="0" borderId="355" xfId="0" applyNumberFormat="1" applyBorder="1" applyAlignment="1" applyProtection="1">
      <alignment horizontal="left"/>
      <protection locked="0"/>
    </xf>
    <xf numFmtId="0" fontId="10" fillId="0" borderId="365" xfId="0" quotePrefix="1" applyFont="1" applyBorder="1"/>
    <xf numFmtId="44" fontId="0" fillId="0" borderId="366" xfId="2" applyFont="1" applyBorder="1" applyAlignment="1">
      <alignment vertical="top"/>
    </xf>
    <xf numFmtId="44" fontId="0" fillId="0" borderId="367" xfId="2" applyFont="1" applyBorder="1" applyProtection="1">
      <protection locked="0"/>
    </xf>
    <xf numFmtId="0" fontId="10" fillId="20" borderId="368" xfId="0" applyFont="1" applyFill="1" applyBorder="1" applyAlignment="1">
      <alignment horizontal="center"/>
    </xf>
    <xf numFmtId="0" fontId="10" fillId="22" borderId="368" xfId="0" applyFont="1" applyFill="1" applyBorder="1" applyAlignment="1">
      <alignment horizontal="left"/>
    </xf>
    <xf numFmtId="3" fontId="0" fillId="22" borderId="367" xfId="0" applyNumberFormat="1" applyFill="1" applyBorder="1" applyAlignment="1" applyProtection="1">
      <alignment horizontal="left"/>
      <protection locked="0"/>
    </xf>
    <xf numFmtId="44" fontId="0" fillId="22" borderId="367" xfId="2" applyFont="1" applyFill="1" applyBorder="1" applyProtection="1">
      <protection locked="0"/>
    </xf>
    <xf numFmtId="44" fontId="0" fillId="0" borderId="369" xfId="2" applyFont="1" applyBorder="1" applyAlignment="1">
      <alignment vertical="top"/>
    </xf>
    <xf numFmtId="0" fontId="10" fillId="0" borderId="187" xfId="0" applyFont="1" applyBorder="1" applyAlignment="1">
      <alignment vertical="top" wrapText="1"/>
    </xf>
    <xf numFmtId="0" fontId="10" fillId="7" borderId="368" xfId="0" applyFont="1" applyFill="1" applyBorder="1" applyAlignment="1">
      <alignment horizontal="left" vertical="center" wrapText="1"/>
    </xf>
    <xf numFmtId="0" fontId="10" fillId="7" borderId="368" xfId="0" applyFont="1" applyFill="1" applyBorder="1" applyAlignment="1">
      <alignment horizontal="left" vertical="center" wrapText="1" indent="1"/>
    </xf>
    <xf numFmtId="0" fontId="0" fillId="4" borderId="217" xfId="0" applyFill="1" applyBorder="1" applyAlignment="1" applyProtection="1">
      <alignment horizontal="center"/>
      <protection locked="0"/>
    </xf>
    <xf numFmtId="0" fontId="0" fillId="0" borderId="370" xfId="0" applyBorder="1"/>
    <xf numFmtId="0" fontId="0" fillId="0" borderId="371" xfId="0" applyBorder="1" applyProtection="1">
      <protection locked="0"/>
    </xf>
    <xf numFmtId="0" fontId="0" fillId="0" borderId="372" xfId="0" applyBorder="1" applyProtection="1">
      <protection locked="0"/>
    </xf>
    <xf numFmtId="165" fontId="0" fillId="0" borderId="373" xfId="0" applyNumberFormat="1" applyBorder="1" applyProtection="1">
      <protection locked="0"/>
    </xf>
    <xf numFmtId="165" fontId="0" fillId="0" borderId="374" xfId="0" applyNumberFormat="1" applyBorder="1" applyProtection="1">
      <protection locked="0"/>
    </xf>
    <xf numFmtId="0" fontId="0" fillId="0" borderId="370" xfId="0" applyBorder="1" applyProtection="1">
      <protection locked="0"/>
    </xf>
    <xf numFmtId="0" fontId="0" fillId="0" borderId="371" xfId="0" applyBorder="1" applyAlignment="1" applyProtection="1">
      <alignment wrapText="1"/>
      <protection locked="0"/>
    </xf>
    <xf numFmtId="0" fontId="0" fillId="0" borderId="222" xfId="0" applyBorder="1"/>
    <xf numFmtId="5" fontId="0" fillId="0" borderId="217" xfId="2" applyNumberFormat="1" applyFont="1" applyBorder="1" applyAlignment="1" applyProtection="1">
      <alignment horizontal="center"/>
      <protection locked="0"/>
    </xf>
    <xf numFmtId="44" fontId="0" fillId="0" borderId="375" xfId="2" applyFont="1" applyBorder="1" applyProtection="1">
      <protection locked="0"/>
    </xf>
    <xf numFmtId="44" fontId="0" fillId="0" borderId="373" xfId="2" applyFont="1" applyBorder="1" applyAlignment="1" applyProtection="1">
      <alignment horizontal="left"/>
      <protection locked="0"/>
    </xf>
    <xf numFmtId="44" fontId="0" fillId="0" borderId="373" xfId="2" applyFont="1" applyBorder="1" applyProtection="1">
      <protection locked="0"/>
    </xf>
    <xf numFmtId="44" fontId="0" fillId="31" borderId="373" xfId="2" applyFont="1" applyFill="1" applyBorder="1" applyAlignment="1" applyProtection="1">
      <alignment horizontal="left"/>
      <protection locked="0"/>
    </xf>
    <xf numFmtId="0" fontId="10" fillId="22" borderId="376" xfId="0" applyFont="1" applyFill="1" applyBorder="1" applyAlignment="1">
      <alignment horizontal="left"/>
    </xf>
    <xf numFmtId="44" fontId="0" fillId="22" borderId="373" xfId="2" applyFont="1" applyFill="1" applyBorder="1" applyAlignment="1" applyProtection="1">
      <alignment horizontal="left"/>
      <protection locked="0"/>
    </xf>
    <xf numFmtId="44" fontId="0" fillId="22" borderId="373" xfId="2" applyFont="1" applyFill="1" applyBorder="1" applyProtection="1">
      <protection locked="0"/>
    </xf>
    <xf numFmtId="0" fontId="0" fillId="0" borderId="377" xfId="0" applyBorder="1" applyAlignment="1">
      <alignment wrapText="1"/>
    </xf>
    <xf numFmtId="0" fontId="10" fillId="0" borderId="316" xfId="0" applyFont="1" applyBorder="1" applyAlignment="1">
      <alignment horizontal="left" vertical="center" wrapText="1"/>
    </xf>
    <xf numFmtId="44" fontId="0" fillId="0" borderId="375" xfId="2" applyFont="1" applyBorder="1" applyAlignment="1" applyProtection="1">
      <alignment horizontal="left"/>
      <protection locked="0"/>
    </xf>
    <xf numFmtId="0" fontId="0" fillId="0" borderId="174" xfId="0" applyBorder="1" applyAlignment="1" applyProtection="1">
      <alignment horizontal="left"/>
      <protection locked="0"/>
    </xf>
    <xf numFmtId="0" fontId="0" fillId="0" borderId="373" xfId="0" applyBorder="1" applyProtection="1">
      <protection locked="0"/>
    </xf>
    <xf numFmtId="44" fontId="10" fillId="0" borderId="378" xfId="2" applyFont="1" applyBorder="1" applyAlignment="1">
      <alignment horizontal="center" vertical="center"/>
    </xf>
    <xf numFmtId="44" fontId="0" fillId="0" borderId="379" xfId="2" applyFont="1" applyBorder="1" applyProtection="1">
      <protection locked="0"/>
    </xf>
    <xf numFmtId="44" fontId="10" fillId="0" borderId="380" xfId="2" applyFont="1" applyBorder="1" applyAlignment="1">
      <alignment horizontal="center" vertical="center"/>
    </xf>
    <xf numFmtId="44" fontId="0" fillId="31" borderId="373" xfId="2" applyFont="1" applyFill="1" applyBorder="1" applyProtection="1">
      <protection locked="0"/>
    </xf>
    <xf numFmtId="44" fontId="0" fillId="0" borderId="178" xfId="2" applyFont="1" applyBorder="1" applyAlignment="1" applyProtection="1">
      <alignment horizontal="left"/>
      <protection locked="0"/>
    </xf>
    <xf numFmtId="44" fontId="0" fillId="0" borderId="379" xfId="2" applyFont="1" applyBorder="1" applyAlignment="1" applyProtection="1">
      <alignment horizontal="left"/>
      <protection locked="0"/>
    </xf>
    <xf numFmtId="44" fontId="0" fillId="22" borderId="178" xfId="2" applyFont="1" applyFill="1" applyBorder="1" applyProtection="1">
      <protection locked="0"/>
    </xf>
    <xf numFmtId="44" fontId="5" fillId="22" borderId="380" xfId="2" applyFont="1" applyFill="1" applyBorder="1" applyProtection="1">
      <protection locked="0"/>
    </xf>
    <xf numFmtId="44" fontId="0" fillId="22" borderId="379" xfId="2" applyFont="1" applyFill="1" applyBorder="1" applyProtection="1">
      <protection locked="0"/>
    </xf>
    <xf numFmtId="0" fontId="58" fillId="7" borderId="381" xfId="0" applyFont="1" applyFill="1" applyBorder="1" applyAlignment="1">
      <alignment horizontal="left" wrapText="1"/>
    </xf>
    <xf numFmtId="4" fontId="0" fillId="0" borderId="382" xfId="0" applyNumberFormat="1" applyBorder="1" applyAlignment="1" applyProtection="1">
      <alignment horizontal="left"/>
      <protection locked="0"/>
    </xf>
    <xf numFmtId="44" fontId="0" fillId="0" borderId="382" xfId="2" applyFont="1" applyBorder="1" applyAlignment="1" applyProtection="1">
      <alignment horizontal="left"/>
      <protection locked="0"/>
    </xf>
    <xf numFmtId="44" fontId="0" fillId="0" borderId="383" xfId="2" applyFont="1" applyBorder="1" applyAlignment="1" applyProtection="1">
      <alignment horizontal="left"/>
      <protection locked="0"/>
    </xf>
    <xf numFmtId="0" fontId="57" fillId="0" borderId="169" xfId="0" applyFont="1" applyBorder="1" applyAlignment="1" applyProtection="1">
      <alignment wrapText="1"/>
      <protection locked="0"/>
    </xf>
    <xf numFmtId="44" fontId="0" fillId="5" borderId="384" xfId="2" applyFont="1" applyFill="1" applyBorder="1" applyProtection="1">
      <protection locked="0"/>
    </xf>
    <xf numFmtId="0" fontId="10" fillId="0" borderId="385" xfId="0" applyFont="1" applyBorder="1" applyAlignment="1">
      <alignment horizontal="left" vertical="center" wrapText="1"/>
    </xf>
    <xf numFmtId="44" fontId="0" fillId="4" borderId="386" xfId="2" applyFont="1" applyFill="1" applyBorder="1" applyProtection="1">
      <protection locked="0"/>
    </xf>
    <xf numFmtId="179" fontId="0" fillId="22" borderId="209" xfId="3" applyNumberFormat="1" applyFont="1" applyFill="1" applyBorder="1" applyProtection="1">
      <protection locked="0"/>
    </xf>
    <xf numFmtId="44" fontId="0" fillId="4" borderId="380" xfId="2" applyFont="1" applyFill="1" applyBorder="1" applyProtection="1">
      <protection locked="0"/>
    </xf>
    <xf numFmtId="44" fontId="0" fillId="4" borderId="203" xfId="2" applyFont="1" applyFill="1" applyBorder="1" applyProtection="1">
      <protection locked="0"/>
    </xf>
    <xf numFmtId="44" fontId="9" fillId="4" borderId="203" xfId="2" applyFont="1" applyFill="1" applyBorder="1" applyAlignment="1" applyProtection="1">
      <alignment horizontal="center"/>
      <protection locked="0"/>
    </xf>
    <xf numFmtId="44" fontId="9" fillId="4" borderId="380" xfId="2" applyFont="1" applyFill="1" applyBorder="1" applyAlignment="1" applyProtection="1">
      <alignment horizontal="center"/>
      <protection locked="0"/>
    </xf>
    <xf numFmtId="44" fontId="0" fillId="4" borderId="203" xfId="2" applyFont="1" applyFill="1" applyBorder="1" applyAlignment="1" applyProtection="1">
      <alignment horizontal="center"/>
      <protection locked="0"/>
    </xf>
    <xf numFmtId="44" fontId="0" fillId="4" borderId="380" xfId="2" applyFont="1" applyFill="1" applyBorder="1" applyAlignment="1" applyProtection="1">
      <alignment horizontal="center"/>
      <protection locked="0"/>
    </xf>
    <xf numFmtId="0" fontId="0" fillId="0" borderId="386" xfId="0" applyBorder="1"/>
    <xf numFmtId="0" fontId="0" fillId="0" borderId="387" xfId="0" applyBorder="1" applyProtection="1">
      <protection locked="0"/>
    </xf>
    <xf numFmtId="165" fontId="0" fillId="0" borderId="388" xfId="0" applyNumberFormat="1" applyBorder="1" applyProtection="1">
      <protection locked="0"/>
    </xf>
    <xf numFmtId="165" fontId="0" fillId="0" borderId="384" xfId="0" applyNumberFormat="1" applyBorder="1" applyProtection="1">
      <protection locked="0"/>
    </xf>
    <xf numFmtId="165" fontId="0" fillId="0" borderId="386" xfId="0" applyNumberFormat="1" applyBorder="1" applyProtection="1">
      <protection locked="0"/>
    </xf>
    <xf numFmtId="165" fontId="0" fillId="0" borderId="389" xfId="0" applyNumberFormat="1" applyBorder="1" applyProtection="1">
      <protection locked="0"/>
    </xf>
    <xf numFmtId="165" fontId="0" fillId="0" borderId="203" xfId="0" applyNumberFormat="1" applyBorder="1" applyAlignment="1" applyProtection="1">
      <alignment horizontal="right"/>
      <protection locked="0"/>
    </xf>
    <xf numFmtId="165" fontId="0" fillId="0" borderId="380" xfId="0" applyNumberFormat="1" applyBorder="1" applyAlignment="1" applyProtection="1">
      <alignment horizontal="right"/>
      <protection locked="0"/>
    </xf>
    <xf numFmtId="44" fontId="0" fillId="0" borderId="203" xfId="0" applyNumberFormat="1" applyBorder="1" applyProtection="1">
      <protection locked="0"/>
    </xf>
    <xf numFmtId="44" fontId="0" fillId="0" borderId="380" xfId="0" applyNumberFormat="1" applyBorder="1" applyProtection="1">
      <protection locked="0"/>
    </xf>
    <xf numFmtId="0" fontId="0" fillId="0" borderId="386" xfId="0" applyBorder="1" applyProtection="1">
      <protection locked="0"/>
    </xf>
    <xf numFmtId="0" fontId="0" fillId="0" borderId="388" xfId="0" applyBorder="1" applyAlignment="1" applyProtection="1">
      <alignment wrapText="1"/>
      <protection locked="0"/>
    </xf>
    <xf numFmtId="165" fontId="0" fillId="0" borderId="203" xfId="0" applyNumberFormat="1" applyBorder="1" applyProtection="1">
      <protection locked="0"/>
    </xf>
    <xf numFmtId="165" fontId="0" fillId="0" borderId="380" xfId="0" applyNumberFormat="1" applyBorder="1" applyProtection="1">
      <protection locked="0"/>
    </xf>
    <xf numFmtId="0" fontId="0" fillId="0" borderId="388" xfId="0" applyBorder="1" applyAlignment="1">
      <alignment wrapText="1"/>
    </xf>
    <xf numFmtId="0" fontId="0" fillId="0" borderId="388" xfId="0" applyBorder="1" applyProtection="1">
      <protection locked="0"/>
    </xf>
    <xf numFmtId="0" fontId="0" fillId="0" borderId="384" xfId="0" applyBorder="1" applyProtection="1">
      <protection locked="0"/>
    </xf>
    <xf numFmtId="0" fontId="0" fillId="0" borderId="389" xfId="0" applyBorder="1" applyProtection="1">
      <protection locked="0"/>
    </xf>
    <xf numFmtId="0" fontId="0" fillId="0" borderId="380" xfId="0" applyBorder="1" applyProtection="1">
      <protection locked="0"/>
    </xf>
    <xf numFmtId="0" fontId="0" fillId="0" borderId="254" xfId="0" applyBorder="1" applyProtection="1">
      <protection locked="0"/>
    </xf>
    <xf numFmtId="0" fontId="0" fillId="0" borderId="390" xfId="0" applyBorder="1" applyProtection="1">
      <protection locked="0"/>
    </xf>
    <xf numFmtId="0" fontId="0" fillId="0" borderId="386" xfId="0" applyBorder="1" applyAlignment="1">
      <alignment vertical="top"/>
    </xf>
    <xf numFmtId="0" fontId="10" fillId="20" borderId="388" xfId="0" applyFont="1" applyFill="1" applyBorder="1" applyAlignment="1">
      <alignment horizontal="center"/>
    </xf>
    <xf numFmtId="0" fontId="0" fillId="0" borderId="382" xfId="0" applyBorder="1" applyProtection="1">
      <protection locked="0"/>
    </xf>
    <xf numFmtId="44" fontId="0" fillId="0" borderId="382" xfId="2" applyFont="1" applyBorder="1" applyProtection="1">
      <protection locked="0"/>
    </xf>
    <xf numFmtId="44" fontId="0" fillId="0" borderId="391" xfId="2" applyFont="1" applyBorder="1" applyProtection="1">
      <protection locked="0"/>
    </xf>
    <xf numFmtId="44" fontId="10" fillId="0" borderId="388" xfId="2" applyFont="1" applyBorder="1" applyAlignment="1">
      <alignment horizontal="center" vertical="center"/>
    </xf>
    <xf numFmtId="44" fontId="0" fillId="0" borderId="384" xfId="2" applyFont="1" applyBorder="1" applyProtection="1">
      <protection locked="0"/>
    </xf>
    <xf numFmtId="44" fontId="0" fillId="0" borderId="384" xfId="2" applyFont="1" applyBorder="1" applyAlignment="1" applyProtection="1">
      <alignment horizontal="left"/>
      <protection locked="0"/>
    </xf>
    <xf numFmtId="44" fontId="0" fillId="31" borderId="384" xfId="2" applyFont="1" applyFill="1" applyBorder="1" applyProtection="1">
      <protection locked="0"/>
    </xf>
    <xf numFmtId="0" fontId="10" fillId="22" borderId="392" xfId="0" applyFont="1" applyFill="1" applyBorder="1" applyAlignment="1">
      <alignment horizontal="left"/>
    </xf>
    <xf numFmtId="44" fontId="0" fillId="22" borderId="384" xfId="2" applyFont="1" applyFill="1" applyBorder="1" applyProtection="1">
      <protection locked="0"/>
    </xf>
    <xf numFmtId="44" fontId="0" fillId="22" borderId="384" xfId="2" applyFont="1" applyFill="1" applyBorder="1" applyAlignment="1" applyProtection="1">
      <alignment horizontal="left"/>
      <protection locked="0"/>
    </xf>
    <xf numFmtId="44" fontId="0" fillId="36" borderId="384" xfId="2" applyFont="1" applyFill="1" applyBorder="1" applyProtection="1">
      <protection locked="0"/>
    </xf>
    <xf numFmtId="44" fontId="10" fillId="25" borderId="209" xfId="2" applyFont="1" applyFill="1" applyBorder="1" applyAlignment="1">
      <alignment horizontal="center" vertical="center"/>
    </xf>
    <xf numFmtId="44" fontId="0" fillId="25" borderId="384" xfId="2" applyFont="1" applyFill="1" applyBorder="1" applyProtection="1">
      <protection locked="0"/>
    </xf>
    <xf numFmtId="0" fontId="10" fillId="22" borderId="393" xfId="0" applyFont="1" applyFill="1" applyBorder="1" applyAlignment="1">
      <alignment horizontal="left"/>
    </xf>
    <xf numFmtId="4" fontId="0" fillId="0" borderId="357" xfId="0" applyNumberFormat="1" applyBorder="1" applyAlignment="1" applyProtection="1">
      <alignment horizontal="left"/>
      <protection locked="0"/>
    </xf>
    <xf numFmtId="44" fontId="0" fillId="5" borderId="373" xfId="2" applyFont="1" applyFill="1" applyBorder="1" applyProtection="1">
      <protection locked="0"/>
    </xf>
    <xf numFmtId="164" fontId="0" fillId="0" borderId="357" xfId="1" applyNumberFormat="1" applyFont="1" applyBorder="1" applyProtection="1">
      <protection locked="0"/>
    </xf>
    <xf numFmtId="0" fontId="10" fillId="0" borderId="316" xfId="0" applyFont="1" applyBorder="1" applyAlignment="1">
      <alignment horizontal="left" vertical="center" wrapText="1" indent="2"/>
    </xf>
    <xf numFmtId="164" fontId="0" fillId="0" borderId="357" xfId="1" applyNumberFormat="1" applyFont="1" applyBorder="1" applyAlignment="1" applyProtection="1">
      <alignment horizontal="left"/>
      <protection locked="0"/>
    </xf>
    <xf numFmtId="0" fontId="10" fillId="0" borderId="316" xfId="0" applyFont="1" applyBorder="1" applyAlignment="1">
      <alignment vertical="center" wrapText="1"/>
    </xf>
    <xf numFmtId="44" fontId="0" fillId="25" borderId="373" xfId="2" applyFont="1" applyFill="1" applyBorder="1" applyProtection="1">
      <protection locked="0"/>
    </xf>
    <xf numFmtId="0" fontId="10" fillId="13" borderId="209" xfId="0" applyFont="1" applyFill="1" applyBorder="1" applyAlignment="1">
      <alignment horizontal="left" vertical="center" wrapText="1" indent="2"/>
    </xf>
    <xf numFmtId="44" fontId="0" fillId="13" borderId="373" xfId="2" applyFont="1" applyFill="1" applyBorder="1" applyProtection="1">
      <protection locked="0"/>
    </xf>
    <xf numFmtId="0" fontId="10" fillId="0" borderId="209" xfId="0" applyFont="1" applyBorder="1" applyAlignment="1">
      <alignment vertical="center" wrapText="1"/>
    </xf>
    <xf numFmtId="0" fontId="10" fillId="0" borderId="209" xfId="0" applyFont="1" applyBorder="1" applyAlignment="1">
      <alignment horizontal="left" vertical="top" wrapText="1"/>
    </xf>
    <xf numFmtId="44" fontId="0" fillId="0" borderId="362" xfId="2" applyFont="1" applyBorder="1" applyAlignment="1" applyProtection="1">
      <alignment horizontal="left" vertical="top"/>
      <protection locked="0"/>
    </xf>
    <xf numFmtId="44" fontId="10" fillId="0" borderId="209" xfId="2" applyFont="1" applyBorder="1" applyAlignment="1">
      <alignment horizontal="center" vertical="top"/>
    </xf>
    <xf numFmtId="44" fontId="0" fillId="5" borderId="373" xfId="2" applyFont="1" applyFill="1" applyBorder="1" applyAlignment="1" applyProtection="1">
      <alignment vertical="top"/>
      <protection locked="0"/>
    </xf>
    <xf numFmtId="44" fontId="0" fillId="0" borderId="373" xfId="2" applyFont="1" applyBorder="1" applyAlignment="1" applyProtection="1">
      <alignment vertical="top"/>
      <protection locked="0"/>
    </xf>
    <xf numFmtId="44" fontId="0" fillId="0" borderId="360" xfId="2" applyFont="1" applyBorder="1" applyAlignment="1">
      <alignment vertical="top"/>
    </xf>
    <xf numFmtId="3" fontId="0" fillId="0" borderId="373" xfId="0" applyNumberFormat="1" applyBorder="1" applyAlignment="1" applyProtection="1">
      <alignment horizontal="left"/>
      <protection locked="0"/>
    </xf>
    <xf numFmtId="0" fontId="10" fillId="0" borderId="394" xfId="0" applyFont="1" applyBorder="1" applyAlignment="1">
      <alignment vertical="center"/>
    </xf>
    <xf numFmtId="0" fontId="10" fillId="0" borderId="394" xfId="0" quotePrefix="1" applyFont="1" applyBorder="1"/>
    <xf numFmtId="0" fontId="10" fillId="20" borderId="394" xfId="0" applyFont="1" applyFill="1" applyBorder="1" applyAlignment="1">
      <alignment horizontal="center"/>
    </xf>
    <xf numFmtId="0" fontId="10" fillId="22" borderId="394" xfId="0" applyFont="1" applyFill="1" applyBorder="1" applyAlignment="1">
      <alignment horizontal="left"/>
    </xf>
    <xf numFmtId="3" fontId="0" fillId="22" borderId="373" xfId="0" applyNumberFormat="1" applyFill="1" applyBorder="1" applyAlignment="1" applyProtection="1">
      <alignment horizontal="left"/>
      <protection locked="0"/>
    </xf>
    <xf numFmtId="0" fontId="10" fillId="0" borderId="187" xfId="0" applyFont="1" applyBorder="1" applyAlignment="1">
      <alignment vertical="center" wrapText="1"/>
    </xf>
    <xf numFmtId="0" fontId="6" fillId="20" borderId="316" xfId="0" applyFont="1" applyFill="1" applyBorder="1" applyAlignment="1">
      <alignment horizontal="center"/>
    </xf>
    <xf numFmtId="44" fontId="6" fillId="0" borderId="316" xfId="2" applyFont="1" applyBorder="1" applyAlignment="1">
      <alignment horizontal="center" vertical="top"/>
    </xf>
    <xf numFmtId="44" fontId="6" fillId="0" borderId="316" xfId="2" applyFont="1" applyBorder="1" applyAlignment="1">
      <alignment horizontal="center" vertical="center"/>
    </xf>
    <xf numFmtId="44" fontId="6" fillId="0" borderId="209" xfId="2" applyFont="1" applyBorder="1" applyAlignment="1">
      <alignment horizontal="center" vertical="top"/>
    </xf>
    <xf numFmtId="0" fontId="6" fillId="22" borderId="395" xfId="0" applyFont="1" applyFill="1" applyBorder="1" applyAlignment="1">
      <alignment horizontal="left"/>
    </xf>
    <xf numFmtId="44" fontId="0" fillId="22" borderId="209" xfId="2" applyFont="1" applyFill="1" applyBorder="1" applyAlignment="1" applyProtection="1">
      <alignment vertical="top"/>
      <protection locked="0"/>
    </xf>
    <xf numFmtId="44" fontId="0" fillId="22" borderId="396" xfId="2" applyFont="1" applyFill="1" applyBorder="1" applyProtection="1">
      <protection locked="0"/>
    </xf>
    <xf numFmtId="44" fontId="0" fillId="22" borderId="396" xfId="2" applyFont="1" applyFill="1" applyBorder="1" applyAlignment="1" applyProtection="1">
      <alignment horizontal="left"/>
      <protection locked="0"/>
    </xf>
    <xf numFmtId="44" fontId="1" fillId="0" borderId="209" xfId="2" applyFont="1" applyBorder="1" applyProtection="1">
      <protection locked="0"/>
    </xf>
    <xf numFmtId="44" fontId="1" fillId="0" borderId="203" xfId="2" applyFont="1" applyBorder="1" applyProtection="1">
      <protection locked="0"/>
    </xf>
    <xf numFmtId="0" fontId="6" fillId="0" borderId="397" xfId="0" applyFont="1" applyBorder="1" applyAlignment="1">
      <alignment horizontal="left" vertical="center" wrapText="1" indent="2"/>
    </xf>
    <xf numFmtId="44" fontId="1" fillId="0" borderId="398" xfId="2" applyFont="1" applyBorder="1" applyAlignment="1" applyProtection="1">
      <alignment horizontal="left"/>
      <protection locked="0"/>
    </xf>
    <xf numFmtId="44" fontId="1" fillId="0" borderId="396" xfId="2" applyFont="1" applyBorder="1" applyProtection="1">
      <protection locked="0"/>
    </xf>
    <xf numFmtId="0" fontId="6" fillId="0" borderId="397" xfId="0" applyFont="1" applyBorder="1" applyAlignment="1">
      <alignment horizontal="left" vertical="center" wrapText="1"/>
    </xf>
    <xf numFmtId="44" fontId="1" fillId="0" borderId="396" xfId="2" applyFont="1" applyFill="1" applyBorder="1" applyProtection="1">
      <protection locked="0"/>
    </xf>
    <xf numFmtId="44" fontId="1" fillId="5" borderId="396" xfId="2" applyFont="1" applyFill="1" applyBorder="1" applyProtection="1">
      <protection locked="0"/>
    </xf>
    <xf numFmtId="0" fontId="6" fillId="0" borderId="209" xfId="0" applyFont="1" applyBorder="1" applyAlignment="1">
      <alignment horizontal="left" vertical="top" wrapText="1"/>
    </xf>
    <xf numFmtId="44" fontId="1" fillId="0" borderId="398" xfId="2" applyFont="1" applyBorder="1" applyAlignment="1" applyProtection="1">
      <alignment horizontal="left" vertical="top"/>
      <protection locked="0"/>
    </xf>
    <xf numFmtId="44" fontId="1" fillId="0" borderId="396" xfId="2" applyFont="1" applyBorder="1" applyAlignment="1" applyProtection="1">
      <alignment vertical="top"/>
      <protection locked="0"/>
    </xf>
    <xf numFmtId="44" fontId="1" fillId="25" borderId="396" xfId="2" applyFont="1" applyFill="1" applyBorder="1" applyAlignment="1" applyProtection="1">
      <alignment vertical="top"/>
      <protection locked="0"/>
    </xf>
    <xf numFmtId="44" fontId="1" fillId="5" borderId="396" xfId="2" applyFont="1" applyFill="1" applyBorder="1" applyAlignment="1" applyProtection="1">
      <alignment horizontal="center" vertical="top"/>
      <protection locked="0"/>
    </xf>
    <xf numFmtId="9" fontId="0" fillId="4" borderId="209" xfId="3" applyFont="1" applyFill="1" applyBorder="1" applyAlignment="1" applyProtection="1">
      <alignment vertical="top"/>
      <protection locked="0"/>
    </xf>
    <xf numFmtId="44" fontId="0" fillId="4" borderId="209" xfId="2" applyFont="1" applyFill="1" applyBorder="1" applyAlignment="1" applyProtection="1">
      <alignment vertical="top"/>
      <protection locked="0"/>
    </xf>
    <xf numFmtId="44" fontId="9" fillId="4" borderId="209" xfId="2" applyFont="1" applyFill="1" applyBorder="1" applyAlignment="1" applyProtection="1">
      <alignment horizontal="center" vertical="top"/>
      <protection locked="0"/>
    </xf>
    <xf numFmtId="44" fontId="0" fillId="4" borderId="209" xfId="2" applyFont="1" applyFill="1" applyBorder="1" applyAlignment="1" applyProtection="1">
      <alignment horizontal="center" vertical="top"/>
      <protection locked="0"/>
    </xf>
    <xf numFmtId="0" fontId="0" fillId="0" borderId="399" xfId="0" applyBorder="1"/>
    <xf numFmtId="44" fontId="0" fillId="0" borderId="400" xfId="0" applyNumberFormat="1" applyBorder="1" applyProtection="1">
      <protection locked="0"/>
    </xf>
    <xf numFmtId="0" fontId="0" fillId="0" borderId="401" xfId="0" applyBorder="1" applyProtection="1">
      <protection locked="0"/>
    </xf>
    <xf numFmtId="165" fontId="0" fillId="0" borderId="397" xfId="0" applyNumberFormat="1" applyBorder="1" applyAlignment="1" applyProtection="1">
      <alignment vertical="top"/>
      <protection locked="0"/>
    </xf>
    <xf numFmtId="165" fontId="0" fillId="0" borderId="397" xfId="0" applyNumberFormat="1" applyBorder="1" applyProtection="1">
      <protection locked="0"/>
    </xf>
    <xf numFmtId="165" fontId="0" fillId="0" borderId="396" xfId="0" applyNumberFormat="1" applyBorder="1" applyProtection="1">
      <protection locked="0"/>
    </xf>
    <xf numFmtId="43" fontId="0" fillId="0" borderId="400" xfId="1" applyFont="1" applyBorder="1" applyProtection="1">
      <protection locked="0"/>
    </xf>
    <xf numFmtId="165" fontId="0" fillId="0" borderId="209" xfId="0" applyNumberFormat="1" applyBorder="1" applyAlignment="1" applyProtection="1">
      <alignment horizontal="right" vertical="top"/>
      <protection locked="0"/>
    </xf>
    <xf numFmtId="44" fontId="0" fillId="0" borderId="209" xfId="0" applyNumberFormat="1" applyBorder="1" applyAlignment="1" applyProtection="1">
      <alignment vertical="top"/>
      <protection locked="0"/>
    </xf>
    <xf numFmtId="0" fontId="0" fillId="0" borderId="399" xfId="0" applyBorder="1" applyProtection="1">
      <protection locked="0"/>
    </xf>
    <xf numFmtId="0" fontId="0" fillId="0" borderId="397" xfId="0" applyBorder="1" applyAlignment="1" applyProtection="1">
      <alignment wrapText="1"/>
      <protection locked="0"/>
    </xf>
    <xf numFmtId="165" fontId="0" fillId="0" borderId="209" xfId="0" applyNumberFormat="1" applyBorder="1" applyAlignment="1" applyProtection="1">
      <alignment vertical="top"/>
      <protection locked="0"/>
    </xf>
    <xf numFmtId="0" fontId="0" fillId="0" borderId="397" xfId="0" applyBorder="1" applyAlignment="1">
      <alignment wrapText="1"/>
    </xf>
    <xf numFmtId="0" fontId="0" fillId="0" borderId="397" xfId="0" applyBorder="1" applyAlignment="1" applyProtection="1">
      <alignment vertical="top"/>
      <protection locked="0"/>
    </xf>
    <xf numFmtId="0" fontId="0" fillId="0" borderId="397" xfId="0" applyBorder="1" applyProtection="1">
      <protection locked="0"/>
    </xf>
    <xf numFmtId="0" fontId="0" fillId="0" borderId="396" xfId="0" applyBorder="1" applyProtection="1">
      <protection locked="0"/>
    </xf>
    <xf numFmtId="0" fontId="0" fillId="0" borderId="209" xfId="0" applyBorder="1" applyAlignment="1" applyProtection="1">
      <alignment vertical="top"/>
      <protection locked="0"/>
    </xf>
    <xf numFmtId="0" fontId="0" fillId="0" borderId="217" xfId="0" applyBorder="1" applyAlignment="1" applyProtection="1">
      <alignment vertical="top"/>
      <protection locked="0"/>
    </xf>
    <xf numFmtId="0" fontId="0" fillId="0" borderId="399" xfId="0" applyBorder="1" applyAlignment="1">
      <alignment vertical="top"/>
    </xf>
    <xf numFmtId="0" fontId="10" fillId="20" borderId="397" xfId="0" applyFont="1" applyFill="1" applyBorder="1" applyAlignment="1">
      <alignment horizontal="center"/>
    </xf>
    <xf numFmtId="44" fontId="10" fillId="0" borderId="397" xfId="2" applyFont="1" applyBorder="1" applyAlignment="1">
      <alignment horizontal="center" vertical="center"/>
    </xf>
    <xf numFmtId="0" fontId="3" fillId="0" borderId="377" xfId="0" applyFont="1" applyBorder="1" applyAlignment="1">
      <alignment wrapText="1"/>
    </xf>
    <xf numFmtId="0" fontId="10" fillId="0" borderId="397" xfId="0" applyFont="1" applyBorder="1" applyAlignment="1">
      <alignment horizontal="left" vertical="center" wrapText="1"/>
    </xf>
    <xf numFmtId="0" fontId="0" fillId="0" borderId="357" xfId="0" applyBorder="1" applyAlignment="1" applyProtection="1">
      <alignment horizontal="left"/>
      <protection locked="0"/>
    </xf>
    <xf numFmtId="0" fontId="6" fillId="20" borderId="397" xfId="0" applyFont="1" applyFill="1" applyBorder="1" applyAlignment="1">
      <alignment horizontal="center"/>
    </xf>
    <xf numFmtId="0" fontId="0" fillId="0" borderId="357" xfId="0" applyBorder="1" applyAlignment="1" applyProtection="1">
      <alignment horizontal="center"/>
      <protection locked="0"/>
    </xf>
    <xf numFmtId="44" fontId="6" fillId="0" borderId="397" xfId="2" applyFont="1" applyBorder="1" applyAlignment="1">
      <alignment horizontal="center" vertical="center"/>
    </xf>
    <xf numFmtId="0" fontId="6" fillId="22" borderId="393" xfId="0" applyFont="1" applyFill="1" applyBorder="1" applyAlignment="1">
      <alignment horizontal="left"/>
    </xf>
    <xf numFmtId="44" fontId="0" fillId="25" borderId="373" xfId="2" applyFont="1" applyFill="1" applyBorder="1" applyAlignment="1" applyProtection="1">
      <alignment horizontal="center"/>
      <protection locked="0"/>
    </xf>
    <xf numFmtId="0" fontId="6" fillId="0" borderId="397" xfId="0" applyFont="1" applyBorder="1" applyAlignment="1">
      <alignment vertical="center" wrapText="1"/>
    </xf>
    <xf numFmtId="44" fontId="0" fillId="25" borderId="373" xfId="2" applyFont="1" applyFill="1" applyBorder="1" applyAlignment="1" applyProtection="1">
      <alignment vertical="top"/>
      <protection locked="0"/>
    </xf>
    <xf numFmtId="0" fontId="27" fillId="0" borderId="209" xfId="0" applyFont="1" applyBorder="1" applyAlignment="1">
      <alignment wrapText="1"/>
    </xf>
    <xf numFmtId="44" fontId="0" fillId="0" borderId="314" xfId="2" applyFont="1" applyBorder="1" applyAlignment="1" applyProtection="1">
      <alignment vertical="top"/>
      <protection locked="0"/>
    </xf>
    <xf numFmtId="0" fontId="0" fillId="0" borderId="397" xfId="2" applyNumberFormat="1" applyFont="1" applyBorder="1" applyAlignment="1" applyProtection="1">
      <alignment vertical="top" wrapText="1"/>
      <protection locked="0"/>
    </xf>
    <xf numFmtId="44" fontId="0" fillId="0" borderId="169" xfId="2" applyFont="1" applyBorder="1" applyAlignment="1" applyProtection="1">
      <alignment vertical="top"/>
      <protection locked="0"/>
    </xf>
    <xf numFmtId="44" fontId="0" fillId="0" borderId="357" xfId="2" applyFont="1" applyBorder="1" applyAlignment="1" applyProtection="1">
      <alignment vertical="top"/>
      <protection locked="0"/>
    </xf>
    <xf numFmtId="44" fontId="0" fillId="0" borderId="357" xfId="2" applyFont="1" applyBorder="1" applyAlignment="1" applyProtection="1">
      <alignment horizontal="center" vertical="top"/>
      <protection locked="0"/>
    </xf>
    <xf numFmtId="44" fontId="0" fillId="0" borderId="354" xfId="2" applyFont="1" applyBorder="1" applyAlignment="1" applyProtection="1">
      <alignment vertical="top"/>
      <protection locked="0"/>
    </xf>
    <xf numFmtId="44" fontId="0" fillId="0" borderId="397" xfId="2" applyFont="1" applyBorder="1" applyAlignment="1" applyProtection="1">
      <alignment vertical="top"/>
      <protection locked="0"/>
    </xf>
    <xf numFmtId="0" fontId="0" fillId="0" borderId="203" xfId="0" applyBorder="1" applyAlignment="1" applyProtection="1">
      <alignment vertical="top"/>
      <protection locked="0"/>
    </xf>
    <xf numFmtId="0" fontId="0" fillId="0" borderId="209" xfId="0" applyBorder="1" applyAlignment="1" applyProtection="1">
      <alignment vertical="top" wrapText="1"/>
      <protection locked="0"/>
    </xf>
    <xf numFmtId="44" fontId="0" fillId="0" borderId="209" xfId="2" applyFont="1" applyBorder="1" applyAlignment="1" applyProtection="1">
      <alignment vertical="top"/>
      <protection locked="0"/>
    </xf>
    <xf numFmtId="0" fontId="56" fillId="0" borderId="397" xfId="0" applyFont="1" applyBorder="1" applyAlignment="1">
      <alignment horizontal="left" vertical="center" wrapText="1"/>
    </xf>
    <xf numFmtId="0" fontId="11" fillId="0" borderId="397" xfId="0" applyFont="1" applyBorder="1" applyAlignment="1">
      <alignment horizontal="left" vertical="center" wrapText="1"/>
    </xf>
    <xf numFmtId="44" fontId="0" fillId="0" borderId="373" xfId="2" applyFont="1" applyBorder="1" applyAlignment="1" applyProtection="1">
      <alignment wrapText="1"/>
      <protection locked="0"/>
    </xf>
    <xf numFmtId="0" fontId="51" fillId="0" borderId="397" xfId="0" applyFont="1" applyBorder="1" applyAlignment="1">
      <alignment horizontal="left" vertical="center" wrapText="1"/>
    </xf>
    <xf numFmtId="0" fontId="10" fillId="0" borderId="397" xfId="0" applyFont="1" applyBorder="1" applyAlignment="1">
      <alignment horizontal="left" vertical="center" wrapText="1" indent="1"/>
    </xf>
    <xf numFmtId="44" fontId="57" fillId="0" borderId="373" xfId="2" applyFont="1" applyBorder="1" applyAlignment="1" applyProtection="1">
      <alignment wrapText="1"/>
      <protection locked="0"/>
    </xf>
    <xf numFmtId="8" fontId="0" fillId="5" borderId="373" xfId="2" applyNumberFormat="1" applyFont="1" applyFill="1" applyBorder="1" applyProtection="1">
      <protection locked="0"/>
    </xf>
    <xf numFmtId="44" fontId="0" fillId="0" borderId="362" xfId="2" applyFont="1" applyFill="1" applyBorder="1" applyAlignment="1" applyProtection="1">
      <alignment horizontal="left"/>
      <protection locked="0"/>
    </xf>
    <xf numFmtId="44" fontId="0" fillId="0" borderId="373" xfId="2" applyFont="1" applyFill="1" applyBorder="1" applyProtection="1">
      <protection locked="0"/>
    </xf>
    <xf numFmtId="0" fontId="10" fillId="5" borderId="397" xfId="0" applyFont="1" applyFill="1" applyBorder="1" applyAlignment="1">
      <alignment horizontal="left" vertical="center" wrapText="1"/>
    </xf>
    <xf numFmtId="44" fontId="0" fillId="0" borderId="177" xfId="2" applyFont="1" applyBorder="1" applyProtection="1">
      <protection locked="0"/>
    </xf>
    <xf numFmtId="44" fontId="0" fillId="0" borderId="357" xfId="2" applyFont="1" applyBorder="1" applyAlignment="1" applyProtection="1">
      <alignment horizontal="center"/>
      <protection locked="0"/>
    </xf>
    <xf numFmtId="179" fontId="0" fillId="31" borderId="177" xfId="3" applyNumberFormat="1" applyFont="1" applyFill="1" applyBorder="1" applyProtection="1">
      <protection locked="0"/>
    </xf>
    <xf numFmtId="170" fontId="0" fillId="0" borderId="397" xfId="0" applyNumberFormat="1" applyBorder="1" applyProtection="1">
      <protection locked="0"/>
    </xf>
    <xf numFmtId="0" fontId="4" fillId="0" borderId="177" xfId="4" applyBorder="1" applyAlignment="1" applyProtection="1">
      <alignment horizontal="center" vertical="center"/>
      <protection locked="0"/>
    </xf>
    <xf numFmtId="0" fontId="10" fillId="22" borderId="402" xfId="0" applyFont="1" applyFill="1" applyBorder="1" applyAlignment="1">
      <alignment horizontal="left"/>
    </xf>
    <xf numFmtId="44" fontId="0" fillId="22" borderId="403" xfId="2" applyFont="1" applyFill="1" applyBorder="1" applyProtection="1">
      <protection locked="0"/>
    </xf>
    <xf numFmtId="44" fontId="0" fillId="22" borderId="403" xfId="2" applyFont="1" applyFill="1" applyBorder="1" applyAlignment="1" applyProtection="1">
      <alignment horizontal="left"/>
      <protection locked="0"/>
    </xf>
    <xf numFmtId="0" fontId="10" fillId="0" borderId="404" xfId="0" applyFont="1" applyBorder="1" applyAlignment="1">
      <alignment horizontal="left" vertical="center" wrapText="1"/>
    </xf>
    <xf numFmtId="4" fontId="0" fillId="0" borderId="405" xfId="0" applyNumberFormat="1" applyBorder="1" applyAlignment="1" applyProtection="1">
      <alignment horizontal="left"/>
      <protection locked="0"/>
    </xf>
    <xf numFmtId="44" fontId="0" fillId="0" borderId="405" xfId="2" applyFont="1" applyBorder="1" applyAlignment="1" applyProtection="1">
      <alignment horizontal="left"/>
      <protection locked="0"/>
    </xf>
    <xf numFmtId="44" fontId="0" fillId="0" borderId="406" xfId="2" applyFont="1" applyBorder="1" applyAlignment="1" applyProtection="1">
      <alignment horizontal="left"/>
      <protection locked="0"/>
    </xf>
    <xf numFmtId="0" fontId="0" fillId="0" borderId="407" xfId="0" applyBorder="1"/>
    <xf numFmtId="0" fontId="0" fillId="0" borderId="408" xfId="0" applyBorder="1" applyProtection="1">
      <protection locked="0"/>
    </xf>
    <xf numFmtId="165" fontId="0" fillId="0" borderId="404" xfId="0" applyNumberFormat="1" applyBorder="1" applyProtection="1">
      <protection locked="0"/>
    </xf>
    <xf numFmtId="165" fontId="0" fillId="0" borderId="403" xfId="0" applyNumberFormat="1" applyBorder="1" applyProtection="1">
      <protection locked="0"/>
    </xf>
    <xf numFmtId="0" fontId="0" fillId="0" borderId="407" xfId="0" applyBorder="1" applyProtection="1">
      <protection locked="0"/>
    </xf>
    <xf numFmtId="0" fontId="0" fillId="0" borderId="404" xfId="0" applyBorder="1" applyAlignment="1" applyProtection="1">
      <alignment wrapText="1"/>
      <protection locked="0"/>
    </xf>
    <xf numFmtId="0" fontId="0" fillId="0" borderId="404" xfId="0" applyBorder="1" applyAlignment="1">
      <alignment wrapText="1"/>
    </xf>
    <xf numFmtId="0" fontId="0" fillId="0" borderId="404" xfId="0" applyBorder="1" applyProtection="1">
      <protection locked="0"/>
    </xf>
    <xf numFmtId="0" fontId="0" fillId="0" borderId="403" xfId="0" applyBorder="1" applyProtection="1">
      <protection locked="0"/>
    </xf>
    <xf numFmtId="0" fontId="3" fillId="0" borderId="311" xfId="0" applyFont="1" applyBorder="1" applyAlignment="1" applyProtection="1">
      <alignment horizontal="right"/>
      <protection locked="0"/>
    </xf>
    <xf numFmtId="181" fontId="4" fillId="0" borderId="256" xfId="4" applyNumberFormat="1" applyBorder="1" applyAlignment="1" applyProtection="1">
      <alignment horizontal="center" vertical="center"/>
      <protection locked="0"/>
    </xf>
    <xf numFmtId="181" fontId="0" fillId="0" borderId="229" xfId="2" applyNumberFormat="1" applyFont="1" applyBorder="1" applyAlignment="1" applyProtection="1">
      <alignment horizontal="center"/>
      <protection locked="0"/>
    </xf>
    <xf numFmtId="0" fontId="0" fillId="0" borderId="311" xfId="0" applyBorder="1" applyAlignment="1">
      <alignment horizontal="right"/>
    </xf>
    <xf numFmtId="0" fontId="0" fillId="0" borderId="407" xfId="0" applyBorder="1" applyAlignment="1">
      <alignment vertical="top"/>
    </xf>
    <xf numFmtId="0" fontId="10" fillId="20" borderId="404" xfId="0" applyFont="1" applyFill="1" applyBorder="1" applyAlignment="1">
      <alignment horizontal="center"/>
    </xf>
    <xf numFmtId="0" fontId="0" fillId="0" borderId="405" xfId="0" applyBorder="1" applyProtection="1">
      <protection locked="0"/>
    </xf>
    <xf numFmtId="44" fontId="0" fillId="0" borderId="405" xfId="2" applyFont="1" applyBorder="1" applyProtection="1">
      <protection locked="0"/>
    </xf>
    <xf numFmtId="44" fontId="0" fillId="0" borderId="409" xfId="2" applyFont="1" applyBorder="1" applyProtection="1">
      <protection locked="0"/>
    </xf>
    <xf numFmtId="44" fontId="10" fillId="0" borderId="404" xfId="2" applyFont="1" applyBorder="1" applyAlignment="1">
      <alignment horizontal="center" vertical="center"/>
    </xf>
    <xf numFmtId="44" fontId="0" fillId="0" borderId="403" xfId="2" applyFont="1" applyBorder="1" applyAlignment="1" applyProtection="1">
      <alignment horizontal="left"/>
      <protection locked="0"/>
    </xf>
    <xf numFmtId="44" fontId="0" fillId="0" borderId="403" xfId="2" applyFont="1" applyBorder="1" applyProtection="1">
      <protection locked="0"/>
    </xf>
    <xf numFmtId="44" fontId="0" fillId="31" borderId="403" xfId="2" applyFont="1" applyFill="1" applyBorder="1" applyAlignment="1" applyProtection="1">
      <alignment horizontal="left"/>
      <protection locked="0"/>
    </xf>
    <xf numFmtId="0" fontId="10" fillId="20" borderId="410" xfId="0" applyFont="1" applyFill="1" applyBorder="1" applyAlignment="1">
      <alignment horizontal="center"/>
    </xf>
    <xf numFmtId="44" fontId="5" fillId="22" borderId="411" xfId="2" applyFont="1" applyFill="1" applyBorder="1" applyProtection="1">
      <protection locked="0"/>
    </xf>
    <xf numFmtId="0" fontId="0" fillId="0" borderId="412" xfId="0" applyBorder="1" applyAlignment="1">
      <alignment wrapText="1"/>
    </xf>
    <xf numFmtId="0" fontId="3" fillId="0" borderId="411" xfId="0" applyFont="1" applyBorder="1" applyAlignment="1">
      <alignment wrapText="1"/>
    </xf>
    <xf numFmtId="44" fontId="0" fillId="0" borderId="411" xfId="2" applyFont="1" applyBorder="1" applyProtection="1">
      <protection locked="0"/>
    </xf>
    <xf numFmtId="0" fontId="3" fillId="0" borderId="404" xfId="0" applyFont="1" applyBorder="1" applyAlignment="1">
      <alignment wrapText="1"/>
    </xf>
    <xf numFmtId="44" fontId="0" fillId="0" borderId="405" xfId="2" applyFont="1" applyBorder="1" applyAlignment="1" applyProtection="1">
      <alignment horizontal="center"/>
      <protection locked="0"/>
    </xf>
    <xf numFmtId="0" fontId="11" fillId="5" borderId="404" xfId="0" applyFont="1" applyFill="1" applyBorder="1" applyAlignment="1">
      <alignment horizontal="left" vertical="center" wrapText="1"/>
    </xf>
    <xf numFmtId="44" fontId="10" fillId="5" borderId="411" xfId="2" applyFont="1" applyFill="1" applyBorder="1" applyAlignment="1">
      <alignment horizontal="center" vertical="center"/>
    </xf>
    <xf numFmtId="44" fontId="0" fillId="5" borderId="403" xfId="2" applyFont="1" applyFill="1" applyBorder="1" applyProtection="1">
      <protection locked="0"/>
    </xf>
    <xf numFmtId="0" fontId="11" fillId="0" borderId="411" xfId="0" applyFont="1" applyBorder="1" applyAlignment="1">
      <alignment horizontal="left" vertical="center" wrapText="1"/>
    </xf>
    <xf numFmtId="0" fontId="10" fillId="0" borderId="411" xfId="0" applyFont="1" applyBorder="1" applyAlignment="1">
      <alignment horizontal="left" vertical="center" wrapText="1"/>
    </xf>
    <xf numFmtId="0" fontId="0" fillId="4" borderId="411" xfId="0" applyFill="1" applyBorder="1" applyAlignment="1">
      <alignment wrapText="1"/>
    </xf>
    <xf numFmtId="179" fontId="0" fillId="4" borderId="411" xfId="3" applyNumberFormat="1" applyFont="1" applyFill="1" applyBorder="1" applyProtection="1">
      <protection locked="0"/>
    </xf>
    <xf numFmtId="44" fontId="0" fillId="4" borderId="411" xfId="2" applyFont="1" applyFill="1" applyBorder="1" applyProtection="1">
      <protection locked="0"/>
    </xf>
    <xf numFmtId="9" fontId="0" fillId="4" borderId="411" xfId="3" applyFont="1" applyFill="1" applyBorder="1" applyProtection="1">
      <protection locked="0"/>
    </xf>
    <xf numFmtId="44" fontId="9" fillId="4" borderId="411" xfId="2" applyFont="1" applyFill="1" applyBorder="1" applyAlignment="1" applyProtection="1">
      <alignment horizontal="center"/>
      <protection locked="0"/>
    </xf>
    <xf numFmtId="44" fontId="0" fillId="4" borderId="411" xfId="2" applyFont="1" applyFill="1" applyBorder="1" applyAlignment="1" applyProtection="1">
      <alignment horizontal="center"/>
      <protection locked="0"/>
    </xf>
    <xf numFmtId="0" fontId="0" fillId="0" borderId="411" xfId="0" applyBorder="1" applyAlignment="1">
      <alignment wrapText="1"/>
    </xf>
    <xf numFmtId="165" fontId="0" fillId="0" borderId="411" xfId="0" applyNumberFormat="1" applyBorder="1" applyAlignment="1" applyProtection="1">
      <alignment horizontal="right"/>
      <protection locked="0"/>
    </xf>
    <xf numFmtId="0" fontId="0" fillId="0" borderId="411" xfId="0" applyBorder="1" applyAlignment="1" applyProtection="1">
      <alignment wrapText="1"/>
      <protection locked="0"/>
    </xf>
    <xf numFmtId="44" fontId="0" fillId="0" borderId="411" xfId="0" applyNumberFormat="1" applyBorder="1" applyProtection="1">
      <protection locked="0"/>
    </xf>
    <xf numFmtId="165" fontId="0" fillId="0" borderId="411" xfId="0" applyNumberFormat="1" applyBorder="1" applyProtection="1">
      <protection locked="0"/>
    </xf>
    <xf numFmtId="0" fontId="0" fillId="0" borderId="411" xfId="0" applyBorder="1" applyProtection="1">
      <protection locked="0"/>
    </xf>
    <xf numFmtId="44" fontId="0" fillId="0" borderId="411" xfId="0" applyNumberFormat="1" applyBorder="1" applyAlignment="1" applyProtection="1">
      <alignment horizontal="center"/>
      <protection locked="0"/>
    </xf>
    <xf numFmtId="0" fontId="3" fillId="0" borderId="411" xfId="0" applyFont="1" applyBorder="1" applyAlignment="1" applyProtection="1">
      <alignment horizontal="right"/>
      <protection locked="0"/>
    </xf>
    <xf numFmtId="169" fontId="0" fillId="0" borderId="411" xfId="0" applyNumberFormat="1" applyBorder="1" applyAlignment="1" applyProtection="1">
      <alignment horizontal="center"/>
      <protection locked="0"/>
    </xf>
    <xf numFmtId="0" fontId="4" fillId="0" borderId="411" xfId="4" applyBorder="1" applyAlignment="1" applyProtection="1">
      <alignment horizontal="center" vertical="center"/>
      <protection locked="0"/>
    </xf>
    <xf numFmtId="0" fontId="3" fillId="26" borderId="411" xfId="0" applyFont="1" applyFill="1" applyBorder="1" applyAlignment="1">
      <alignment wrapText="1"/>
    </xf>
    <xf numFmtId="0" fontId="0" fillId="0" borderId="411" xfId="0" applyBorder="1" applyAlignment="1">
      <alignment horizontal="left" wrapText="1"/>
    </xf>
    <xf numFmtId="14" fontId="0" fillId="0" borderId="411" xfId="0" applyNumberFormat="1" applyBorder="1" applyAlignment="1">
      <alignment horizontal="left" wrapText="1"/>
    </xf>
    <xf numFmtId="0" fontId="10" fillId="0" borderId="411" xfId="0" applyFont="1" applyBorder="1" applyAlignment="1">
      <alignment vertical="center"/>
    </xf>
    <xf numFmtId="44" fontId="10" fillId="0" borderId="411" xfId="2" applyFont="1" applyBorder="1" applyAlignment="1">
      <alignment horizontal="center" vertical="center"/>
    </xf>
    <xf numFmtId="0" fontId="10" fillId="0" borderId="411" xfId="0" quotePrefix="1" applyFont="1" applyBorder="1"/>
    <xf numFmtId="44" fontId="4" fillId="0" borderId="411" xfId="4" applyNumberFormat="1" applyBorder="1" applyAlignment="1" applyProtection="1">
      <alignment horizontal="center" vertical="center"/>
      <protection locked="0"/>
    </xf>
    <xf numFmtId="0" fontId="10" fillId="22" borderId="413" xfId="0" applyFont="1" applyFill="1" applyBorder="1" applyAlignment="1">
      <alignment horizontal="left"/>
    </xf>
    <xf numFmtId="44" fontId="0" fillId="22" borderId="414" xfId="2" applyFont="1" applyFill="1" applyBorder="1" applyAlignment="1" applyProtection="1">
      <alignment horizontal="left"/>
      <protection locked="0"/>
    </xf>
    <xf numFmtId="44" fontId="0" fillId="22" borderId="414" xfId="2" applyFont="1" applyFill="1" applyBorder="1" applyProtection="1">
      <protection locked="0"/>
    </xf>
    <xf numFmtId="0" fontId="10" fillId="0" borderId="415" xfId="0" applyFont="1" applyBorder="1" applyAlignment="1">
      <alignment horizontal="left" vertical="center" wrapText="1"/>
    </xf>
    <xf numFmtId="4" fontId="0" fillId="0" borderId="416" xfId="0" applyNumberFormat="1" applyBorder="1" applyAlignment="1" applyProtection="1">
      <alignment horizontal="left"/>
      <protection locked="0"/>
    </xf>
    <xf numFmtId="44" fontId="0" fillId="0" borderId="416" xfId="2" applyFont="1" applyBorder="1" applyAlignment="1" applyProtection="1">
      <alignment horizontal="left"/>
      <protection locked="0"/>
    </xf>
    <xf numFmtId="44" fontId="0" fillId="0" borderId="417" xfId="2" applyFont="1" applyBorder="1" applyAlignment="1" applyProtection="1">
      <alignment horizontal="left"/>
      <protection locked="0"/>
    </xf>
    <xf numFmtId="0" fontId="0" fillId="0" borderId="418" xfId="0" applyBorder="1"/>
    <xf numFmtId="0" fontId="0" fillId="0" borderId="419" xfId="0" applyBorder="1" applyProtection="1">
      <protection locked="0"/>
    </xf>
    <xf numFmtId="165" fontId="0" fillId="0" borderId="414" xfId="0" applyNumberFormat="1" applyBorder="1" applyProtection="1">
      <protection locked="0"/>
    </xf>
    <xf numFmtId="165" fontId="0" fillId="0" borderId="415" xfId="0" applyNumberFormat="1" applyBorder="1" applyProtection="1">
      <protection locked="0"/>
    </xf>
    <xf numFmtId="0" fontId="0" fillId="0" borderId="418" xfId="0" applyBorder="1" applyProtection="1">
      <protection locked="0"/>
    </xf>
    <xf numFmtId="0" fontId="0" fillId="0" borderId="415" xfId="0" applyBorder="1" applyAlignment="1" applyProtection="1">
      <alignment wrapText="1"/>
      <protection locked="0"/>
    </xf>
    <xf numFmtId="0" fontId="0" fillId="0" borderId="415" xfId="0" applyBorder="1" applyAlignment="1">
      <alignment wrapText="1"/>
    </xf>
    <xf numFmtId="0" fontId="0" fillId="0" borderId="414" xfId="0" applyBorder="1" applyProtection="1">
      <protection locked="0"/>
    </xf>
    <xf numFmtId="0" fontId="0" fillId="0" borderId="415" xfId="0" applyBorder="1" applyProtection="1">
      <protection locked="0"/>
    </xf>
    <xf numFmtId="0" fontId="0" fillId="0" borderId="411" xfId="0" applyBorder="1" applyAlignment="1" applyProtection="1">
      <alignment horizontal="center"/>
      <protection locked="0"/>
    </xf>
    <xf numFmtId="0" fontId="0" fillId="0" borderId="418" xfId="0" applyBorder="1" applyAlignment="1">
      <alignment vertical="top"/>
    </xf>
    <xf numFmtId="0" fontId="10" fillId="20" borderId="415" xfId="0" applyFont="1" applyFill="1" applyBorder="1" applyAlignment="1">
      <alignment horizontal="center"/>
    </xf>
    <xf numFmtId="0" fontId="0" fillId="0" borderId="416" xfId="0" applyBorder="1" applyProtection="1">
      <protection locked="0"/>
    </xf>
    <xf numFmtId="44" fontId="0" fillId="0" borderId="416" xfId="2" applyFont="1" applyBorder="1" applyProtection="1">
      <protection locked="0"/>
    </xf>
    <xf numFmtId="44" fontId="0" fillId="0" borderId="420" xfId="2" applyFont="1" applyBorder="1" applyProtection="1">
      <protection locked="0"/>
    </xf>
    <xf numFmtId="44" fontId="10" fillId="0" borderId="415" xfId="2" applyFont="1" applyBorder="1" applyAlignment="1">
      <alignment horizontal="center" vertical="center"/>
    </xf>
    <xf numFmtId="44" fontId="0" fillId="0" borderId="414" xfId="2" applyFont="1" applyBorder="1" applyAlignment="1" applyProtection="1">
      <alignment horizontal="left"/>
      <protection locked="0"/>
    </xf>
    <xf numFmtId="44" fontId="0" fillId="0" borderId="414" xfId="2" applyFont="1" applyBorder="1" applyProtection="1">
      <protection locked="0"/>
    </xf>
    <xf numFmtId="0" fontId="10" fillId="22" borderId="421" xfId="0" applyFont="1" applyFill="1" applyBorder="1" applyAlignment="1">
      <alignment horizontal="left"/>
    </xf>
    <xf numFmtId="44" fontId="0" fillId="22" borderId="422" xfId="2" applyFont="1" applyFill="1" applyBorder="1" applyAlignment="1" applyProtection="1">
      <alignment horizontal="left"/>
      <protection locked="0"/>
    </xf>
    <xf numFmtId="44" fontId="0" fillId="22" borderId="422" xfId="2" applyFont="1" applyFill="1" applyBorder="1" applyProtection="1">
      <protection locked="0"/>
    </xf>
    <xf numFmtId="0" fontId="10" fillId="0" borderId="423" xfId="0" applyFont="1" applyBorder="1" applyAlignment="1">
      <alignment horizontal="left" vertical="center" wrapText="1"/>
    </xf>
    <xf numFmtId="44" fontId="0" fillId="0" borderId="424" xfId="2" applyFont="1" applyBorder="1" applyAlignment="1" applyProtection="1">
      <alignment horizontal="left"/>
      <protection locked="0"/>
    </xf>
    <xf numFmtId="44" fontId="0" fillId="0" borderId="425" xfId="2" applyFont="1" applyBorder="1" applyAlignment="1" applyProtection="1">
      <alignment horizontal="left"/>
      <protection locked="0"/>
    </xf>
    <xf numFmtId="0" fontId="0" fillId="0" borderId="426" xfId="0" applyBorder="1"/>
    <xf numFmtId="0" fontId="0" fillId="0" borderId="427" xfId="0" applyBorder="1" applyProtection="1">
      <protection locked="0"/>
    </xf>
    <xf numFmtId="165" fontId="0" fillId="0" borderId="422" xfId="0" applyNumberFormat="1" applyBorder="1" applyProtection="1">
      <protection locked="0"/>
    </xf>
    <xf numFmtId="165" fontId="0" fillId="0" borderId="423" xfId="0" applyNumberFormat="1" applyBorder="1" applyProtection="1">
      <protection locked="0"/>
    </xf>
    <xf numFmtId="0" fontId="0" fillId="0" borderId="426" xfId="0" applyBorder="1" applyProtection="1">
      <protection locked="0"/>
    </xf>
    <xf numFmtId="0" fontId="0" fillId="0" borderId="423" xfId="0" applyBorder="1" applyAlignment="1" applyProtection="1">
      <alignment wrapText="1"/>
      <protection locked="0"/>
    </xf>
    <xf numFmtId="0" fontId="0" fillId="0" borderId="423" xfId="0" applyBorder="1" applyAlignment="1">
      <alignment wrapText="1"/>
    </xf>
    <xf numFmtId="0" fontId="0" fillId="0" borderId="422" xfId="0" applyBorder="1" applyProtection="1">
      <protection locked="0"/>
    </xf>
    <xf numFmtId="0" fontId="0" fillId="0" borderId="423" xfId="0" applyBorder="1" applyProtection="1">
      <protection locked="0"/>
    </xf>
    <xf numFmtId="0" fontId="0" fillId="0" borderId="426" xfId="0" applyBorder="1" applyAlignment="1">
      <alignment vertical="top"/>
    </xf>
    <xf numFmtId="0" fontId="10" fillId="20" borderId="423" xfId="0" applyFont="1" applyFill="1" applyBorder="1" applyAlignment="1">
      <alignment horizontal="center"/>
    </xf>
    <xf numFmtId="0" fontId="0" fillId="0" borderId="424" xfId="0" applyBorder="1" applyProtection="1">
      <protection locked="0"/>
    </xf>
    <xf numFmtId="44" fontId="0" fillId="0" borderId="424" xfId="2" applyFont="1" applyBorder="1" applyProtection="1">
      <protection locked="0"/>
    </xf>
    <xf numFmtId="44" fontId="0" fillId="0" borderId="428" xfId="2" applyFont="1" applyBorder="1" applyProtection="1">
      <protection locked="0"/>
    </xf>
    <xf numFmtId="44" fontId="10" fillId="0" borderId="423" xfId="2" applyFont="1" applyBorder="1" applyAlignment="1">
      <alignment horizontal="center" vertical="center"/>
    </xf>
    <xf numFmtId="44" fontId="0" fillId="0" borderId="422" xfId="2" applyFont="1" applyBorder="1" applyAlignment="1" applyProtection="1">
      <alignment horizontal="left"/>
      <protection locked="0"/>
    </xf>
    <xf numFmtId="44" fontId="0" fillId="0" borderId="422" xfId="2" applyFont="1" applyBorder="1" applyProtection="1">
      <protection locked="0"/>
    </xf>
    <xf numFmtId="164" fontId="0" fillId="0" borderId="416" xfId="1" applyNumberFormat="1" applyFont="1" applyBorder="1" applyProtection="1">
      <protection locked="0"/>
    </xf>
    <xf numFmtId="44" fontId="0" fillId="31" borderId="414" xfId="2" applyFont="1" applyFill="1" applyBorder="1" applyAlignment="1" applyProtection="1">
      <alignment horizontal="left"/>
      <protection locked="0"/>
    </xf>
    <xf numFmtId="44" fontId="0" fillId="5" borderId="414" xfId="2" applyFont="1" applyFill="1" applyBorder="1" applyProtection="1">
      <protection locked="0"/>
    </xf>
    <xf numFmtId="0" fontId="10" fillId="5" borderId="411" xfId="0" applyFont="1" applyFill="1" applyBorder="1" applyAlignment="1">
      <alignment horizontal="left" vertical="center" wrapText="1"/>
    </xf>
    <xf numFmtId="44" fontId="0" fillId="0" borderId="414" xfId="2" applyFont="1" applyFill="1" applyBorder="1" applyProtection="1">
      <protection locked="0"/>
    </xf>
    <xf numFmtId="0" fontId="10" fillId="0" borderId="423" xfId="0" applyFont="1" applyBorder="1" applyAlignment="1">
      <alignment horizontal="left" vertical="center" wrapText="1" indent="2"/>
    </xf>
    <xf numFmtId="0" fontId="10" fillId="0" borderId="411" xfId="0" applyFont="1" applyBorder="1" applyAlignment="1">
      <alignment horizontal="left" vertical="center" wrapText="1" indent="2"/>
    </xf>
    <xf numFmtId="44" fontId="0" fillId="13" borderId="414" xfId="2" applyFont="1" applyFill="1" applyBorder="1" applyProtection="1">
      <protection locked="0"/>
    </xf>
    <xf numFmtId="44" fontId="0" fillId="25" borderId="414" xfId="2" applyFont="1" applyFill="1" applyBorder="1" applyProtection="1">
      <protection locked="0"/>
    </xf>
    <xf numFmtId="0" fontId="10" fillId="0" borderId="411" xfId="0" applyFont="1" applyBorder="1" applyAlignment="1">
      <alignment vertical="center" wrapText="1"/>
    </xf>
    <xf numFmtId="179" fontId="0" fillId="31" borderId="411" xfId="3" applyNumberFormat="1" applyFont="1" applyFill="1" applyBorder="1" applyProtection="1">
      <protection locked="0"/>
    </xf>
    <xf numFmtId="164" fontId="0" fillId="0" borderId="231" xfId="1" applyNumberFormat="1" applyFont="1" applyBorder="1" applyProtection="1">
      <protection locked="0"/>
    </xf>
    <xf numFmtId="0" fontId="6" fillId="20" borderId="423" xfId="0" applyFont="1" applyFill="1" applyBorder="1" applyAlignment="1">
      <alignment horizontal="center"/>
    </xf>
    <xf numFmtId="43" fontId="0" fillId="0" borderId="416" xfId="1" applyFont="1" applyBorder="1" applyProtection="1">
      <protection locked="0"/>
    </xf>
    <xf numFmtId="0" fontId="0" fillId="0" borderId="416" xfId="0" applyBorder="1" applyAlignment="1" applyProtection="1">
      <alignment horizontal="center"/>
      <protection locked="0"/>
    </xf>
    <xf numFmtId="44" fontId="6" fillId="0" borderId="423" xfId="2" applyFont="1" applyBorder="1" applyAlignment="1">
      <alignment horizontal="center" vertical="center"/>
    </xf>
    <xf numFmtId="0" fontId="6" fillId="0" borderId="411" xfId="0" applyFont="1" applyBorder="1" applyAlignment="1">
      <alignment vertical="center"/>
    </xf>
    <xf numFmtId="44" fontId="6" fillId="0" borderId="411" xfId="2" applyFont="1" applyBorder="1" applyAlignment="1">
      <alignment horizontal="center" vertical="center"/>
    </xf>
    <xf numFmtId="0" fontId="6" fillId="0" borderId="411" xfId="0" quotePrefix="1" applyFont="1" applyBorder="1"/>
    <xf numFmtId="0" fontId="6" fillId="20" borderId="410" xfId="0" applyFont="1" applyFill="1" applyBorder="1" applyAlignment="1">
      <alignment horizontal="center"/>
    </xf>
    <xf numFmtId="0" fontId="6" fillId="22" borderId="413" xfId="0" applyFont="1" applyFill="1" applyBorder="1" applyAlignment="1">
      <alignment horizontal="left"/>
    </xf>
    <xf numFmtId="44" fontId="0" fillId="22" borderId="411" xfId="2" applyFont="1" applyFill="1" applyBorder="1" applyProtection="1">
      <protection locked="0"/>
    </xf>
    <xf numFmtId="44" fontId="0" fillId="5" borderId="411" xfId="2" applyFont="1" applyFill="1" applyBorder="1" applyProtection="1">
      <protection locked="0"/>
    </xf>
    <xf numFmtId="0" fontId="6" fillId="0" borderId="423" xfId="0" applyFont="1" applyBorder="1" applyAlignment="1">
      <alignment horizontal="left" vertical="center" wrapText="1" indent="2"/>
    </xf>
    <xf numFmtId="43" fontId="0" fillId="0" borderId="416" xfId="1" applyFont="1" applyBorder="1" applyAlignment="1" applyProtection="1">
      <alignment horizontal="left"/>
      <protection locked="0"/>
    </xf>
    <xf numFmtId="0" fontId="6" fillId="0" borderId="423" xfId="0" applyFont="1" applyBorder="1" applyAlignment="1">
      <alignment horizontal="left" vertical="center" wrapText="1"/>
    </xf>
    <xf numFmtId="0" fontId="6" fillId="0" borderId="411" xfId="0" applyFont="1" applyBorder="1" applyAlignment="1">
      <alignment horizontal="left" vertical="center" wrapText="1"/>
    </xf>
    <xf numFmtId="0" fontId="10" fillId="22" borderId="429" xfId="0" applyFont="1" applyFill="1" applyBorder="1" applyAlignment="1">
      <alignment horizontal="left"/>
    </xf>
    <xf numFmtId="44" fontId="0" fillId="22" borderId="430" xfId="2" applyFont="1" applyFill="1" applyBorder="1" applyAlignment="1" applyProtection="1">
      <alignment horizontal="left"/>
      <protection locked="0"/>
    </xf>
    <xf numFmtId="44" fontId="0" fillId="22" borderId="430" xfId="2" applyFont="1" applyFill="1" applyBorder="1" applyProtection="1">
      <protection locked="0"/>
    </xf>
    <xf numFmtId="0" fontId="10" fillId="0" borderId="431" xfId="0" applyFont="1" applyBorder="1" applyAlignment="1">
      <alignment horizontal="left" vertical="center" wrapText="1"/>
    </xf>
    <xf numFmtId="0" fontId="10" fillId="0" borderId="423" xfId="0" applyFont="1" applyBorder="1" applyAlignment="1">
      <alignment horizontal="left" vertical="top" wrapText="1"/>
    </xf>
    <xf numFmtId="0" fontId="0" fillId="0" borderId="274" xfId="0" applyBorder="1" applyAlignment="1" applyProtection="1">
      <alignment vertical="top"/>
      <protection locked="0"/>
    </xf>
    <xf numFmtId="43" fontId="0" fillId="0" borderId="416" xfId="1" applyFont="1" applyBorder="1" applyAlignment="1" applyProtection="1">
      <alignment horizontal="left" vertical="top"/>
      <protection locked="0"/>
    </xf>
    <xf numFmtId="0" fontId="0" fillId="0" borderId="416" xfId="0" applyBorder="1" applyAlignment="1" applyProtection="1">
      <alignment horizontal="center" vertical="top"/>
      <protection locked="0"/>
    </xf>
    <xf numFmtId="44" fontId="0" fillId="0" borderId="416" xfId="2" applyFont="1" applyBorder="1" applyAlignment="1" applyProtection="1">
      <alignment horizontal="left" vertical="top"/>
      <protection locked="0"/>
    </xf>
    <xf numFmtId="44" fontId="0" fillId="0" borderId="417" xfId="2" applyFont="1" applyBorder="1" applyAlignment="1" applyProtection="1">
      <alignment horizontal="left" vertical="top"/>
      <protection locked="0"/>
    </xf>
    <xf numFmtId="44" fontId="10" fillId="0" borderId="411" xfId="2" applyFont="1" applyBorder="1" applyAlignment="1">
      <alignment horizontal="center" vertical="top"/>
    </xf>
    <xf numFmtId="44" fontId="0" fillId="0" borderId="414" xfId="2" applyFont="1" applyBorder="1" applyAlignment="1" applyProtection="1">
      <alignment vertical="top"/>
      <protection locked="0"/>
    </xf>
    <xf numFmtId="44" fontId="0" fillId="0" borderId="423" xfId="2" applyFont="1" applyBorder="1" applyProtection="1">
      <protection locked="0"/>
    </xf>
    <xf numFmtId="44" fontId="0" fillId="0" borderId="411" xfId="2" applyFont="1" applyBorder="1" applyAlignment="1" applyProtection="1">
      <alignment horizontal="right"/>
      <protection locked="0"/>
    </xf>
    <xf numFmtId="0" fontId="0" fillId="0" borderId="411" xfId="0" applyBorder="1" applyAlignment="1">
      <alignment vertical="top" wrapText="1"/>
    </xf>
    <xf numFmtId="44" fontId="6" fillId="0" borderId="411" xfId="2" applyFont="1" applyBorder="1" applyAlignment="1">
      <alignment horizontal="center" vertical="top"/>
    </xf>
    <xf numFmtId="44" fontId="0" fillId="0" borderId="203" xfId="2" applyFont="1" applyBorder="1" applyAlignment="1" applyProtection="1">
      <alignment vertical="top"/>
      <protection locked="0"/>
    </xf>
    <xf numFmtId="44" fontId="0" fillId="0" borderId="411" xfId="2" applyFont="1" applyBorder="1" applyAlignment="1" applyProtection="1">
      <alignment vertical="top"/>
      <protection locked="0"/>
    </xf>
    <xf numFmtId="0" fontId="6" fillId="0" borderId="423" xfId="0" applyFont="1" applyBorder="1" applyAlignment="1">
      <alignment horizontal="left" vertical="top" wrapText="1" indent="2"/>
    </xf>
    <xf numFmtId="164" fontId="0" fillId="0" borderId="416" xfId="1" applyNumberFormat="1" applyFont="1" applyBorder="1" applyAlignment="1" applyProtection="1">
      <alignment horizontal="left" vertical="top"/>
      <protection locked="0"/>
    </xf>
    <xf numFmtId="0" fontId="0" fillId="0" borderId="416" xfId="0" applyBorder="1" applyAlignment="1" applyProtection="1">
      <alignment vertical="top"/>
      <protection locked="0"/>
    </xf>
    <xf numFmtId="44" fontId="0" fillId="0" borderId="414" xfId="2" applyFont="1" applyFill="1" applyBorder="1" applyAlignment="1" applyProtection="1">
      <alignment vertical="top"/>
      <protection locked="0"/>
    </xf>
    <xf numFmtId="0" fontId="6" fillId="0" borderId="423" xfId="0" applyFont="1" applyBorder="1" applyAlignment="1">
      <alignment horizontal="left" vertical="top" wrapText="1"/>
    </xf>
    <xf numFmtId="0" fontId="6" fillId="0" borderId="423" xfId="0" applyFont="1" applyBorder="1" applyAlignment="1">
      <alignment vertical="top" wrapText="1"/>
    </xf>
    <xf numFmtId="44" fontId="0" fillId="5" borderId="414" xfId="2" applyFont="1" applyFill="1" applyBorder="1" applyAlignment="1" applyProtection="1">
      <alignment vertical="top"/>
      <protection locked="0"/>
    </xf>
    <xf numFmtId="44" fontId="0" fillId="31" borderId="414" xfId="2" applyFont="1" applyFill="1" applyBorder="1" applyProtection="1">
      <protection locked="0"/>
    </xf>
    <xf numFmtId="0" fontId="0" fillId="0" borderId="423" xfId="0" applyBorder="1" applyAlignment="1">
      <alignment horizontal="left" wrapText="1" indent="2"/>
    </xf>
    <xf numFmtId="44" fontId="0" fillId="0" borderId="416" xfId="2" applyFont="1" applyBorder="1" applyAlignment="1" applyProtection="1">
      <alignment horizontal="center"/>
      <protection locked="0"/>
    </xf>
    <xf numFmtId="44" fontId="0" fillId="0" borderId="432" xfId="2" applyFont="1" applyBorder="1" applyProtection="1">
      <protection locked="0"/>
    </xf>
    <xf numFmtId="164" fontId="0" fillId="0" borderId="416" xfId="1" applyNumberFormat="1" applyFont="1" applyBorder="1" applyAlignment="1" applyProtection="1">
      <alignment horizontal="left"/>
      <protection locked="0"/>
    </xf>
    <xf numFmtId="0" fontId="6" fillId="0" borderId="411" xfId="0" applyFont="1" applyBorder="1" applyAlignment="1">
      <alignment horizontal="left" vertical="center" wrapText="1" indent="2"/>
    </xf>
    <xf numFmtId="44" fontId="1" fillId="0" borderId="414" xfId="2" applyFont="1" applyBorder="1" applyProtection="1">
      <protection locked="0"/>
    </xf>
    <xf numFmtId="44" fontId="1" fillId="5" borderId="414" xfId="2" applyFont="1" applyFill="1" applyBorder="1" applyProtection="1">
      <protection locked="0"/>
    </xf>
    <xf numFmtId="44" fontId="0" fillId="25" borderId="414" xfId="2" applyFont="1" applyFill="1" applyBorder="1" applyAlignment="1" applyProtection="1">
      <alignment horizontal="center"/>
      <protection locked="0"/>
    </xf>
    <xf numFmtId="44" fontId="0" fillId="0" borderId="414" xfId="2" applyFont="1" applyBorder="1" applyAlignment="1" applyProtection="1">
      <alignment horizontal="center"/>
      <protection locked="0"/>
    </xf>
    <xf numFmtId="44" fontId="1" fillId="0" borderId="417" xfId="2" applyFont="1" applyBorder="1" applyAlignment="1" applyProtection="1">
      <alignment horizontal="left"/>
      <protection locked="0"/>
    </xf>
    <xf numFmtId="0" fontId="10" fillId="0" borderId="423" xfId="0" applyFont="1" applyBorder="1" applyAlignment="1">
      <alignment vertical="center" wrapText="1"/>
    </xf>
    <xf numFmtId="0" fontId="5" fillId="0" borderId="433" xfId="0" applyFont="1" applyBorder="1" applyProtection="1">
      <protection locked="0"/>
    </xf>
    <xf numFmtId="0" fontId="10" fillId="22" borderId="434" xfId="0" applyFont="1" applyFill="1" applyBorder="1" applyAlignment="1">
      <alignment horizontal="left"/>
    </xf>
    <xf numFmtId="0" fontId="0" fillId="0" borderId="433" xfId="0" applyBorder="1" applyProtection="1">
      <protection locked="0"/>
    </xf>
    <xf numFmtId="4" fontId="0" fillId="0" borderId="435" xfId="0" applyNumberFormat="1" applyBorder="1" applyAlignment="1" applyProtection="1">
      <alignment horizontal="left"/>
      <protection locked="0"/>
    </xf>
    <xf numFmtId="44" fontId="0" fillId="0" borderId="435" xfId="2" applyFont="1" applyBorder="1" applyAlignment="1" applyProtection="1">
      <alignment horizontal="left"/>
      <protection locked="0"/>
    </xf>
    <xf numFmtId="44" fontId="0" fillId="0" borderId="436" xfId="2" applyFont="1" applyBorder="1" applyAlignment="1" applyProtection="1">
      <alignment horizontal="left"/>
      <protection locked="0"/>
    </xf>
    <xf numFmtId="0" fontId="0" fillId="0" borderId="437" xfId="0" applyBorder="1"/>
    <xf numFmtId="0" fontId="0" fillId="0" borderId="438" xfId="0" applyBorder="1" applyProtection="1">
      <protection locked="0"/>
    </xf>
    <xf numFmtId="165" fontId="0" fillId="0" borderId="439" xfId="0" applyNumberFormat="1" applyBorder="1" applyProtection="1">
      <protection locked="0"/>
    </xf>
    <xf numFmtId="165" fontId="0" fillId="0" borderId="440" xfId="0" applyNumberFormat="1" applyBorder="1" applyProtection="1">
      <protection locked="0"/>
    </xf>
    <xf numFmtId="0" fontId="0" fillId="0" borderId="437" xfId="0" applyBorder="1" applyProtection="1">
      <protection locked="0"/>
    </xf>
    <xf numFmtId="0" fontId="0" fillId="0" borderId="440" xfId="0" applyBorder="1" applyAlignment="1" applyProtection="1">
      <alignment wrapText="1"/>
      <protection locked="0"/>
    </xf>
    <xf numFmtId="0" fontId="0" fillId="0" borderId="440" xfId="0" applyBorder="1" applyAlignment="1">
      <alignment wrapText="1"/>
    </xf>
    <xf numFmtId="0" fontId="0" fillId="0" borderId="439" xfId="0" applyBorder="1" applyProtection="1">
      <protection locked="0"/>
    </xf>
    <xf numFmtId="0" fontId="0" fillId="0" borderId="440" xfId="0" applyBorder="1" applyProtection="1">
      <protection locked="0"/>
    </xf>
    <xf numFmtId="0" fontId="0" fillId="0" borderId="441" xfId="0" applyBorder="1" applyAlignment="1">
      <alignment horizontal="right"/>
    </xf>
    <xf numFmtId="0" fontId="0" fillId="0" borderId="441" xfId="0" applyBorder="1"/>
    <xf numFmtId="0" fontId="3" fillId="0" borderId="435" xfId="0" applyFont="1" applyBorder="1" applyAlignment="1">
      <alignment wrapText="1"/>
    </xf>
    <xf numFmtId="5" fontId="0" fillId="0" borderId="411" xfId="2" applyNumberFormat="1" applyFont="1" applyBorder="1" applyProtection="1">
      <protection locked="0"/>
    </xf>
    <xf numFmtId="0" fontId="0" fillId="0" borderId="442" xfId="0" applyBorder="1" applyAlignment="1">
      <alignment vertical="top"/>
    </xf>
    <xf numFmtId="0" fontId="5" fillId="0" borderId="411" xfId="0" applyFont="1" applyBorder="1" applyProtection="1">
      <protection locked="0"/>
    </xf>
    <xf numFmtId="3" fontId="0" fillId="0" borderId="439" xfId="0" applyNumberFormat="1" applyBorder="1" applyAlignment="1" applyProtection="1">
      <alignment horizontal="left"/>
      <protection locked="0"/>
    </xf>
    <xf numFmtId="0" fontId="16" fillId="0" borderId="435" xfId="0" applyFont="1" applyBorder="1" applyAlignment="1">
      <alignment horizontal="left" wrapText="1"/>
    </xf>
    <xf numFmtId="0" fontId="0" fillId="0" borderId="437" xfId="0" applyBorder="1" applyAlignment="1">
      <alignment vertical="top"/>
    </xf>
    <xf numFmtId="0" fontId="10" fillId="0" borderId="443" xfId="0" applyFont="1" applyBorder="1" applyAlignment="1">
      <alignment vertical="center"/>
    </xf>
    <xf numFmtId="0" fontId="0" fillId="0" borderId="441" xfId="0" applyBorder="1" applyAlignment="1">
      <alignment vertical="top"/>
    </xf>
    <xf numFmtId="0" fontId="10" fillId="0" borderId="444" xfId="0" applyFont="1" applyBorder="1" applyAlignment="1">
      <alignment vertical="center"/>
    </xf>
    <xf numFmtId="0" fontId="10" fillId="0" borderId="444" xfId="0" quotePrefix="1" applyFont="1" applyBorder="1"/>
    <xf numFmtId="0" fontId="10" fillId="20" borderId="444" xfId="0" applyFont="1" applyFill="1" applyBorder="1" applyAlignment="1">
      <alignment horizontal="center"/>
    </xf>
    <xf numFmtId="0" fontId="10" fillId="22" borderId="445" xfId="0" applyFont="1" applyFill="1" applyBorder="1" applyAlignment="1">
      <alignment horizontal="left"/>
    </xf>
    <xf numFmtId="0" fontId="5" fillId="22" borderId="446" xfId="0" applyFont="1" applyFill="1" applyBorder="1" applyProtection="1">
      <protection locked="0"/>
    </xf>
    <xf numFmtId="0" fontId="0" fillId="22" borderId="414" xfId="0" applyFill="1" applyBorder="1" applyProtection="1">
      <protection locked="0"/>
    </xf>
    <xf numFmtId="0" fontId="5" fillId="22" borderId="414" xfId="0" applyFont="1" applyFill="1" applyBorder="1" applyProtection="1">
      <protection locked="0"/>
    </xf>
    <xf numFmtId="3" fontId="0" fillId="22" borderId="414" xfId="0" applyNumberFormat="1" applyFill="1" applyBorder="1" applyAlignment="1" applyProtection="1">
      <alignment horizontal="left"/>
      <protection locked="0"/>
    </xf>
    <xf numFmtId="0" fontId="5" fillId="22" borderId="411" xfId="0" applyFont="1" applyFill="1" applyBorder="1" applyProtection="1">
      <protection locked="0"/>
    </xf>
    <xf numFmtId="0" fontId="10" fillId="7" borderId="444" xfId="0" applyFont="1" applyFill="1" applyBorder="1" applyAlignment="1">
      <alignment horizontal="left"/>
    </xf>
    <xf numFmtId="0" fontId="26" fillId="7" borderId="187" xfId="0" applyFont="1" applyFill="1" applyBorder="1" applyAlignment="1">
      <alignment vertical="center" wrapText="1"/>
    </xf>
    <xf numFmtId="0" fontId="22" fillId="7" borderId="187" xfId="0" applyFont="1" applyFill="1" applyBorder="1" applyAlignment="1">
      <alignment vertical="center" wrapText="1"/>
    </xf>
    <xf numFmtId="0" fontId="22" fillId="7" borderId="187" xfId="0" applyFont="1" applyFill="1" applyBorder="1" applyAlignment="1">
      <alignment horizontal="left" vertical="center" wrapText="1"/>
    </xf>
    <xf numFmtId="0" fontId="10" fillId="7" borderId="187" xfId="0" applyFont="1" applyFill="1" applyBorder="1" applyAlignment="1">
      <alignment vertical="center" wrapText="1"/>
    </xf>
    <xf numFmtId="0" fontId="10" fillId="7" borderId="187" xfId="0" applyFont="1" applyFill="1" applyBorder="1" applyAlignment="1">
      <alignment horizontal="left" vertical="center" wrapText="1"/>
    </xf>
    <xf numFmtId="0" fontId="0" fillId="4" borderId="441" xfId="0" applyFill="1" applyBorder="1"/>
    <xf numFmtId="5" fontId="0" fillId="4" borderId="411" xfId="0" applyNumberFormat="1" applyFill="1" applyBorder="1" applyAlignment="1" applyProtection="1">
      <alignment horizontal="left"/>
      <protection locked="0"/>
    </xf>
    <xf numFmtId="44" fontId="0" fillId="4" borderId="411" xfId="2" applyFont="1" applyFill="1" applyBorder="1" applyAlignment="1" applyProtection="1">
      <alignment horizontal="left"/>
      <protection locked="0"/>
    </xf>
    <xf numFmtId="44" fontId="0" fillId="4" borderId="411" xfId="0" applyNumberFormat="1" applyFill="1" applyBorder="1" applyProtection="1">
      <protection locked="0"/>
    </xf>
    <xf numFmtId="165" fontId="9" fillId="4" borderId="411" xfId="0" applyNumberFormat="1" applyFont="1" applyFill="1" applyBorder="1" applyAlignment="1" applyProtection="1">
      <alignment horizontal="center"/>
      <protection locked="0"/>
    </xf>
    <xf numFmtId="165" fontId="9" fillId="4" borderId="411" xfId="0" applyNumberFormat="1" applyFont="1" applyFill="1" applyBorder="1" applyAlignment="1" applyProtection="1">
      <alignment horizontal="left"/>
      <protection locked="0"/>
    </xf>
    <xf numFmtId="0" fontId="0" fillId="4" borderId="411" xfId="0" applyFill="1" applyBorder="1" applyAlignment="1" applyProtection="1">
      <alignment horizontal="center"/>
      <protection locked="0"/>
    </xf>
    <xf numFmtId="0" fontId="0" fillId="0" borderId="442" xfId="0" applyBorder="1"/>
    <xf numFmtId="0" fontId="0" fillId="0" borderId="435" xfId="0" applyBorder="1" applyProtection="1">
      <protection locked="0"/>
    </xf>
    <xf numFmtId="0" fontId="0" fillId="0" borderId="441" xfId="0" applyBorder="1" applyProtection="1">
      <protection locked="0"/>
    </xf>
    <xf numFmtId="0" fontId="0" fillId="0" borderId="442" xfId="0" applyBorder="1" applyProtection="1">
      <protection locked="0"/>
    </xf>
    <xf numFmtId="0" fontId="0" fillId="0" borderId="435" xfId="0" applyBorder="1" applyAlignment="1" applyProtection="1">
      <alignment wrapText="1"/>
      <protection locked="0"/>
    </xf>
    <xf numFmtId="0" fontId="0" fillId="0" borderId="435" xfId="0" applyBorder="1" applyAlignment="1">
      <alignment wrapText="1"/>
    </xf>
    <xf numFmtId="0" fontId="36" fillId="0" borderId="10" xfId="0" applyFont="1" applyBorder="1" applyAlignment="1">
      <alignment horizontal="left" vertical="top"/>
    </xf>
    <xf numFmtId="0" fontId="36" fillId="0" borderId="11" xfId="0" applyFont="1" applyBorder="1" applyAlignment="1">
      <alignment horizontal="left" vertical="top"/>
    </xf>
    <xf numFmtId="0" fontId="3" fillId="8" borderId="179" xfId="0" applyFont="1" applyFill="1" applyBorder="1" applyAlignment="1">
      <alignment horizontal="right"/>
    </xf>
    <xf numFmtId="0" fontId="3" fillId="8" borderId="180" xfId="0" applyFont="1" applyFill="1" applyBorder="1" applyAlignment="1">
      <alignment horizontal="right"/>
    </xf>
    <xf numFmtId="166" fontId="20" fillId="12" borderId="179" xfId="0" applyNumberFormat="1" applyFont="1" applyFill="1" applyBorder="1" applyAlignment="1">
      <alignment horizontal="center" vertical="center"/>
    </xf>
    <xf numFmtId="166" fontId="20" fillId="12" borderId="180" xfId="0" applyNumberFormat="1" applyFont="1" applyFill="1" applyBorder="1" applyAlignment="1">
      <alignment horizontal="center" vertical="center"/>
    </xf>
    <xf numFmtId="166" fontId="20" fillId="12" borderId="181" xfId="0" applyNumberFormat="1" applyFont="1" applyFill="1" applyBorder="1" applyAlignment="1">
      <alignment horizontal="center" vertical="center"/>
    </xf>
    <xf numFmtId="166" fontId="20" fillId="11" borderId="179" xfId="0" applyNumberFormat="1" applyFont="1" applyFill="1" applyBorder="1" applyAlignment="1">
      <alignment horizontal="center" vertical="center"/>
    </xf>
    <xf numFmtId="166" fontId="20" fillId="11" borderId="180" xfId="0" applyNumberFormat="1" applyFont="1" applyFill="1" applyBorder="1" applyAlignment="1">
      <alignment horizontal="center" vertical="center"/>
    </xf>
    <xf numFmtId="166" fontId="20" fillId="11" borderId="181" xfId="0" applyNumberFormat="1" applyFont="1" applyFill="1" applyBorder="1" applyAlignment="1">
      <alignment horizontal="center" vertical="center"/>
    </xf>
    <xf numFmtId="0" fontId="20" fillId="14" borderId="182" xfId="0" applyFont="1" applyFill="1" applyBorder="1" applyAlignment="1">
      <alignment horizontal="center"/>
    </xf>
    <xf numFmtId="0" fontId="20" fillId="14" borderId="186" xfId="0" applyFont="1" applyFill="1" applyBorder="1" applyAlignment="1">
      <alignment horizontal="center"/>
    </xf>
    <xf numFmtId="0" fontId="20" fillId="14" borderId="179" xfId="0" applyFont="1" applyFill="1" applyBorder="1" applyAlignment="1">
      <alignment horizontal="center"/>
    </xf>
    <xf numFmtId="0" fontId="20" fillId="0" borderId="164" xfId="0" applyFont="1" applyBorder="1" applyAlignment="1">
      <alignment horizontal="center" vertical="center"/>
    </xf>
    <xf numFmtId="0" fontId="20" fillId="0" borderId="165" xfId="0" applyFont="1" applyBorder="1" applyAlignment="1">
      <alignment horizontal="center" vertical="center"/>
    </xf>
    <xf numFmtId="0" fontId="20" fillId="0" borderId="166" xfId="0" applyFont="1" applyBorder="1" applyAlignment="1">
      <alignment horizontal="center" vertical="center"/>
    </xf>
    <xf numFmtId="0" fontId="20" fillId="0" borderId="31" xfId="0" applyFont="1" applyBorder="1" applyAlignment="1">
      <alignment horizontal="center" vertical="center"/>
    </xf>
    <xf numFmtId="0" fontId="20" fillId="0" borderId="16" xfId="0" applyFont="1" applyBorder="1" applyAlignment="1">
      <alignment horizontal="center" vertical="center"/>
    </xf>
    <xf numFmtId="0" fontId="20" fillId="0" borderId="32" xfId="0" applyFont="1" applyBorder="1" applyAlignment="1">
      <alignment horizontal="center" vertical="center"/>
    </xf>
    <xf numFmtId="0" fontId="20" fillId="12" borderId="164" xfId="0" applyFont="1" applyFill="1" applyBorder="1" applyAlignment="1">
      <alignment horizontal="center" vertical="center"/>
    </xf>
    <xf numFmtId="0" fontId="20" fillId="12" borderId="165" xfId="0" applyFont="1" applyFill="1" applyBorder="1" applyAlignment="1">
      <alignment horizontal="center" vertical="center"/>
    </xf>
    <xf numFmtId="0" fontId="20" fillId="12" borderId="166" xfId="0" applyFont="1" applyFill="1" applyBorder="1" applyAlignment="1">
      <alignment horizontal="center" vertical="center"/>
    </xf>
    <xf numFmtId="0" fontId="20" fillId="11" borderId="164" xfId="0" applyFont="1" applyFill="1" applyBorder="1" applyAlignment="1">
      <alignment horizontal="center" vertical="center"/>
    </xf>
    <xf numFmtId="0" fontId="20" fillId="11" borderId="165" xfId="0" applyFont="1" applyFill="1" applyBorder="1" applyAlignment="1">
      <alignment horizontal="center" vertical="center"/>
    </xf>
    <xf numFmtId="0" fontId="20" fillId="11" borderId="166" xfId="0" applyFont="1" applyFill="1" applyBorder="1" applyAlignment="1">
      <alignment horizontal="center" vertical="center"/>
    </xf>
    <xf numFmtId="0" fontId="20" fillId="12" borderId="33" xfId="0" applyFont="1" applyFill="1" applyBorder="1" applyAlignment="1">
      <alignment horizontal="center" vertical="center"/>
    </xf>
    <xf numFmtId="0" fontId="20" fillId="12" borderId="162" xfId="0" applyFont="1" applyFill="1" applyBorder="1" applyAlignment="1">
      <alignment horizontal="center" vertical="center"/>
    </xf>
    <xf numFmtId="0" fontId="20" fillId="12" borderId="163" xfId="0" applyFont="1" applyFill="1" applyBorder="1" applyAlignment="1">
      <alignment horizontal="center" vertical="center"/>
    </xf>
    <xf numFmtId="0" fontId="20" fillId="11" borderId="33" xfId="0" applyFont="1" applyFill="1" applyBorder="1" applyAlignment="1">
      <alignment horizontal="center" vertical="center"/>
    </xf>
    <xf numFmtId="0" fontId="20" fillId="11" borderId="162" xfId="0" applyFont="1" applyFill="1" applyBorder="1" applyAlignment="1">
      <alignment horizontal="center" vertical="center"/>
    </xf>
    <xf numFmtId="0" fontId="20" fillId="11" borderId="163" xfId="0" applyFont="1" applyFill="1" applyBorder="1" applyAlignment="1">
      <alignment horizontal="center" vertical="center"/>
    </xf>
    <xf numFmtId="0" fontId="40" fillId="0" borderId="192" xfId="10" applyFont="1" applyBorder="1" applyAlignment="1">
      <alignment horizontal="left" vertical="center" wrapText="1"/>
    </xf>
    <xf numFmtId="0" fontId="42" fillId="0" borderId="0" xfId="0" applyFont="1" applyAlignment="1">
      <alignment horizontal="left"/>
    </xf>
    <xf numFmtId="175" fontId="41" fillId="0" borderId="0" xfId="0" quotePrefix="1" applyNumberFormat="1" applyFont="1" applyAlignment="1">
      <alignment horizontal="left"/>
    </xf>
    <xf numFmtId="0" fontId="67" fillId="0" borderId="0" xfId="12" applyFont="1" applyAlignment="1">
      <alignment horizontal="center"/>
    </xf>
    <xf numFmtId="0" fontId="67" fillId="0" borderId="13" xfId="12" applyFont="1" applyBorder="1" applyAlignment="1">
      <alignment horizontal="center"/>
    </xf>
    <xf numFmtId="44" fontId="68" fillId="0" borderId="12" xfId="12" applyNumberFormat="1" applyFont="1" applyBorder="1" applyAlignment="1">
      <alignment horizontal="center" vertical="center" wrapText="1"/>
    </xf>
    <xf numFmtId="44" fontId="68" fillId="0" borderId="0" xfId="12" applyNumberFormat="1" applyFont="1" applyAlignment="1">
      <alignment horizontal="center" vertical="center" wrapText="1"/>
    </xf>
    <xf numFmtId="44" fontId="68" fillId="0" borderId="13" xfId="12" applyNumberFormat="1" applyFont="1" applyBorder="1" applyAlignment="1">
      <alignment horizontal="center" vertical="center" wrapText="1"/>
    </xf>
    <xf numFmtId="0" fontId="3" fillId="5" borderId="141" xfId="0" applyFont="1" applyFill="1" applyBorder="1" applyAlignment="1">
      <alignment horizontal="center"/>
    </xf>
    <xf numFmtId="0" fontId="3" fillId="5" borderId="142" xfId="0" applyFont="1" applyFill="1" applyBorder="1" applyAlignment="1">
      <alignment horizontal="center"/>
    </xf>
    <xf numFmtId="0" fontId="3" fillId="5" borderId="143" xfId="0" applyFont="1" applyFill="1" applyBorder="1" applyAlignment="1">
      <alignment horizontal="center"/>
    </xf>
    <xf numFmtId="0" fontId="46" fillId="0" borderId="14" xfId="10" applyFont="1" applyBorder="1" applyAlignment="1">
      <alignment horizontal="left" vertical="center"/>
    </xf>
    <xf numFmtId="0" fontId="47" fillId="0" borderId="0" xfId="0" applyFont="1" applyAlignment="1">
      <alignment horizontal="left"/>
    </xf>
    <xf numFmtId="175" fontId="6" fillId="0" borderId="0" xfId="0" applyNumberFormat="1" applyFont="1" applyAlignment="1">
      <alignment horizontal="left"/>
    </xf>
    <xf numFmtId="0" fontId="0" fillId="7" borderId="83" xfId="0" applyFill="1" applyBorder="1" applyAlignment="1">
      <alignment horizontal="center"/>
    </xf>
    <xf numFmtId="0" fontId="0" fillId="7" borderId="54" xfId="0" applyFill="1" applyBorder="1" applyAlignment="1">
      <alignment horizontal="center"/>
    </xf>
    <xf numFmtId="167" fontId="3" fillId="13" borderId="35" xfId="2" applyNumberFormat="1" applyFont="1" applyFill="1" applyBorder="1" applyAlignment="1">
      <alignment horizontal="right"/>
    </xf>
    <xf numFmtId="167" fontId="3" fillId="13" borderId="79" xfId="2" applyNumberFormat="1" applyFont="1" applyFill="1" applyBorder="1" applyAlignment="1">
      <alignment horizontal="right"/>
    </xf>
    <xf numFmtId="167" fontId="3" fillId="18" borderId="35" xfId="2" applyNumberFormat="1" applyFont="1" applyFill="1" applyBorder="1" applyAlignment="1">
      <alignment horizontal="right"/>
    </xf>
    <xf numFmtId="167" fontId="3" fillId="18" borderId="79" xfId="2" applyNumberFormat="1" applyFont="1" applyFill="1" applyBorder="1" applyAlignment="1">
      <alignment horizontal="right"/>
    </xf>
    <xf numFmtId="167" fontId="3" fillId="0" borderId="35" xfId="2" applyNumberFormat="1" applyFont="1" applyBorder="1" applyAlignment="1">
      <alignment horizontal="right"/>
    </xf>
    <xf numFmtId="167" fontId="3" fillId="0" borderId="79" xfId="2" applyNumberFormat="1" applyFont="1" applyBorder="1" applyAlignment="1">
      <alignment horizontal="right"/>
    </xf>
    <xf numFmtId="0" fontId="0" fillId="18" borderId="83" xfId="0" applyFill="1" applyBorder="1" applyAlignment="1">
      <alignment horizontal="center"/>
    </xf>
    <xf numFmtId="0" fontId="0" fillId="18" borderId="54" xfId="0" applyFill="1" applyBorder="1" applyAlignment="1">
      <alignment horizontal="center"/>
    </xf>
    <xf numFmtId="167" fontId="0" fillId="3" borderId="164" xfId="2" applyNumberFormat="1" applyFont="1" applyFill="1" applyBorder="1" applyAlignment="1">
      <alignment horizontal="center"/>
    </xf>
    <xf numFmtId="167" fontId="0" fillId="3" borderId="166" xfId="2" applyNumberFormat="1" applyFont="1" applyFill="1" applyBorder="1" applyAlignment="1">
      <alignment horizontal="center"/>
    </xf>
    <xf numFmtId="167" fontId="0" fillId="3" borderId="12" xfId="2" applyNumberFormat="1" applyFont="1" applyFill="1" applyBorder="1" applyAlignment="1">
      <alignment horizontal="center"/>
    </xf>
    <xf numFmtId="167" fontId="0" fillId="3" borderId="13" xfId="2" applyNumberFormat="1" applyFont="1" applyFill="1" applyBorder="1" applyAlignment="1">
      <alignment horizontal="center"/>
    </xf>
    <xf numFmtId="167" fontId="0" fillId="3" borderId="31" xfId="2" applyNumberFormat="1" applyFont="1" applyFill="1" applyBorder="1" applyAlignment="1">
      <alignment horizontal="center"/>
    </xf>
    <xf numFmtId="167" fontId="0" fillId="3" borderId="32" xfId="2" applyNumberFormat="1" applyFont="1" applyFill="1" applyBorder="1" applyAlignment="1">
      <alignment horizontal="center"/>
    </xf>
    <xf numFmtId="167" fontId="3" fillId="3" borderId="52" xfId="2" applyNumberFormat="1" applyFont="1" applyFill="1" applyBorder="1" applyAlignment="1">
      <alignment horizontal="center"/>
    </xf>
    <xf numFmtId="167" fontId="3" fillId="3" borderId="53" xfId="2" applyNumberFormat="1" applyFont="1" applyFill="1" applyBorder="1" applyAlignment="1">
      <alignment horizontal="center"/>
    </xf>
    <xf numFmtId="167" fontId="3" fillId="3" borderId="57" xfId="2" applyNumberFormat="1" applyFont="1" applyFill="1" applyBorder="1" applyAlignment="1">
      <alignment horizontal="center"/>
    </xf>
    <xf numFmtId="167" fontId="0" fillId="3" borderId="182" xfId="2" applyNumberFormat="1" applyFont="1" applyFill="1" applyBorder="1" applyAlignment="1">
      <alignment horizontal="center"/>
    </xf>
    <xf numFmtId="167" fontId="0" fillId="3" borderId="200" xfId="2" applyNumberFormat="1" applyFont="1" applyFill="1" applyBorder="1" applyAlignment="1">
      <alignment horizontal="center"/>
    </xf>
    <xf numFmtId="167" fontId="0" fillId="3" borderId="112" xfId="2" applyNumberFormat="1" applyFont="1" applyFill="1" applyBorder="1" applyAlignment="1">
      <alignment horizontal="center"/>
    </xf>
    <xf numFmtId="167" fontId="0" fillId="3" borderId="74" xfId="2" applyNumberFormat="1" applyFont="1" applyFill="1" applyBorder="1" applyAlignment="1">
      <alignment horizontal="center"/>
    </xf>
    <xf numFmtId="164" fontId="0" fillId="18" borderId="83" xfId="1" applyNumberFormat="1" applyFont="1" applyFill="1" applyBorder="1" applyAlignment="1">
      <alignment horizontal="center"/>
    </xf>
    <xf numFmtId="164" fontId="0" fillId="18" borderId="58" xfId="1" applyNumberFormat="1" applyFont="1" applyFill="1" applyBorder="1" applyAlignment="1">
      <alignment horizontal="center"/>
    </xf>
    <xf numFmtId="164" fontId="0" fillId="18" borderId="54" xfId="1" applyNumberFormat="1" applyFont="1" applyFill="1" applyBorder="1" applyAlignment="1">
      <alignment horizontal="center"/>
    </xf>
    <xf numFmtId="167" fontId="6" fillId="3" borderId="164" xfId="2" applyNumberFormat="1" applyFont="1" applyFill="1" applyBorder="1" applyAlignment="1">
      <alignment horizontal="center"/>
    </xf>
    <xf numFmtId="167" fontId="6" fillId="3" borderId="166" xfId="2" applyNumberFormat="1" applyFont="1" applyFill="1" applyBorder="1" applyAlignment="1">
      <alignment horizontal="center"/>
    </xf>
    <xf numFmtId="167" fontId="6" fillId="3" borderId="12" xfId="2" applyNumberFormat="1" applyFont="1" applyFill="1" applyBorder="1" applyAlignment="1">
      <alignment horizontal="center"/>
    </xf>
    <xf numFmtId="167" fontId="6" fillId="3" borderId="13" xfId="2" applyNumberFormat="1" applyFont="1" applyFill="1" applyBorder="1" applyAlignment="1">
      <alignment horizontal="center"/>
    </xf>
    <xf numFmtId="167" fontId="6" fillId="3" borderId="31" xfId="2" applyNumberFormat="1" applyFont="1" applyFill="1" applyBorder="1" applyAlignment="1">
      <alignment horizontal="center"/>
    </xf>
    <xf numFmtId="167" fontId="6" fillId="3" borderId="32" xfId="2" applyNumberFormat="1" applyFont="1" applyFill="1" applyBorder="1" applyAlignment="1">
      <alignment horizontal="center"/>
    </xf>
    <xf numFmtId="0" fontId="0" fillId="13" borderId="83" xfId="0" applyFill="1" applyBorder="1" applyAlignment="1">
      <alignment horizontal="center"/>
    </xf>
    <xf numFmtId="0" fontId="0" fillId="13" borderId="54" xfId="0" applyFill="1" applyBorder="1" applyAlignment="1">
      <alignment horizontal="center"/>
    </xf>
    <xf numFmtId="167" fontId="3" fillId="17" borderId="179" xfId="2" applyNumberFormat="1" applyFont="1" applyFill="1" applyBorder="1" applyAlignment="1">
      <alignment horizontal="center" vertical="center"/>
    </xf>
    <xf numFmtId="167" fontId="3" fillId="17" borderId="181" xfId="2" applyNumberFormat="1" applyFont="1" applyFill="1" applyBorder="1" applyAlignment="1">
      <alignment horizontal="center" vertical="center"/>
    </xf>
    <xf numFmtId="167" fontId="3" fillId="17" borderId="83" xfId="2" applyNumberFormat="1" applyFont="1" applyFill="1" applyBorder="1" applyAlignment="1">
      <alignment horizontal="center" vertical="center"/>
    </xf>
    <xf numFmtId="167" fontId="3" fillId="17" borderId="54" xfId="2" applyNumberFormat="1" applyFont="1" applyFill="1" applyBorder="1" applyAlignment="1">
      <alignment horizontal="center" vertical="center"/>
    </xf>
    <xf numFmtId="167" fontId="3" fillId="17" borderId="52" xfId="2" applyNumberFormat="1" applyFont="1" applyFill="1" applyBorder="1" applyAlignment="1">
      <alignment horizontal="center" vertical="center"/>
    </xf>
    <xf numFmtId="167" fontId="3" fillId="17" borderId="53" xfId="2" applyNumberFormat="1" applyFont="1" applyFill="1" applyBorder="1" applyAlignment="1">
      <alignment horizontal="center" vertical="center"/>
    </xf>
    <xf numFmtId="167" fontId="3" fillId="17" borderId="57" xfId="2" applyNumberFormat="1" applyFont="1" applyFill="1" applyBorder="1" applyAlignment="1">
      <alignment horizontal="center" vertical="center"/>
    </xf>
    <xf numFmtId="0" fontId="3" fillId="0" borderId="48" xfId="0" applyFont="1" applyBorder="1" applyAlignment="1">
      <alignment horizontal="center" vertical="center" textRotation="90"/>
    </xf>
    <xf numFmtId="0" fontId="3" fillId="0" borderId="49" xfId="0" applyFont="1" applyBorder="1" applyAlignment="1">
      <alignment horizontal="center" vertical="center" textRotation="90"/>
    </xf>
    <xf numFmtId="0" fontId="3" fillId="0" borderId="55" xfId="0" applyFont="1" applyBorder="1" applyAlignment="1">
      <alignment horizontal="center" vertical="center" textRotation="90"/>
    </xf>
    <xf numFmtId="0" fontId="3" fillId="0" borderId="196" xfId="0" applyFont="1" applyBorder="1" applyAlignment="1">
      <alignment horizontal="center" vertical="center" textRotation="90"/>
    </xf>
    <xf numFmtId="0" fontId="3" fillId="0" borderId="50" xfId="0" applyFont="1" applyBorder="1" applyAlignment="1">
      <alignment horizontal="center" vertical="center" textRotation="90"/>
    </xf>
    <xf numFmtId="0" fontId="3" fillId="0" borderId="56" xfId="0" applyFont="1" applyBorder="1" applyAlignment="1">
      <alignment horizontal="center" vertical="center" textRotation="90"/>
    </xf>
    <xf numFmtId="0" fontId="3" fillId="0" borderId="197" xfId="0" applyFont="1" applyBorder="1" applyAlignment="1">
      <alignment horizontal="center" vertical="center"/>
    </xf>
    <xf numFmtId="0" fontId="3" fillId="0" borderId="198" xfId="0" applyFont="1" applyBorder="1" applyAlignment="1">
      <alignment horizontal="center" vertical="center"/>
    </xf>
    <xf numFmtId="0" fontId="3" fillId="0" borderId="199" xfId="0" applyFont="1" applyBorder="1" applyAlignment="1">
      <alignment horizontal="center" vertical="center"/>
    </xf>
    <xf numFmtId="0" fontId="3" fillId="0" borderId="31" xfId="0" applyFont="1" applyBorder="1" applyAlignment="1">
      <alignment horizontal="center" vertical="center"/>
    </xf>
    <xf numFmtId="0" fontId="3" fillId="0" borderId="16" xfId="0" applyFont="1" applyBorder="1" applyAlignment="1">
      <alignment horizontal="center" vertical="center"/>
    </xf>
    <xf numFmtId="0" fontId="3" fillId="0" borderId="32" xfId="0" applyFont="1" applyBorder="1" applyAlignment="1">
      <alignment horizontal="center" vertical="center"/>
    </xf>
    <xf numFmtId="0" fontId="3" fillId="17" borderId="197" xfId="0" applyFont="1" applyFill="1" applyBorder="1" applyAlignment="1">
      <alignment horizontal="center" vertical="center"/>
    </xf>
    <xf numFmtId="0" fontId="3" fillId="17" borderId="198" xfId="0" applyFont="1" applyFill="1" applyBorder="1" applyAlignment="1">
      <alignment horizontal="center" vertical="center"/>
    </xf>
    <xf numFmtId="0" fontId="3" fillId="17" borderId="199"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0" xfId="0" applyFont="1" applyFill="1" applyAlignment="1">
      <alignment horizontal="center" vertical="center"/>
    </xf>
    <xf numFmtId="0" fontId="3" fillId="17" borderId="13" xfId="0" applyFont="1" applyFill="1" applyBorder="1" applyAlignment="1">
      <alignment horizontal="center" vertical="center"/>
    </xf>
    <xf numFmtId="0" fontId="3" fillId="17" borderId="31" xfId="0" applyFont="1" applyFill="1" applyBorder="1" applyAlignment="1">
      <alignment horizontal="center" vertical="center"/>
    </xf>
    <xf numFmtId="0" fontId="3" fillId="17" borderId="16" xfId="0" applyFont="1" applyFill="1" applyBorder="1" applyAlignment="1">
      <alignment horizontal="center" vertical="center"/>
    </xf>
    <xf numFmtId="0" fontId="3" fillId="17" borderId="32" xfId="0" applyFont="1" applyFill="1" applyBorder="1" applyAlignment="1">
      <alignment horizontal="center" vertical="center"/>
    </xf>
    <xf numFmtId="167" fontId="3" fillId="17" borderId="33" xfId="2" applyNumberFormat="1" applyFont="1" applyFill="1" applyBorder="1" applyAlignment="1">
      <alignment horizontal="center" vertical="center"/>
    </xf>
    <xf numFmtId="167" fontId="3" fillId="17" borderId="163" xfId="2" applyNumberFormat="1" applyFont="1" applyFill="1" applyBorder="1" applyAlignment="1">
      <alignment horizontal="center" vertical="center"/>
    </xf>
    <xf numFmtId="167" fontId="3" fillId="17" borderId="52" xfId="2" applyNumberFormat="1" applyFont="1" applyFill="1" applyBorder="1" applyAlignment="1">
      <alignment horizontal="center" vertical="center" wrapText="1"/>
    </xf>
    <xf numFmtId="167" fontId="3" fillId="17" borderId="53" xfId="2" applyNumberFormat="1" applyFont="1" applyFill="1" applyBorder="1" applyAlignment="1">
      <alignment horizontal="center" vertical="center" wrapText="1"/>
    </xf>
    <xf numFmtId="167" fontId="3" fillId="17" borderId="57" xfId="2" applyNumberFormat="1" applyFont="1" applyFill="1" applyBorder="1" applyAlignment="1">
      <alignment horizontal="center" vertical="center" wrapText="1"/>
    </xf>
    <xf numFmtId="167" fontId="3" fillId="17" borderId="186" xfId="2" applyNumberFormat="1" applyFont="1" applyFill="1" applyBorder="1" applyAlignment="1">
      <alignment horizontal="center" vertical="center"/>
    </xf>
    <xf numFmtId="167" fontId="3" fillId="17" borderId="109" xfId="2" applyNumberFormat="1" applyFont="1" applyFill="1" applyBorder="1" applyAlignment="1">
      <alignment horizontal="center" vertical="center"/>
    </xf>
    <xf numFmtId="0" fontId="3" fillId="17" borderId="52" xfId="0" applyFont="1" applyFill="1" applyBorder="1" applyAlignment="1">
      <alignment horizontal="center" vertical="center"/>
    </xf>
    <xf numFmtId="0" fontId="3" fillId="17" borderId="57" xfId="0" applyFont="1" applyFill="1" applyBorder="1" applyAlignment="1">
      <alignment horizontal="center" vertical="center"/>
    </xf>
    <xf numFmtId="176" fontId="3" fillId="17" borderId="48" xfId="1" applyNumberFormat="1" applyFont="1" applyFill="1" applyBorder="1" applyAlignment="1">
      <alignment horizontal="center" vertical="center"/>
    </xf>
    <xf numFmtId="176" fontId="3" fillId="17" borderId="55" xfId="1" applyNumberFormat="1" applyFont="1" applyFill="1" applyBorder="1" applyAlignment="1">
      <alignment horizontal="center" vertical="center"/>
    </xf>
    <xf numFmtId="0" fontId="3" fillId="17" borderId="196" xfId="0" applyFont="1" applyFill="1" applyBorder="1" applyAlignment="1">
      <alignment horizontal="center" vertical="center"/>
    </xf>
    <xf numFmtId="0" fontId="3" fillId="17" borderId="56" xfId="0" applyFont="1" applyFill="1" applyBorder="1" applyAlignment="1">
      <alignment horizontal="center" vertical="center"/>
    </xf>
    <xf numFmtId="0" fontId="3" fillId="0" borderId="0" xfId="0" applyFont="1" applyAlignment="1">
      <alignment horizontal="right"/>
    </xf>
    <xf numFmtId="0" fontId="76" fillId="38" borderId="83" xfId="0" applyFont="1" applyFill="1" applyBorder="1"/>
    <xf numFmtId="0" fontId="76" fillId="38" borderId="58" xfId="0" applyFont="1" applyFill="1" applyBorder="1"/>
    <xf numFmtId="0" fontId="76" fillId="38" borderId="85" xfId="0" applyFont="1" applyFill="1" applyBorder="1"/>
    <xf numFmtId="44" fontId="0" fillId="0" borderId="203" xfId="2" applyFont="1" applyBorder="1" applyAlignment="1" applyProtection="1">
      <alignment horizontal="center"/>
      <protection locked="0"/>
    </xf>
    <xf numFmtId="44" fontId="0" fillId="0" borderId="114" xfId="2" applyFont="1" applyBorder="1" applyAlignment="1" applyProtection="1">
      <alignment horizontal="center"/>
      <protection locked="0"/>
    </xf>
    <xf numFmtId="44" fontId="4" fillId="0" borderId="203" xfId="2" applyFont="1" applyBorder="1" applyAlignment="1" applyProtection="1">
      <alignment horizontal="center" vertical="center"/>
      <protection locked="0"/>
    </xf>
    <xf numFmtId="44" fontId="4" fillId="0" borderId="114" xfId="2" applyFont="1" applyBorder="1" applyAlignment="1" applyProtection="1">
      <alignment horizontal="center" vertical="center"/>
      <protection locked="0"/>
    </xf>
    <xf numFmtId="44" fontId="0" fillId="0" borderId="115" xfId="2" applyFont="1" applyBorder="1" applyAlignment="1" applyProtection="1">
      <alignment horizontal="center"/>
      <protection locked="0"/>
    </xf>
    <xf numFmtId="44" fontId="0" fillId="0" borderId="21" xfId="2" applyFont="1"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44" fontId="0" fillId="0" borderId="19" xfId="2" applyFont="1" applyBorder="1" applyAlignment="1" applyProtection="1">
      <alignment horizontal="left"/>
      <protection locked="0"/>
    </xf>
    <xf numFmtId="44" fontId="0" fillId="0" borderId="20" xfId="2" applyFont="1" applyBorder="1" applyAlignment="1" applyProtection="1">
      <alignment horizontal="left"/>
      <protection locked="0"/>
    </xf>
    <xf numFmtId="0" fontId="0" fillId="2" borderId="17" xfId="0" applyFill="1" applyBorder="1" applyAlignment="1" applyProtection="1">
      <alignment horizontal="center"/>
      <protection locked="0"/>
    </xf>
    <xf numFmtId="0" fontId="0" fillId="2" borderId="18" xfId="0" applyFill="1" applyBorder="1" applyAlignment="1" applyProtection="1">
      <alignment horizontal="center"/>
      <protection locked="0"/>
    </xf>
    <xf numFmtId="44" fontId="0" fillId="0" borderId="203" xfId="2" applyFont="1" applyBorder="1" applyAlignment="1" applyProtection="1">
      <alignment horizontal="left"/>
      <protection locked="0"/>
    </xf>
    <xf numFmtId="44" fontId="0" fillId="0" borderId="114" xfId="2" applyFont="1" applyBorder="1" applyAlignment="1" applyProtection="1">
      <alignment horizontal="left"/>
      <protection locked="0"/>
    </xf>
    <xf numFmtId="44" fontId="4" fillId="0" borderId="203" xfId="4" applyNumberFormat="1" applyBorder="1" applyAlignment="1" applyProtection="1">
      <alignment horizontal="left" vertical="center"/>
      <protection locked="0"/>
    </xf>
    <xf numFmtId="44" fontId="4" fillId="0" borderId="114" xfId="2" applyFont="1" applyBorder="1" applyAlignment="1" applyProtection="1">
      <alignment horizontal="left" vertical="center"/>
      <protection locked="0"/>
    </xf>
    <xf numFmtId="44" fontId="4" fillId="0" borderId="203" xfId="2" applyFont="1" applyBorder="1" applyAlignment="1" applyProtection="1">
      <alignment horizontal="left" vertical="center"/>
      <protection locked="0"/>
    </xf>
    <xf numFmtId="44" fontId="0" fillId="0" borderId="116" xfId="2" applyFont="1" applyBorder="1" applyAlignment="1" applyProtection="1">
      <alignment horizontal="center"/>
      <protection locked="0"/>
    </xf>
    <xf numFmtId="0" fontId="3" fillId="2" borderId="61" xfId="0" applyFont="1" applyFill="1" applyBorder="1" applyAlignment="1">
      <alignment horizontal="left"/>
    </xf>
    <xf numFmtId="0" fontId="3" fillId="2" borderId="1" xfId="0" applyFont="1" applyFill="1" applyBorder="1" applyAlignment="1">
      <alignment horizontal="left"/>
    </xf>
    <xf numFmtId="44" fontId="0" fillId="0" borderId="19" xfId="2" applyFont="1" applyBorder="1" applyAlignment="1" applyProtection="1">
      <alignment horizontal="center"/>
      <protection locked="0"/>
    </xf>
    <xf numFmtId="44" fontId="0" fillId="0" borderId="20" xfId="2" applyFont="1" applyBorder="1" applyAlignment="1" applyProtection="1">
      <alignment horizontal="center"/>
      <protection locked="0"/>
    </xf>
    <xf numFmtId="44" fontId="4" fillId="0" borderId="203" xfId="4" applyNumberFormat="1" applyBorder="1" applyAlignment="1" applyProtection="1">
      <alignment vertical="center"/>
      <protection locked="0"/>
    </xf>
    <xf numFmtId="44" fontId="4" fillId="0" borderId="114" xfId="2" applyFont="1" applyBorder="1" applyAlignment="1" applyProtection="1">
      <alignment vertical="center"/>
      <protection locked="0"/>
    </xf>
    <xf numFmtId="44" fontId="0" fillId="0" borderId="19" xfId="2" applyFont="1" applyBorder="1" applyAlignment="1" applyProtection="1">
      <alignment vertical="top"/>
      <protection locked="0"/>
    </xf>
    <xf numFmtId="44" fontId="0" fillId="0" borderId="20" xfId="2" applyFont="1" applyBorder="1" applyAlignment="1" applyProtection="1">
      <alignment vertical="top"/>
      <protection locked="0"/>
    </xf>
    <xf numFmtId="44" fontId="0" fillId="0" borderId="203" xfId="2" applyFont="1" applyBorder="1" applyAlignment="1" applyProtection="1">
      <protection locked="0"/>
    </xf>
    <xf numFmtId="44" fontId="0" fillId="0" borderId="114" xfId="2" applyFont="1" applyBorder="1" applyAlignment="1" applyProtection="1">
      <protection locked="0"/>
    </xf>
    <xf numFmtId="44" fontId="50" fillId="0" borderId="203" xfId="2" applyFont="1" applyBorder="1" applyAlignment="1" applyProtection="1">
      <alignment horizontal="center"/>
      <protection locked="0"/>
    </xf>
    <xf numFmtId="44" fontId="49" fillId="0" borderId="203" xfId="2" applyFont="1" applyBorder="1" applyAlignment="1" applyProtection="1">
      <alignment horizontal="center"/>
      <protection locked="0"/>
    </xf>
    <xf numFmtId="44" fontId="4" fillId="0" borderId="203" xfId="4" applyNumberFormat="1" applyBorder="1" applyAlignment="1" applyProtection="1">
      <alignment horizontal="center" vertical="center"/>
      <protection locked="0"/>
    </xf>
    <xf numFmtId="44" fontId="4" fillId="0" borderId="114" xfId="4" applyNumberFormat="1" applyBorder="1" applyAlignment="1" applyProtection="1">
      <alignment horizontal="center" vertical="center"/>
      <protection locked="0"/>
    </xf>
    <xf numFmtId="44" fontId="0" fillId="0" borderId="16" xfId="2" applyFont="1" applyBorder="1" applyAlignment="1" applyProtection="1">
      <alignment horizontal="center"/>
      <protection locked="0"/>
    </xf>
    <xf numFmtId="44" fontId="4" fillId="0" borderId="114" xfId="4" applyNumberFormat="1" applyBorder="1" applyAlignment="1" applyProtection="1">
      <alignment horizontal="left" vertical="center"/>
      <protection locked="0"/>
    </xf>
    <xf numFmtId="44" fontId="55" fillId="0" borderId="16" xfId="2" applyFont="1" applyBorder="1" applyAlignment="1" applyProtection="1">
      <alignment horizontal="center"/>
      <protection locked="0"/>
    </xf>
    <xf numFmtId="44" fontId="0" fillId="0" borderId="19" xfId="2" applyFont="1" applyBorder="1" applyAlignment="1" applyProtection="1">
      <alignment horizontal="left" wrapText="1"/>
      <protection locked="0"/>
    </xf>
    <xf numFmtId="3" fontId="0" fillId="0" borderId="116" xfId="0" applyNumberFormat="1" applyBorder="1" applyAlignment="1" applyProtection="1">
      <alignment horizontal="center"/>
      <protection locked="0"/>
    </xf>
    <xf numFmtId="3" fontId="0" fillId="0" borderId="225" xfId="0" applyNumberFormat="1" applyBorder="1" applyAlignment="1" applyProtection="1">
      <alignment horizontal="center"/>
      <protection locked="0"/>
    </xf>
    <xf numFmtId="5" fontId="0" fillId="0" borderId="266" xfId="2" applyNumberFormat="1" applyFont="1" applyBorder="1" applyAlignment="1" applyProtection="1">
      <alignment horizontal="center"/>
      <protection locked="0"/>
    </xf>
    <xf numFmtId="5" fontId="0" fillId="0" borderId="271" xfId="2" applyNumberFormat="1" applyFont="1" applyBorder="1" applyAlignment="1" applyProtection="1">
      <alignment horizontal="center"/>
      <protection locked="0"/>
    </xf>
    <xf numFmtId="0" fontId="4" fillId="0" borderId="115" xfId="4" applyBorder="1" applyAlignment="1" applyProtection="1">
      <alignment horizontal="center" vertical="center"/>
      <protection locked="0"/>
    </xf>
    <xf numFmtId="0" fontId="4" fillId="0" borderId="21" xfId="4" applyBorder="1" applyAlignment="1" applyProtection="1">
      <alignment horizontal="center" vertical="center"/>
      <protection locked="0"/>
    </xf>
    <xf numFmtId="0" fontId="4" fillId="0" borderId="203" xfId="4" applyBorder="1" applyAlignment="1" applyProtection="1">
      <alignment horizontal="center" vertical="center"/>
      <protection locked="0"/>
    </xf>
    <xf numFmtId="0" fontId="4" fillId="0" borderId="114" xfId="4" applyBorder="1" applyAlignment="1" applyProtection="1">
      <alignment horizontal="center" vertical="center"/>
      <protection locked="0"/>
    </xf>
    <xf numFmtId="169" fontId="0" fillId="0" borderId="107" xfId="0" applyNumberFormat="1" applyBorder="1" applyAlignment="1" applyProtection="1">
      <alignment horizontal="center"/>
      <protection locked="0"/>
    </xf>
    <xf numFmtId="169" fontId="0" fillId="0" borderId="114" xfId="0" applyNumberFormat="1" applyBorder="1" applyAlignment="1" applyProtection="1">
      <alignment horizontal="center"/>
      <protection locked="0"/>
    </xf>
    <xf numFmtId="0" fontId="0" fillId="0" borderId="203" xfId="0" applyBorder="1" applyAlignment="1" applyProtection="1">
      <alignment horizontal="center"/>
      <protection locked="0"/>
    </xf>
    <xf numFmtId="0" fontId="0" fillId="0" borderId="114" xfId="0" applyBorder="1" applyAlignment="1" applyProtection="1">
      <alignment horizontal="center"/>
      <protection locked="0"/>
    </xf>
    <xf numFmtId="169" fontId="0" fillId="0" borderId="203" xfId="0" applyNumberFormat="1" applyBorder="1" applyAlignment="1" applyProtection="1">
      <alignment horizontal="center"/>
      <protection locked="0"/>
    </xf>
    <xf numFmtId="0" fontId="0" fillId="0" borderId="19"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16" xfId="0" applyBorder="1" applyAlignment="1" applyProtection="1">
      <alignment horizontal="center"/>
      <protection locked="0"/>
    </xf>
    <xf numFmtId="0" fontId="3" fillId="2" borderId="63" xfId="0" applyFont="1" applyFill="1" applyBorder="1" applyAlignment="1">
      <alignment horizontal="left"/>
    </xf>
    <xf numFmtId="44" fontId="0" fillId="0" borderId="19" xfId="2" applyFont="1" applyBorder="1" applyAlignment="1" applyProtection="1">
      <alignment horizontal="center" vertical="center"/>
      <protection locked="0"/>
    </xf>
    <xf numFmtId="44" fontId="0" fillId="0" borderId="20" xfId="2" applyFont="1" applyBorder="1" applyAlignment="1" applyProtection="1">
      <alignment horizontal="center" vertical="center"/>
      <protection locked="0"/>
    </xf>
    <xf numFmtId="44" fontId="0" fillId="0" borderId="203" xfId="2" applyFont="1" applyBorder="1" applyAlignment="1" applyProtection="1">
      <alignment horizontal="center" vertical="center"/>
      <protection locked="0"/>
    </xf>
    <xf numFmtId="44" fontId="0" fillId="0" borderId="114" xfId="2" applyFont="1" applyBorder="1" applyAlignment="1" applyProtection="1">
      <alignment horizontal="center" vertical="center"/>
      <protection locked="0"/>
    </xf>
    <xf numFmtId="44" fontId="4" fillId="0" borderId="203" xfId="2" applyFont="1" applyBorder="1" applyAlignment="1" applyProtection="1">
      <alignment horizontal="center" vertical="center" wrapText="1"/>
      <protection locked="0"/>
    </xf>
    <xf numFmtId="0" fontId="0" fillId="49" borderId="17" xfId="0" applyFill="1" applyBorder="1" applyAlignment="1" applyProtection="1">
      <alignment horizontal="center"/>
      <protection locked="0"/>
    </xf>
    <xf numFmtId="0" fontId="0" fillId="49" borderId="18" xfId="0" applyFill="1" applyBorder="1" applyAlignment="1" applyProtection="1">
      <alignment horizontal="center"/>
      <protection locked="0"/>
    </xf>
    <xf numFmtId="44" fontId="4" fillId="0" borderId="203" xfId="4" applyNumberFormat="1" applyBorder="1" applyAlignment="1" applyProtection="1">
      <alignment horizontal="center" vertical="center" wrapText="1"/>
      <protection locked="0"/>
    </xf>
    <xf numFmtId="44" fontId="0" fillId="0" borderId="115" xfId="2" applyFont="1" applyBorder="1" applyAlignment="1" applyProtection="1">
      <alignment horizontal="left"/>
      <protection locked="0"/>
    </xf>
    <xf numFmtId="44" fontId="0" fillId="0" borderId="21" xfId="2" applyFont="1" applyBorder="1" applyAlignment="1" applyProtection="1">
      <alignment horizontal="left"/>
      <protection locked="0"/>
    </xf>
    <xf numFmtId="0" fontId="0" fillId="0" borderId="28" xfId="0" applyBorder="1" applyAlignment="1" applyProtection="1">
      <alignment horizontal="center"/>
      <protection locked="0"/>
    </xf>
    <xf numFmtId="169" fontId="0" fillId="0" borderId="332" xfId="0" applyNumberFormat="1" applyBorder="1" applyAlignment="1" applyProtection="1">
      <alignment horizontal="center"/>
      <protection locked="0"/>
    </xf>
    <xf numFmtId="0" fontId="0" fillId="0" borderId="332" xfId="0" applyBorder="1" applyAlignment="1" applyProtection="1">
      <alignment horizontal="center"/>
      <protection locked="0"/>
    </xf>
    <xf numFmtId="170" fontId="0" fillId="0" borderId="228" xfId="2" applyNumberFormat="1" applyFont="1" applyBorder="1" applyAlignment="1" applyProtection="1">
      <alignment horizontal="center"/>
      <protection locked="0"/>
    </xf>
    <xf numFmtId="170" fontId="0" fillId="0" borderId="233" xfId="2" applyNumberFormat="1" applyFont="1" applyBorder="1" applyAlignment="1" applyProtection="1">
      <alignment horizontal="center"/>
      <protection locked="0"/>
    </xf>
    <xf numFmtId="0" fontId="4" fillId="0" borderId="332" xfId="4" applyBorder="1" applyAlignment="1" applyProtection="1">
      <alignment horizontal="center" vertical="center"/>
      <protection locked="0"/>
    </xf>
    <xf numFmtId="170" fontId="0" fillId="0" borderId="254" xfId="2" applyNumberFormat="1" applyFont="1" applyBorder="1" applyAlignment="1" applyProtection="1">
      <alignment horizontal="center"/>
      <protection locked="0"/>
    </xf>
    <xf numFmtId="170" fontId="0" fillId="0" borderId="176" xfId="2" applyNumberFormat="1" applyFont="1" applyBorder="1" applyAlignment="1" applyProtection="1">
      <alignment horizontal="center"/>
      <protection locked="0"/>
    </xf>
    <xf numFmtId="44" fontId="0" fillId="0" borderId="115" xfId="2" applyFont="1" applyBorder="1" applyAlignment="1" applyProtection="1">
      <alignment vertical="center"/>
      <protection locked="0"/>
    </xf>
    <xf numFmtId="44" fontId="0" fillId="0" borderId="115" xfId="2" applyFont="1" applyBorder="1" applyAlignment="1" applyProtection="1">
      <protection locked="0"/>
    </xf>
    <xf numFmtId="44" fontId="0" fillId="0" borderId="0" xfId="2" applyFont="1" applyAlignment="1" applyProtection="1">
      <alignment horizontal="center"/>
      <protection locked="0"/>
    </xf>
    <xf numFmtId="44" fontId="0" fillId="0" borderId="0" xfId="2" applyFont="1" applyBorder="1" applyAlignment="1" applyProtection="1">
      <alignment horizontal="center"/>
      <protection locked="0"/>
    </xf>
    <xf numFmtId="44" fontId="66" fillId="0" borderId="0" xfId="2" applyFont="1" applyBorder="1" applyAlignment="1" applyProtection="1">
      <alignment horizontal="center"/>
      <protection locked="0"/>
    </xf>
    <xf numFmtId="44" fontId="4" fillId="30" borderId="203" xfId="4" applyNumberFormat="1" applyFill="1" applyBorder="1" applyAlignment="1" applyProtection="1">
      <alignment horizontal="left" vertical="center"/>
      <protection locked="0"/>
    </xf>
    <xf numFmtId="0" fontId="0" fillId="23" borderId="17" xfId="0" applyFill="1" applyBorder="1" applyAlignment="1" applyProtection="1">
      <alignment horizontal="center"/>
      <protection locked="0"/>
    </xf>
    <xf numFmtId="0" fontId="0" fillId="23" borderId="18" xfId="0" applyFill="1" applyBorder="1" applyAlignment="1" applyProtection="1">
      <alignment horizontal="center"/>
      <protection locked="0"/>
    </xf>
    <xf numFmtId="44" fontId="1" fillId="0" borderId="19" xfId="2" applyFont="1" applyBorder="1" applyAlignment="1" applyProtection="1">
      <alignment horizontal="left"/>
      <protection locked="0"/>
    </xf>
    <xf numFmtId="44" fontId="1" fillId="0" borderId="20" xfId="2" applyFont="1" applyBorder="1" applyAlignment="1" applyProtection="1">
      <alignment horizontal="left"/>
      <protection locked="0"/>
    </xf>
    <xf numFmtId="44" fontId="1" fillId="0" borderId="203" xfId="2" applyFont="1" applyBorder="1" applyAlignment="1" applyProtection="1">
      <alignment horizontal="left"/>
      <protection locked="0"/>
    </xf>
    <xf numFmtId="44" fontId="1" fillId="0" borderId="114" xfId="2" applyFont="1" applyBorder="1" applyAlignment="1" applyProtection="1">
      <alignment horizontal="left"/>
      <protection locked="0"/>
    </xf>
    <xf numFmtId="165" fontId="0" fillId="0" borderId="115" xfId="2" applyNumberFormat="1" applyFont="1" applyBorder="1" applyAlignment="1" applyProtection="1">
      <alignment horizontal="center"/>
      <protection locked="0"/>
    </xf>
    <xf numFmtId="165" fontId="0" fillId="0" borderId="21" xfId="2" applyNumberFormat="1" applyFont="1" applyBorder="1" applyAlignment="1" applyProtection="1">
      <alignment horizontal="center"/>
      <protection locked="0"/>
    </xf>
    <xf numFmtId="169" fontId="0" fillId="0" borderId="203" xfId="2" applyNumberFormat="1" applyFont="1" applyBorder="1" applyAlignment="1" applyProtection="1">
      <alignment horizontal="center"/>
      <protection locked="0"/>
    </xf>
    <xf numFmtId="169" fontId="0" fillId="0" borderId="114" xfId="2" applyNumberFormat="1" applyFont="1" applyBorder="1" applyAlignment="1" applyProtection="1">
      <alignment horizontal="center"/>
      <protection locked="0"/>
    </xf>
    <xf numFmtId="44" fontId="0" fillId="0" borderId="19" xfId="2" applyFont="1" applyFill="1" applyBorder="1" applyAlignment="1" applyProtection="1">
      <alignment horizontal="center"/>
      <protection locked="0"/>
    </xf>
    <xf numFmtId="44" fontId="0" fillId="0" borderId="20" xfId="2" applyFont="1" applyFill="1" applyBorder="1" applyAlignment="1" applyProtection="1">
      <alignment horizontal="center"/>
      <protection locked="0"/>
    </xf>
    <xf numFmtId="44" fontId="0" fillId="0" borderId="203" xfId="2" applyFont="1" applyBorder="1" applyAlignment="1" applyProtection="1">
      <alignment horizontal="center" wrapText="1"/>
      <protection locked="0"/>
    </xf>
    <xf numFmtId="0" fontId="4" fillId="0" borderId="91" xfId="4" applyBorder="1" applyAlignment="1">
      <alignment horizontal="center"/>
    </xf>
    <xf numFmtId="0" fontId="4" fillId="0" borderId="119" xfId="4" applyBorder="1" applyAlignment="1">
      <alignment horizontal="center"/>
    </xf>
    <xf numFmtId="165" fontId="0" fillId="0" borderId="203" xfId="2" applyNumberFormat="1" applyFont="1" applyBorder="1" applyAlignment="1" applyProtection="1">
      <alignment horizontal="center"/>
      <protection locked="0"/>
    </xf>
    <xf numFmtId="165" fontId="0" fillId="0" borderId="114" xfId="2" applyNumberFormat="1" applyFont="1" applyBorder="1" applyAlignment="1" applyProtection="1">
      <alignment horizontal="center"/>
      <protection locked="0"/>
    </xf>
    <xf numFmtId="0" fontId="64" fillId="30" borderId="115" xfId="0" applyFont="1" applyFill="1" applyBorder="1" applyAlignment="1">
      <alignment horizontal="center"/>
    </xf>
    <xf numFmtId="0" fontId="64" fillId="30" borderId="21" xfId="0" applyFont="1" applyFill="1" applyBorder="1" applyAlignment="1">
      <alignment horizontal="center"/>
    </xf>
    <xf numFmtId="0" fontId="4" fillId="30" borderId="115" xfId="4" applyFill="1" applyBorder="1" applyAlignment="1">
      <alignment horizontal="center"/>
    </xf>
    <xf numFmtId="0" fontId="0" fillId="31" borderId="17" xfId="0" applyFill="1" applyBorder="1" applyAlignment="1" applyProtection="1">
      <alignment horizontal="center"/>
      <protection locked="0"/>
    </xf>
    <xf numFmtId="0" fontId="0" fillId="31" borderId="18" xfId="0" applyFill="1" applyBorder="1" applyAlignment="1" applyProtection="1">
      <alignment horizontal="center"/>
      <protection locked="0"/>
    </xf>
    <xf numFmtId="0" fontId="4" fillId="30" borderId="21" xfId="4" applyFill="1" applyBorder="1" applyAlignment="1">
      <alignment horizontal="center"/>
    </xf>
    <xf numFmtId="44" fontId="0" fillId="35" borderId="19" xfId="2" applyFont="1" applyFill="1" applyBorder="1" applyAlignment="1" applyProtection="1">
      <alignment horizontal="center"/>
      <protection locked="0"/>
    </xf>
    <xf numFmtId="44" fontId="0" fillId="35" borderId="20" xfId="2" applyFont="1" applyFill="1" applyBorder="1" applyAlignment="1" applyProtection="1">
      <alignment horizontal="center"/>
      <protection locked="0"/>
    </xf>
    <xf numFmtId="181" fontId="0" fillId="0" borderId="115" xfId="2" applyNumberFormat="1" applyFont="1" applyBorder="1" applyAlignment="1" applyProtection="1">
      <alignment horizontal="center"/>
      <protection locked="0"/>
    </xf>
    <xf numFmtId="181" fontId="0" fillId="0" borderId="21" xfId="2" applyNumberFormat="1" applyFont="1" applyBorder="1" applyAlignment="1" applyProtection="1">
      <alignment horizontal="center"/>
      <protection locked="0"/>
    </xf>
    <xf numFmtId="169" fontId="0" fillId="0" borderId="16" xfId="2" applyNumberFormat="1" applyFont="1" applyBorder="1" applyAlignment="1" applyProtection="1">
      <alignment horizontal="center"/>
      <protection locked="0"/>
    </xf>
    <xf numFmtId="44" fontId="4" fillId="30" borderId="203" xfId="4" applyNumberFormat="1" applyFill="1" applyBorder="1" applyAlignment="1" applyProtection="1">
      <alignment horizontal="center" vertical="center"/>
      <protection locked="0"/>
    </xf>
    <xf numFmtId="169" fontId="0" fillId="0" borderId="311" xfId="0" applyNumberFormat="1" applyBorder="1" applyAlignment="1" applyProtection="1">
      <alignment horizontal="center"/>
      <protection locked="0"/>
    </xf>
    <xf numFmtId="0" fontId="0" fillId="0" borderId="311" xfId="0" applyBorder="1" applyAlignment="1" applyProtection="1">
      <alignment horizontal="center"/>
      <protection locked="0"/>
    </xf>
    <xf numFmtId="5" fontId="0" fillId="0" borderId="228" xfId="2" applyNumberFormat="1" applyFont="1" applyBorder="1" applyAlignment="1" applyProtection="1">
      <alignment horizontal="center"/>
      <protection locked="0"/>
    </xf>
    <xf numFmtId="5" fontId="0" fillId="0" borderId="233" xfId="2" applyNumberFormat="1" applyFont="1" applyBorder="1" applyAlignment="1" applyProtection="1">
      <alignment horizontal="center"/>
      <protection locked="0"/>
    </xf>
    <xf numFmtId="0" fontId="4" fillId="0" borderId="311" xfId="4" applyBorder="1" applyAlignment="1" applyProtection="1">
      <alignment horizontal="center" vertical="center"/>
      <protection locked="0"/>
    </xf>
  </cellXfs>
  <cellStyles count="13">
    <cellStyle name="Comma" xfId="1" builtinId="3"/>
    <cellStyle name="Comma 2" xfId="9" xr:uid="{4D3770E4-0299-4C7D-B315-7B2C57E0D853}"/>
    <cellStyle name="Currency" xfId="2" builtinId="4"/>
    <cellStyle name="Currency 2" xfId="7" xr:uid="{6706B34E-D86F-46D6-AD6B-43CC7231618B}"/>
    <cellStyle name="Header" xfId="10" xr:uid="{07B16932-76FB-47B4-AA8C-4A2E575CE6CB}"/>
    <cellStyle name="Hyperlink" xfId="4" builtinId="8"/>
    <cellStyle name="Normal" xfId="0" builtinId="0"/>
    <cellStyle name="Normal 2" xfId="5" xr:uid="{8EF1FB10-46B7-486E-A042-A018FB8FBC1F}"/>
    <cellStyle name="Normal 2 2 2" xfId="12" xr:uid="{70F30B77-D5A8-4C1F-8A27-8D426917AD0F}"/>
    <cellStyle name="Normal 24" xfId="6" xr:uid="{78AE7A8E-48C5-45D4-A12A-19EF61E48049}"/>
    <cellStyle name="Normal 63" xfId="11" xr:uid="{5E4EE900-F188-42F2-BBEF-81DC2AF34CB7}"/>
    <cellStyle name="Percent" xfId="3" builtinId="5"/>
    <cellStyle name="Percent 2" xfId="8" xr:uid="{0868223E-FE7E-4F95-A110-08C54D29C535}"/>
  </cellStyles>
  <dxfs count="659">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tyles" Target="styles.xml"/><Relationship Id="rId85"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74081</xdr:colOff>
      <xdr:row>0</xdr:row>
      <xdr:rowOff>63498</xdr:rowOff>
    </xdr:from>
    <xdr:to>
      <xdr:col>1</xdr:col>
      <xdr:colOff>1280683</xdr:colOff>
      <xdr:row>0</xdr:row>
      <xdr:rowOff>524931</xdr:rowOff>
    </xdr:to>
    <xdr:pic>
      <xdr:nvPicPr>
        <xdr:cNvPr id="6" name="Picture 5">
          <a:extLst>
            <a:ext uri="{FF2B5EF4-FFF2-40B4-BE49-F238E27FC236}">
              <a16:creationId xmlns:a16="http://schemas.microsoft.com/office/drawing/2014/main" id="{CE144C3C-A79F-487F-9ED9-F47A40021F06}"/>
            </a:ext>
          </a:extLst>
        </xdr:cNvPr>
        <xdr:cNvPicPr>
          <a:picLocks noChangeAspect="1"/>
        </xdr:cNvPicPr>
      </xdr:nvPicPr>
      <xdr:blipFill>
        <a:blip xmlns:r="http://schemas.openxmlformats.org/officeDocument/2006/relationships" r:embed="rId1"/>
        <a:stretch>
          <a:fillRect/>
        </a:stretch>
      </xdr:blipFill>
      <xdr:spPr>
        <a:xfrm>
          <a:off x="74081" y="63498"/>
          <a:ext cx="1582310" cy="45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1</xdr:col>
      <xdr:colOff>820310</xdr:colOff>
      <xdr:row>0</xdr:row>
      <xdr:rowOff>514350</xdr:rowOff>
    </xdr:to>
    <xdr:pic>
      <xdr:nvPicPr>
        <xdr:cNvPr id="5" name="Picture 4">
          <a:extLst>
            <a:ext uri="{FF2B5EF4-FFF2-40B4-BE49-F238E27FC236}">
              <a16:creationId xmlns:a16="http://schemas.microsoft.com/office/drawing/2014/main" id="{D9965A52-58D2-4153-8BDB-F6E8FF0693AD}"/>
            </a:ext>
          </a:extLst>
        </xdr:cNvPr>
        <xdr:cNvPicPr>
          <a:picLocks noChangeAspect="1"/>
        </xdr:cNvPicPr>
      </xdr:nvPicPr>
      <xdr:blipFill>
        <a:blip xmlns:r="http://schemas.openxmlformats.org/officeDocument/2006/relationships" r:embed="rId1"/>
        <a:stretch>
          <a:fillRect/>
        </a:stretch>
      </xdr:blipFill>
      <xdr:spPr>
        <a:xfrm>
          <a:off x="57150" y="57150"/>
          <a:ext cx="1582310" cy="45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57150</xdr:rowOff>
    </xdr:from>
    <xdr:to>
      <xdr:col>1</xdr:col>
      <xdr:colOff>785649</xdr:colOff>
      <xdr:row>0</xdr:row>
      <xdr:rowOff>514350</xdr:rowOff>
    </xdr:to>
    <xdr:pic>
      <xdr:nvPicPr>
        <xdr:cNvPr id="2" name="Picture 1">
          <a:extLst>
            <a:ext uri="{FF2B5EF4-FFF2-40B4-BE49-F238E27FC236}">
              <a16:creationId xmlns:a16="http://schemas.microsoft.com/office/drawing/2014/main" id="{30F144D4-1ECF-486A-948A-5513ED0804ED}"/>
            </a:ext>
          </a:extLst>
        </xdr:cNvPr>
        <xdr:cNvPicPr>
          <a:picLocks noChangeAspect="1"/>
        </xdr:cNvPicPr>
      </xdr:nvPicPr>
      <xdr:blipFill>
        <a:blip xmlns:r="http://schemas.openxmlformats.org/officeDocument/2006/relationships" r:embed="rId1"/>
        <a:stretch>
          <a:fillRect/>
        </a:stretch>
      </xdr:blipFill>
      <xdr:spPr>
        <a:xfrm>
          <a:off x="47625" y="57150"/>
          <a:ext cx="1584691"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estimating@americansurveyors.us" TargetMode="External"/><Relationship Id="rId2" Type="http://schemas.openxmlformats.org/officeDocument/2006/relationships/hyperlink" Target="mailto:bids@macgillivraysurveying.com" TargetMode="External"/><Relationship Id="rId1" Type="http://schemas.openxmlformats.org/officeDocument/2006/relationships/hyperlink" Target="mailto:khofius@leadingedgels.com" TargetMode="Externa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mailto:karina@milcleanusa.com" TargetMode="External"/><Relationship Id="rId1" Type="http://schemas.openxmlformats.org/officeDocument/2006/relationships/hyperlink" Target="mailto:jdossie@oneliance.co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ailto:SeWilliams@starlitebuild.com" TargetMode="External"/><Relationship Id="rId7" Type="http://schemas.openxmlformats.org/officeDocument/2006/relationships/printerSettings" Target="../printerSettings/printerSettings13.bin"/><Relationship Id="rId2" Type="http://schemas.openxmlformats.org/officeDocument/2006/relationships/hyperlink" Target="mailto:slopez@2000concrete.com" TargetMode="External"/><Relationship Id="rId1" Type="http://schemas.openxmlformats.org/officeDocument/2006/relationships/hyperlink" Target="mailto:tim@dewittcc.com" TargetMode="External"/><Relationship Id="rId6" Type="http://schemas.openxmlformats.org/officeDocument/2006/relationships/hyperlink" Target="mailto:MickleyA@BakerConcrete.com" TargetMode="External"/><Relationship Id="rId5" Type="http://schemas.openxmlformats.org/officeDocument/2006/relationships/hyperlink" Target="mailto:DBelanger@dkcfl.com" TargetMode="External"/><Relationship Id="rId4" Type="http://schemas.openxmlformats.org/officeDocument/2006/relationships/hyperlink" Target="mailto:caseyisaac@legomaticconstruction.com"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escherden@metromont.com"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mailto:scott.k@suncor.net" TargetMode="External"/><Relationship Id="rId7" Type="http://schemas.openxmlformats.org/officeDocument/2006/relationships/printerSettings" Target="../printerSettings/printerSettings18.bin"/><Relationship Id="rId2" Type="http://schemas.openxmlformats.org/officeDocument/2006/relationships/hyperlink" Target="mailto:rgainer@panelsandsteel.com" TargetMode="External"/><Relationship Id="rId1" Type="http://schemas.openxmlformats.org/officeDocument/2006/relationships/hyperlink" Target="mailto:mavila@panelsandsteel.com" TargetMode="External"/><Relationship Id="rId6" Type="http://schemas.openxmlformats.org/officeDocument/2006/relationships/hyperlink" Target="mailto:estimating@pilarwelding.com" TargetMode="External"/><Relationship Id="rId5" Type="http://schemas.openxmlformats.org/officeDocument/2006/relationships/hyperlink" Target="mailto:zt@radaf.com" TargetMode="External"/><Relationship Id="rId4" Type="http://schemas.openxmlformats.org/officeDocument/2006/relationships/hyperlink" Target="mailto:lmontes@coastalmetal.biz" TargetMode="External"/><Relationship Id="rId9"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8" Type="http://schemas.openxmlformats.org/officeDocument/2006/relationships/hyperlink" Target="mailto:estimating@pilarwelding.com" TargetMode="External"/><Relationship Id="rId3" Type="http://schemas.openxmlformats.org/officeDocument/2006/relationships/hyperlink" Target="mailto:ace-st@cfl.rr.com" TargetMode="External"/><Relationship Id="rId7" Type="http://schemas.openxmlformats.org/officeDocument/2006/relationships/hyperlink" Target="mailto:zt@radaf.com" TargetMode="External"/><Relationship Id="rId2" Type="http://schemas.openxmlformats.org/officeDocument/2006/relationships/hyperlink" Target="mailto:Robert.Rutherford@unlimitedwelding.com" TargetMode="External"/><Relationship Id="rId1" Type="http://schemas.openxmlformats.org/officeDocument/2006/relationships/hyperlink" Target="mailto:%3clmontes@coastalmetal.biz" TargetMode="External"/><Relationship Id="rId6" Type="http://schemas.openxmlformats.org/officeDocument/2006/relationships/hyperlink" Target="mailto:rgainer@panelsandsteel.com" TargetMode="External"/><Relationship Id="rId5" Type="http://schemas.openxmlformats.org/officeDocument/2006/relationships/hyperlink" Target="mailto:mavila@panelsandsteel.com" TargetMode="External"/><Relationship Id="rId4" Type="http://schemas.openxmlformats.org/officeDocument/2006/relationships/hyperlink" Target="mailto:Estimating@chanceymetals.com" TargetMode="External"/><Relationship Id="rId9"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mailto:marygwen@mgcontractresources.com" TargetMode="External"/><Relationship Id="rId2" Type="http://schemas.openxmlformats.org/officeDocument/2006/relationships/hyperlink" Target="mailto:Michael@nationalkb.com%3e" TargetMode="External"/><Relationship Id="rId1" Type="http://schemas.openxmlformats.org/officeDocument/2006/relationships/hyperlink" Target="mailto:hanna@asterakb.com" TargetMode="External"/><Relationship Id="rId4"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hyperlink" Target="mailto:jcumbess@ccsimagegroup.com" TargetMode="External"/><Relationship Id="rId7" Type="http://schemas.openxmlformats.org/officeDocument/2006/relationships/printerSettings" Target="../printerSettings/printerSettings26.bin"/><Relationship Id="rId2" Type="http://schemas.openxmlformats.org/officeDocument/2006/relationships/hyperlink" Target="mailto:blake@qualitymetals.net" TargetMode="External"/><Relationship Id="rId1" Type="http://schemas.openxmlformats.org/officeDocument/2006/relationships/hyperlink" Target="mailto:rgainer@PanelsAndSteel.com" TargetMode="External"/><Relationship Id="rId6" Type="http://schemas.openxmlformats.org/officeDocument/2006/relationships/hyperlink" Target="mailto:rfiliault@cynergysystemsinc.com" TargetMode="External"/><Relationship Id="rId5" Type="http://schemas.openxmlformats.org/officeDocument/2006/relationships/hyperlink" Target="mailto:zt@radaf.com" TargetMode="External"/><Relationship Id="rId4" Type="http://schemas.openxmlformats.org/officeDocument/2006/relationships/hyperlink" Target="mailto:Jennifer@KistlerUS.com"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mailto:Vince@JenkinsRoofingInc.com" TargetMode="External"/><Relationship Id="rId1" Type="http://schemas.openxmlformats.org/officeDocument/2006/relationships/hyperlink" Target="mailto:stuthill@pa-roofing.com"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justin.cesaretti@truteam.com"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mailto:mhill@allieddoors.com" TargetMode="External"/><Relationship Id="rId2" Type="http://schemas.openxmlformats.org/officeDocument/2006/relationships/hyperlink" Target="mailto:ldrury@taylorcottonridley.com" TargetMode="External"/><Relationship Id="rId1" Type="http://schemas.openxmlformats.org/officeDocument/2006/relationships/hyperlink" Target="mailto:bids@aprocg.com" TargetMode="External"/><Relationship Id="rId4"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hyperlink" Target="mailto:nmorrison@c2cgaragedoors.com" TargetMode="External"/><Relationship Id="rId2" Type="http://schemas.openxmlformats.org/officeDocument/2006/relationships/hyperlink" Target="mailto:jeremy@schweissdoors.com" TargetMode="External"/><Relationship Id="rId1" Type="http://schemas.openxmlformats.org/officeDocument/2006/relationships/hyperlink" Target="mailto:Sales@southernimpactwelding.com" TargetMode="External"/><Relationship Id="rId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mailto:nmorrison@c2cgaragedoors.com" TargetMode="External"/><Relationship Id="rId2" Type="http://schemas.openxmlformats.org/officeDocument/2006/relationships/hyperlink" Target="mailto:jason@overheaddoordaytona.com" TargetMode="External"/><Relationship Id="rId1" Type="http://schemas.openxmlformats.org/officeDocument/2006/relationships/hyperlink" Target="mailto:bconklin@minercorp.com" TargetMode="External"/><Relationship Id="rId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hyperlink" Target="mailto:jake@a-christianglass.com" TargetMode="External"/><Relationship Id="rId2" Type="http://schemas.openxmlformats.org/officeDocument/2006/relationships/hyperlink" Target="mailto:jada@stormtroopersgroup.com" TargetMode="External"/><Relationship Id="rId1" Type="http://schemas.openxmlformats.org/officeDocument/2006/relationships/hyperlink" Target="mailto:jorge_scsi@bellsouth.ne" TargetMode="External"/><Relationship Id="rId5" Type="http://schemas.openxmlformats.org/officeDocument/2006/relationships/printerSettings" Target="../printerSettings/printerSettings36.bin"/><Relationship Id="rId4" Type="http://schemas.openxmlformats.org/officeDocument/2006/relationships/hyperlink" Target="mailto:ktaylor@contractorsglass.net"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mailto:wixmay@flcrane.com" TargetMode="External"/><Relationship Id="rId7" Type="http://schemas.openxmlformats.org/officeDocument/2006/relationships/printerSettings" Target="../printerSettings/printerSettings37.bin"/><Relationship Id="rId2" Type="http://schemas.openxmlformats.org/officeDocument/2006/relationships/hyperlink" Target="mailto:JeremyOwnby@acousti.com" TargetMode="External"/><Relationship Id="rId1" Type="http://schemas.openxmlformats.org/officeDocument/2006/relationships/hyperlink" Target="mailto:Dkurtock@collinsfl.com" TargetMode="External"/><Relationship Id="rId6" Type="http://schemas.openxmlformats.org/officeDocument/2006/relationships/hyperlink" Target="mailto:johnny@grafsdrywall.com" TargetMode="External"/><Relationship Id="rId5" Type="http://schemas.openxmlformats.org/officeDocument/2006/relationships/hyperlink" Target="mailto:chace@1csmontiel.com" TargetMode="External"/><Relationship Id="rId4" Type="http://schemas.openxmlformats.org/officeDocument/2006/relationships/hyperlink" Target="mailto:TomLewis496@gmail.com"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mailto:rridley@spragginsinc.com" TargetMode="External"/><Relationship Id="rId2" Type="http://schemas.openxmlformats.org/officeDocument/2006/relationships/hyperlink" Target="mailto:nicko.barrera@perimeterfloors.com" TargetMode="External"/><Relationship Id="rId1" Type="http://schemas.openxmlformats.org/officeDocument/2006/relationships/hyperlink" Target="mailto:michael@jackwalshcarpets.com" TargetMode="External"/><Relationship Id="rId4"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hyperlink" Target="mailto:bpuente@flcrane.com" TargetMode="External"/><Relationship Id="rId2" Type="http://schemas.openxmlformats.org/officeDocument/2006/relationships/hyperlink" Target="mailto:jarias@collinsfl.com" TargetMode="External"/><Relationship Id="rId1" Type="http://schemas.openxmlformats.org/officeDocument/2006/relationships/hyperlink" Target="mailto:danielmorgan@acousti.com" TargetMode="External"/><Relationship Id="rId4"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hyperlink" Target="mailto:rridley@spragginsinc.com" TargetMode="External"/><Relationship Id="rId2" Type="http://schemas.openxmlformats.org/officeDocument/2006/relationships/hyperlink" Target="mailto:nicko.barrera@perimeterfloors.com" TargetMode="External"/><Relationship Id="rId1" Type="http://schemas.openxmlformats.org/officeDocument/2006/relationships/hyperlink" Target="mailto:michael@jackwalshcarpets.com" TargetMode="External"/><Relationship Id="rId4"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hyperlink" Target="mailto:Steve@sdavid.com" TargetMode="External"/><Relationship Id="rId7" Type="http://schemas.openxmlformats.org/officeDocument/2006/relationships/printerSettings" Target="../printerSettings/printerSettings42.bin"/><Relationship Id="rId2" Type="http://schemas.openxmlformats.org/officeDocument/2006/relationships/hyperlink" Target="mailto:mike.t@mtdpainting.com" TargetMode="External"/><Relationship Id="rId1" Type="http://schemas.openxmlformats.org/officeDocument/2006/relationships/hyperlink" Target="mailto:bids@sprservices.com" TargetMode="External"/><Relationship Id="rId6" Type="http://schemas.openxmlformats.org/officeDocument/2006/relationships/hyperlink" Target="mailto:edanow@pccusa.com" TargetMode="External"/><Relationship Id="rId5" Type="http://schemas.openxmlformats.org/officeDocument/2006/relationships/hyperlink" Target="mailto:estimating@dunkmanpaint.com" TargetMode="External"/><Relationship Id="rId4" Type="http://schemas.openxmlformats.org/officeDocument/2006/relationships/hyperlink" Target="mailto:patrickb@vintagepaintinginc.com"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mailto:paul@epaflorida.com" TargetMode="External"/><Relationship Id="rId2" Type="http://schemas.openxmlformats.org/officeDocument/2006/relationships/hyperlink" Target="mailto:edanow@pccusa.com" TargetMode="External"/><Relationship Id="rId1" Type="http://schemas.openxmlformats.org/officeDocument/2006/relationships/hyperlink" Target="mailto:travis@sdavidflooring.com" TargetMode="External"/><Relationship Id="rId4"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mailto:desiree.reynolds@identitygroup.com"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hanna@asterakb.com" TargetMode="External"/><Relationship Id="rId2" Type="http://schemas.openxmlformats.org/officeDocument/2006/relationships/hyperlink" Target="mailto:tj-terrick@cfl.rr.com" TargetMode="External"/><Relationship Id="rId1" Type="http://schemas.openxmlformats.org/officeDocument/2006/relationships/hyperlink" Target="mailto:Mcooper@specialtiesdirect.com" TargetMode="External"/><Relationship Id="rId5" Type="http://schemas.openxmlformats.org/officeDocument/2006/relationships/printerSettings" Target="../printerSettings/printerSettings45.bin"/><Relationship Id="rId4" Type="http://schemas.openxmlformats.org/officeDocument/2006/relationships/hyperlink" Target="mailto:chaley@interiorspecialties.com" TargetMode="Externa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hyperlink" Target="mailto:tj-terrick@cfl.rr.com" TargetMode="External"/><Relationship Id="rId1" Type="http://schemas.openxmlformats.org/officeDocument/2006/relationships/hyperlink" Target="mailto:Mcooper@specialtiesdirect.com" TargetMode="Externa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hyperlink" Target="mailto:anthony.dipalermo@geappliances.com" TargetMode="Externa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3" Type="http://schemas.openxmlformats.org/officeDocument/2006/relationships/hyperlink" Target="mailto:mbretz@contextureUSA.com" TargetMode="External"/><Relationship Id="rId2" Type="http://schemas.openxmlformats.org/officeDocument/2006/relationships/hyperlink" Target="mailto:a.lowry@cqinsulation.com" TargetMode="External"/><Relationship Id="rId1" Type="http://schemas.openxmlformats.org/officeDocument/2006/relationships/hyperlink" Target="mailto:info@raiseshineblinds.com" TargetMode="External"/><Relationship Id="rId4"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8" Type="http://schemas.openxmlformats.org/officeDocument/2006/relationships/hyperlink" Target="mailto:Chyna@aprocg.com" TargetMode="External"/><Relationship Id="rId13" Type="http://schemas.openxmlformats.org/officeDocument/2006/relationships/hyperlink" Target="mailto:%3clis@condesaspaces.com" TargetMode="External"/><Relationship Id="rId3" Type="http://schemas.openxmlformats.org/officeDocument/2006/relationships/hyperlink" Target="mailto:Michael@nationalkb.com%3e" TargetMode="External"/><Relationship Id="rId7" Type="http://schemas.openxmlformats.org/officeDocument/2006/relationships/hyperlink" Target="mailto:%3cissacb@alliedinteriorsolutions.com%3e" TargetMode="External"/><Relationship Id="rId12" Type="http://schemas.openxmlformats.org/officeDocument/2006/relationships/hyperlink" Target="mailto:Travism@skylinecabinetry.com" TargetMode="External"/><Relationship Id="rId2" Type="http://schemas.openxmlformats.org/officeDocument/2006/relationships/hyperlink" Target="mailto:marygwen@mgcontractresources.com" TargetMode="External"/><Relationship Id="rId1" Type="http://schemas.openxmlformats.org/officeDocument/2006/relationships/hyperlink" Target="mailto:marygwen@mgcontractresources.com" TargetMode="External"/><Relationship Id="rId6" Type="http://schemas.openxmlformats.org/officeDocument/2006/relationships/hyperlink" Target="mailto:Travism@skylinecabinetry.com" TargetMode="External"/><Relationship Id="rId11" Type="http://schemas.openxmlformats.org/officeDocument/2006/relationships/hyperlink" Target="mailto:Travism@skylinecabinetry.com" TargetMode="External"/><Relationship Id="rId5" Type="http://schemas.openxmlformats.org/officeDocument/2006/relationships/hyperlink" Target="mailto:Travism@skylinecabinetry.com" TargetMode="External"/><Relationship Id="rId10" Type="http://schemas.openxmlformats.org/officeDocument/2006/relationships/hyperlink" Target="mailto:marygwen@mgcontractresources.com" TargetMode="External"/><Relationship Id="rId4" Type="http://schemas.openxmlformats.org/officeDocument/2006/relationships/hyperlink" Target="mailto:hanna@asterakb.com" TargetMode="External"/><Relationship Id="rId9" Type="http://schemas.openxmlformats.org/officeDocument/2006/relationships/hyperlink" Target="mailto:hanna@asterakb.com" TargetMode="External"/><Relationship Id="rId14"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8" Type="http://schemas.openxmlformats.org/officeDocument/2006/relationships/hyperlink" Target="mailto:%3cissacb@alliedinteriorsolutions.com%3e" TargetMode="External"/><Relationship Id="rId13" Type="http://schemas.openxmlformats.org/officeDocument/2006/relationships/printerSettings" Target="../printerSettings/printerSettings54.bin"/><Relationship Id="rId3" Type="http://schemas.openxmlformats.org/officeDocument/2006/relationships/hyperlink" Target="mailto:Michael@nationalkb.com%3e" TargetMode="External"/><Relationship Id="rId7" Type="http://schemas.openxmlformats.org/officeDocument/2006/relationships/hyperlink" Target="mailto:Chyna@aprocg.com" TargetMode="External"/><Relationship Id="rId12" Type="http://schemas.openxmlformats.org/officeDocument/2006/relationships/hyperlink" Target="mailto:%3clis@condesaspaces.com" TargetMode="External"/><Relationship Id="rId2" Type="http://schemas.openxmlformats.org/officeDocument/2006/relationships/hyperlink" Target="mailto:marygwen@mgcontractresources.com" TargetMode="External"/><Relationship Id="rId1" Type="http://schemas.openxmlformats.org/officeDocument/2006/relationships/hyperlink" Target="mailto:%3candrea@marbleorlando.com" TargetMode="External"/><Relationship Id="rId6" Type="http://schemas.openxmlformats.org/officeDocument/2006/relationships/hyperlink" Target="mailto:Travism@skylinecabinetry.com" TargetMode="External"/><Relationship Id="rId11" Type="http://schemas.openxmlformats.org/officeDocument/2006/relationships/hyperlink" Target="mailto:Travism@skylinecabinetry.com" TargetMode="External"/><Relationship Id="rId5" Type="http://schemas.openxmlformats.org/officeDocument/2006/relationships/hyperlink" Target="mailto:Travism@skylinecabinetry.com" TargetMode="External"/><Relationship Id="rId10" Type="http://schemas.openxmlformats.org/officeDocument/2006/relationships/hyperlink" Target="mailto:Travism@skylinecabinetry.com" TargetMode="External"/><Relationship Id="rId4" Type="http://schemas.openxmlformats.org/officeDocument/2006/relationships/hyperlink" Target="mailto:hanna@asterakb.com" TargetMode="External"/><Relationship Id="rId9" Type="http://schemas.openxmlformats.org/officeDocument/2006/relationships/hyperlink" Target="mailto:hanna@asterakb.com" TargetMode="External"/></Relationships>
</file>

<file path=xl/worksheets/_rels/sheet55.xml.rels><?xml version="1.0" encoding="UTF-8" standalone="yes"?>
<Relationships xmlns="http://schemas.openxmlformats.org/package/2006/relationships"><Relationship Id="rId3" Type="http://schemas.openxmlformats.org/officeDocument/2006/relationships/hyperlink" Target="mailto:rgainer@panelsandsteel.com" TargetMode="External"/><Relationship Id="rId7" Type="http://schemas.openxmlformats.org/officeDocument/2006/relationships/printerSettings" Target="../printerSettings/printerSettings55.bin"/><Relationship Id="rId2" Type="http://schemas.openxmlformats.org/officeDocument/2006/relationships/hyperlink" Target="mailto:mavila@panelsandsteel.com" TargetMode="External"/><Relationship Id="rId1" Type="http://schemas.openxmlformats.org/officeDocument/2006/relationships/hyperlink" Target="mailto:mitch@mitchellmetals.net" TargetMode="External"/><Relationship Id="rId6" Type="http://schemas.openxmlformats.org/officeDocument/2006/relationships/hyperlink" Target="mailto:estimating@perfectionarch.com" TargetMode="External"/><Relationship Id="rId5" Type="http://schemas.openxmlformats.org/officeDocument/2006/relationships/hyperlink" Target="mailto:zt@radaf.com" TargetMode="External"/><Relationship Id="rId4" Type="http://schemas.openxmlformats.org/officeDocument/2006/relationships/hyperlink" Target="mailto:lmontes@coastalmetal.biz" TargetMode="External"/></Relationships>
</file>

<file path=xl/worksheets/_rels/sheet56.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Jonathan.Davis@tkElevator.com" TargetMode="External"/><Relationship Id="rId1" Type="http://schemas.openxmlformats.org/officeDocument/2006/relationships/hyperlink" Target="mailto:taylor.vaughan@kone.com" TargetMode="External"/></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3" Type="http://schemas.openxmlformats.org/officeDocument/2006/relationships/hyperlink" Target="mailto:sales01@tauruschutesinc.com" TargetMode="External"/><Relationship Id="rId2" Type="http://schemas.openxmlformats.org/officeDocument/2006/relationships/hyperlink" Target="mailto:paris@woltgrace.com" TargetMode="External"/><Relationship Id="rId1" Type="http://schemas.openxmlformats.org/officeDocument/2006/relationships/hyperlink" Target="mailto:tom@inexsystems.com" TargetMode="External"/><Relationship Id="rId5" Type="http://schemas.openxmlformats.org/officeDocument/2006/relationships/printerSettings" Target="../printerSettings/printerSettings58.bin"/><Relationship Id="rId4" Type="http://schemas.openxmlformats.org/officeDocument/2006/relationships/hyperlink" Target="mailto:jennifer@atlas-disposal.com"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david.rose@firesafety-inc.com" TargetMode="External"/><Relationship Id="rId2" Type="http://schemas.openxmlformats.org/officeDocument/2006/relationships/hyperlink" Target="mailto:johnathan@swansonfire.com" TargetMode="External"/><Relationship Id="rId1" Type="http://schemas.openxmlformats.org/officeDocument/2006/relationships/hyperlink" Target="mailto:jon@precisionfs.com" TargetMode="External"/><Relationship Id="rId5" Type="http://schemas.openxmlformats.org/officeDocument/2006/relationships/printerSettings" Target="../printerSettings/printerSettings59.bin"/><Relationship Id="rId4" Type="http://schemas.openxmlformats.org/officeDocument/2006/relationships/hyperlink" Target="mailto:pamato@centuryfp.com" TargetMode="External"/></Relationships>
</file>

<file path=xl/worksheets/_rels/sheet60.xml.rels><?xml version="1.0" encoding="UTF-8" standalone="yes"?>
<Relationships xmlns="http://schemas.openxmlformats.org/package/2006/relationships"><Relationship Id="rId3" Type="http://schemas.openxmlformats.org/officeDocument/2006/relationships/hyperlink" Target="mailto:claytons@explumbing.com" TargetMode="External"/><Relationship Id="rId2" Type="http://schemas.openxmlformats.org/officeDocument/2006/relationships/hyperlink" Target="mailto:jerry@srplumbing.com" TargetMode="External"/><Relationship Id="rId1" Type="http://schemas.openxmlformats.org/officeDocument/2006/relationships/hyperlink" Target="mailto:justin@gandmmechanical.com" TargetMode="External"/><Relationship Id="rId5" Type="http://schemas.openxmlformats.org/officeDocument/2006/relationships/printerSettings" Target="../printerSettings/printerSettings60.bin"/><Relationship Id="rId4" Type="http://schemas.openxmlformats.org/officeDocument/2006/relationships/hyperlink" Target="mailto:jerry@srplumbing.com"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baung@wrightbrotherscs.com" TargetMode="External"/><Relationship Id="rId13" Type="http://schemas.openxmlformats.org/officeDocument/2006/relationships/vmlDrawing" Target="../drawings/vmlDrawing3.vml"/><Relationship Id="rId3" Type="http://schemas.openxmlformats.org/officeDocument/2006/relationships/hyperlink" Target="mailto:mgomez@jrhobbs.com" TargetMode="External"/><Relationship Id="rId7" Type="http://schemas.openxmlformats.org/officeDocument/2006/relationships/hyperlink" Target="mailto:swallick@meridianmechanical.com" TargetMode="External"/><Relationship Id="rId12" Type="http://schemas.openxmlformats.org/officeDocument/2006/relationships/printerSettings" Target="../printerSettings/printerSettings61.bin"/><Relationship Id="rId2" Type="http://schemas.openxmlformats.org/officeDocument/2006/relationships/hyperlink" Target="mailto:bdavis@hillyork.com" TargetMode="External"/><Relationship Id="rId1" Type="http://schemas.openxmlformats.org/officeDocument/2006/relationships/hyperlink" Target="mailto:bulmer@energyair.com" TargetMode="External"/><Relationship Id="rId6" Type="http://schemas.openxmlformats.org/officeDocument/2006/relationships/hyperlink" Target="mailto:cjanssen@medicairsystems.com" TargetMode="External"/><Relationship Id="rId11" Type="http://schemas.openxmlformats.org/officeDocument/2006/relationships/hyperlink" Target="mailto:cjanssen@medicairsystems.com" TargetMode="External"/><Relationship Id="rId5" Type="http://schemas.openxmlformats.org/officeDocument/2006/relationships/hyperlink" Target="mailto:shadrek@mcdonaldair.com" TargetMode="External"/><Relationship Id="rId10" Type="http://schemas.openxmlformats.org/officeDocument/2006/relationships/hyperlink" Target="mailto:pparker@ferran-services.com" TargetMode="External"/><Relationship Id="rId4" Type="http://schemas.openxmlformats.org/officeDocument/2006/relationships/hyperlink" Target="mailto:dcbids@mccloskeymechanical.com" TargetMode="External"/><Relationship Id="rId9" Type="http://schemas.openxmlformats.org/officeDocument/2006/relationships/hyperlink" Target="mailto:andersonvergara@triadmechanical.com" TargetMode="External"/><Relationship Id="rId14" Type="http://schemas.openxmlformats.org/officeDocument/2006/relationships/comments" Target="../comments3.xml"/></Relationships>
</file>

<file path=xl/worksheets/_rels/sheet62.xml.rels><?xml version="1.0" encoding="UTF-8" standalone="yes"?>
<Relationships xmlns="http://schemas.openxmlformats.org/package/2006/relationships"><Relationship Id="rId3" Type="http://schemas.openxmlformats.org/officeDocument/2006/relationships/hyperlink" Target="mailto:btrumble@boyselectrical.com" TargetMode="External"/><Relationship Id="rId2" Type="http://schemas.openxmlformats.org/officeDocument/2006/relationships/hyperlink" Target="mailto:tgoff@randallconstruction.com" TargetMode="External"/><Relationship Id="rId1" Type="http://schemas.openxmlformats.org/officeDocument/2006/relationships/hyperlink" Target="mailto:jkomis@powerdesigninc.us" TargetMode="External"/><Relationship Id="rId5" Type="http://schemas.openxmlformats.org/officeDocument/2006/relationships/printerSettings" Target="../printerSettings/printerSettings62.bin"/><Relationship Id="rId4" Type="http://schemas.openxmlformats.org/officeDocument/2006/relationships/hyperlink" Target="mailto:tyler.scholz@gileselectriccompany.com"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btrumble@boyselectrical.com" TargetMode="External"/><Relationship Id="rId2" Type="http://schemas.openxmlformats.org/officeDocument/2006/relationships/hyperlink" Target="mailto:tgoff@randallconstruction.com" TargetMode="External"/><Relationship Id="rId1" Type="http://schemas.openxmlformats.org/officeDocument/2006/relationships/hyperlink" Target="mailto:jkomis@powerdesigninc.us" TargetMode="External"/><Relationship Id="rId4"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8" Type="http://schemas.openxmlformats.org/officeDocument/2006/relationships/hyperlink" Target="mailto:garyn@preferredcabling.com" TargetMode="External"/><Relationship Id="rId3" Type="http://schemas.openxmlformats.org/officeDocument/2006/relationships/hyperlink" Target="mailto:pwebster@titanelectric-se.com" TargetMode="External"/><Relationship Id="rId7" Type="http://schemas.openxmlformats.org/officeDocument/2006/relationships/hyperlink" Target="mailto:garyn@preferredcabling.com" TargetMode="External"/><Relationship Id="rId2" Type="http://schemas.openxmlformats.org/officeDocument/2006/relationships/hyperlink" Target="mailto:tgoff@randallconstruction.com" TargetMode="External"/><Relationship Id="rId1" Type="http://schemas.openxmlformats.org/officeDocument/2006/relationships/hyperlink" Target="mailto:pengle@joycomm.com" TargetMode="External"/><Relationship Id="rId6" Type="http://schemas.openxmlformats.org/officeDocument/2006/relationships/hyperlink" Target="mailto:mvecchioli@comdesigninc.com" TargetMode="External"/><Relationship Id="rId5" Type="http://schemas.openxmlformats.org/officeDocument/2006/relationships/hyperlink" Target="mailto:rdaly@coranet.com" TargetMode="External"/><Relationship Id="rId4" Type="http://schemas.openxmlformats.org/officeDocument/2006/relationships/hyperlink" Target="mailto:ohernandez@qcciflorida.com" TargetMode="External"/><Relationship Id="rId9"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3" Type="http://schemas.openxmlformats.org/officeDocument/2006/relationships/hyperlink" Target="mailto:jkomis@powerdesigninc.us" TargetMode="External"/><Relationship Id="rId7" Type="http://schemas.openxmlformats.org/officeDocument/2006/relationships/printerSettings" Target="../printerSettings/printerSettings65.bin"/><Relationship Id="rId2" Type="http://schemas.openxmlformats.org/officeDocument/2006/relationships/hyperlink" Target="mailto:lborenstein@cts1.com" TargetMode="External"/><Relationship Id="rId1" Type="http://schemas.openxmlformats.org/officeDocument/2006/relationships/hyperlink" Target="mailto:jbradford@nautilusrf.com" TargetMode="External"/><Relationship Id="rId6" Type="http://schemas.openxmlformats.org/officeDocument/2006/relationships/hyperlink" Target="mailto:garyn@preferredcabling.com" TargetMode="External"/><Relationship Id="rId5" Type="http://schemas.openxmlformats.org/officeDocument/2006/relationships/hyperlink" Target="mailto:rdaly@coranet.com" TargetMode="External"/><Relationship Id="rId4" Type="http://schemas.openxmlformats.org/officeDocument/2006/relationships/hyperlink" Target="mailto:pwebster@titanelectric-se.com" TargetMode="Externa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67.bin"/><Relationship Id="rId1" Type="http://schemas.openxmlformats.org/officeDocument/2006/relationships/hyperlink" Target="mailto:jgarcia@mannwireless.com?subject=BDA,%20Fire%20Alarm" TargetMode="External"/></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hyperlink" Target="mailto:dwpaving@dwpavinginc.com" TargetMode="External"/><Relationship Id="rId1" Type="http://schemas.openxmlformats.org/officeDocument/2006/relationships/hyperlink" Target="mailto:mvelez_blacksandsdg@outlook.com" TargetMode="External"/></Relationships>
</file>

<file path=xl/worksheets/_rels/sheet70.xml.rels><?xml version="1.0" encoding="UTF-8" standalone="yes"?>
<Relationships xmlns="http://schemas.openxmlformats.org/package/2006/relationships"><Relationship Id="rId3" Type="http://schemas.openxmlformats.org/officeDocument/2006/relationships/hyperlink" Target="mailto:paublo.iglesias@keller-na.com" TargetMode="External"/><Relationship Id="rId2" Type="http://schemas.openxmlformats.org/officeDocument/2006/relationships/hyperlink" Target="mailto:Shrey.Lunagaria@bauerfoundations.com" TargetMode="External"/><Relationship Id="rId1" Type="http://schemas.openxmlformats.org/officeDocument/2006/relationships/hyperlink" Target="mailto:Bryan.Plaskett@menardusa.com" TargetMode="External"/><Relationship Id="rId4"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3" Type="http://schemas.openxmlformats.org/officeDocument/2006/relationships/hyperlink" Target="mailto:golden_pavers@yahoo.com" TargetMode="External"/><Relationship Id="rId2" Type="http://schemas.openxmlformats.org/officeDocument/2006/relationships/hyperlink" Target="mailto:roger@japaversinc.com" TargetMode="External"/><Relationship Id="rId1" Type="http://schemas.openxmlformats.org/officeDocument/2006/relationships/hyperlink" Target="mailto:brett.paverscape@gmail.com" TargetMode="External"/><Relationship Id="rId5" Type="http://schemas.openxmlformats.org/officeDocument/2006/relationships/printerSettings" Target="../printerSettings/printerSettings72.bin"/><Relationship Id="rId4" Type="http://schemas.openxmlformats.org/officeDocument/2006/relationships/hyperlink" Target="mailto:joxley@acpfl.com" TargetMode="External"/></Relationships>
</file>

<file path=xl/worksheets/_rels/sheet73.xml.rels><?xml version="1.0" encoding="UTF-8" standalone="yes"?>
<Relationships xmlns="http://schemas.openxmlformats.org/package/2006/relationships"><Relationship Id="rId3" Type="http://schemas.openxmlformats.org/officeDocument/2006/relationships/printerSettings" Target="../printerSettings/printerSettings73.bin"/><Relationship Id="rId2" Type="http://schemas.openxmlformats.org/officeDocument/2006/relationships/hyperlink" Target="mailto:brady@groundcontrolsystems.com" TargetMode="External"/><Relationship Id="rId1" Type="http://schemas.openxmlformats.org/officeDocument/2006/relationships/hyperlink" Target="mailto:hunterl@landscapeforms.com" TargetMode="External"/></Relationships>
</file>

<file path=xl/worksheets/_rels/sheet74.xml.rels><?xml version="1.0" encoding="UTF-8" standalone="yes"?>
<Relationships xmlns="http://schemas.openxmlformats.org/package/2006/relationships"><Relationship Id="rId8" Type="http://schemas.openxmlformats.org/officeDocument/2006/relationships/printerSettings" Target="../printerSettings/printerSettings74.bin"/><Relationship Id="rId3" Type="http://schemas.openxmlformats.org/officeDocument/2006/relationships/hyperlink" Target="mailto:jesse.bell@whiteoakslandscape.com" TargetMode="External"/><Relationship Id="rId7" Type="http://schemas.openxmlformats.org/officeDocument/2006/relationships/hyperlink" Target="mailto:dsimmons@verdego.com" TargetMode="External"/><Relationship Id="rId2" Type="http://schemas.openxmlformats.org/officeDocument/2006/relationships/hyperlink" Target="mailto:jr@juniperlandscaping.com" TargetMode="External"/><Relationship Id="rId1" Type="http://schemas.openxmlformats.org/officeDocument/2006/relationships/hyperlink" Target="mailto:jhackerson@scapesnfl.com" TargetMode="External"/><Relationship Id="rId6" Type="http://schemas.openxmlformats.org/officeDocument/2006/relationships/hyperlink" Target="mailto:steve.holland@down2earthinc.com" TargetMode="External"/><Relationship Id="rId5" Type="http://schemas.openxmlformats.org/officeDocument/2006/relationships/hyperlink" Target="mailto:Ryan@LakeConwayLandscaping.com" TargetMode="External"/><Relationship Id="rId4" Type="http://schemas.openxmlformats.org/officeDocument/2006/relationships/hyperlink" Target="mailto:estimating@sterlingsilverlandscaping.com" TargetMode="External"/></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55A1-955E-4083-A962-2666B5FB57DD}">
  <dimension ref="A1:M63"/>
  <sheetViews>
    <sheetView workbookViewId="0">
      <selection activeCell="G4" sqref="G4"/>
    </sheetView>
  </sheetViews>
  <sheetFormatPr defaultRowHeight="15"/>
  <cols>
    <col min="1" max="1" width="5.28515625" customWidth="1"/>
    <col min="2" max="2" width="28" customWidth="1"/>
    <col min="3" max="3" width="29.28515625" customWidth="1"/>
    <col min="4" max="4" width="12.28515625" bestFit="1" customWidth="1"/>
    <col min="5" max="5" width="17.85546875" customWidth="1"/>
    <col min="7" max="7" width="15.7109375" customWidth="1"/>
    <col min="8" max="8" width="12.42578125" bestFit="1" customWidth="1"/>
    <col min="9" max="9" width="13.28515625" bestFit="1" customWidth="1"/>
    <col min="12" max="12" width="11.5703125" bestFit="1" customWidth="1"/>
    <col min="13" max="13" width="15.7109375" bestFit="1" customWidth="1"/>
  </cols>
  <sheetData>
    <row r="1" spans="1:13" ht="15" customHeight="1" thickBot="1"/>
    <row r="2" spans="1:13" ht="15" customHeight="1" thickTop="1" thickBot="1">
      <c r="B2" s="2189" t="s">
        <v>0</v>
      </c>
      <c r="C2" s="2190"/>
    </row>
    <row r="3" spans="1:13" ht="15" customHeight="1" thickTop="1"/>
    <row r="4" spans="1:13" ht="15" customHeight="1">
      <c r="B4" s="188" t="s">
        <v>1</v>
      </c>
      <c r="C4" s="189"/>
      <c r="D4" s="189"/>
      <c r="E4" s="189"/>
      <c r="F4" s="22" t="s">
        <v>2</v>
      </c>
      <c r="G4" s="944">
        <v>578663</v>
      </c>
    </row>
    <row r="5" spans="1:13" ht="15" customHeight="1">
      <c r="B5" s="188" t="s">
        <v>3</v>
      </c>
      <c r="C5" s="109"/>
      <c r="F5" s="22" t="s">
        <v>4</v>
      </c>
      <c r="G5" s="944"/>
    </row>
    <row r="6" spans="1:13" ht="15" customHeight="1">
      <c r="B6" s="35"/>
      <c r="C6" s="35"/>
      <c r="F6" s="22" t="s">
        <v>5</v>
      </c>
      <c r="G6" s="945">
        <f>H6/43560</f>
        <v>6.5699724517906333</v>
      </c>
      <c r="H6" s="83">
        <v>286188</v>
      </c>
    </row>
    <row r="7" spans="1:13" ht="15" customHeight="1">
      <c r="B7" s="101"/>
      <c r="C7" s="190"/>
      <c r="F7" s="22" t="s">
        <v>6</v>
      </c>
      <c r="G7" s="944">
        <v>131</v>
      </c>
    </row>
    <row r="8" spans="1:13" ht="15" customHeight="1">
      <c r="B8" s="101"/>
      <c r="C8" s="190"/>
      <c r="F8" s="22" t="s">
        <v>7</v>
      </c>
      <c r="G8" s="944">
        <v>925</v>
      </c>
    </row>
    <row r="9" spans="1:13" ht="15" customHeight="1">
      <c r="B9" s="191"/>
      <c r="C9" s="190"/>
      <c r="F9" s="22" t="s">
        <v>8</v>
      </c>
      <c r="G9" s="946">
        <f>C30</f>
        <v>107</v>
      </c>
    </row>
    <row r="10" spans="1:13" ht="15" customHeight="1">
      <c r="B10" s="191"/>
      <c r="C10" s="190"/>
      <c r="F10" s="22" t="s">
        <v>9</v>
      </c>
      <c r="G10" s="946">
        <v>423</v>
      </c>
    </row>
    <row r="11" spans="1:13" ht="15" customHeight="1">
      <c r="B11" s="192"/>
      <c r="C11" s="88"/>
      <c r="F11" s="22" t="s">
        <v>10</v>
      </c>
      <c r="G11" s="946"/>
    </row>
    <row r="12" spans="1:13" ht="15" customHeight="1">
      <c r="B12" s="192"/>
      <c r="F12" s="22"/>
      <c r="G12" s="91"/>
    </row>
    <row r="13" spans="1:13" ht="15" customHeight="1" thickBot="1">
      <c r="B13" s="192"/>
      <c r="F13" s="22"/>
      <c r="G13" s="193"/>
    </row>
    <row r="14" spans="1:13" s="92" customFormat="1" ht="15" customHeight="1">
      <c r="A14" s="194"/>
      <c r="B14" s="911" t="s">
        <v>11</v>
      </c>
      <c r="C14" s="912" t="s">
        <v>12</v>
      </c>
      <c r="D14" s="912" t="s">
        <v>13</v>
      </c>
      <c r="E14" s="912" t="s">
        <v>14</v>
      </c>
      <c r="F14" s="912" t="s">
        <v>15</v>
      </c>
      <c r="G14" s="913" t="s">
        <v>16</v>
      </c>
      <c r="H14"/>
      <c r="L14" s="576"/>
      <c r="M14" s="576"/>
    </row>
    <row r="15" spans="1:13" ht="15" customHeight="1">
      <c r="B15" s="181"/>
      <c r="C15" s="182"/>
      <c r="D15" s="182"/>
      <c r="E15" s="182"/>
      <c r="F15" s="182"/>
      <c r="G15" s="183"/>
    </row>
    <row r="16" spans="1:13" ht="15" customHeight="1">
      <c r="B16" s="181"/>
      <c r="C16" s="182"/>
      <c r="D16" s="182"/>
      <c r="E16" s="182"/>
      <c r="F16" s="182"/>
      <c r="G16" s="195">
        <f>E16/$G$4</f>
        <v>0</v>
      </c>
    </row>
    <row r="17" spans="2:13" ht="15" customHeight="1">
      <c r="B17" s="181" t="s">
        <v>17</v>
      </c>
      <c r="C17" s="182">
        <v>21</v>
      </c>
      <c r="D17" s="196"/>
      <c r="E17" s="196"/>
      <c r="F17" s="197"/>
      <c r="G17" s="195">
        <f>E17/$G$4</f>
        <v>0</v>
      </c>
      <c r="H17" s="22"/>
      <c r="I17" s="22"/>
      <c r="J17" s="22"/>
      <c r="K17" s="22"/>
      <c r="L17" s="22"/>
      <c r="M17" s="182"/>
    </row>
    <row r="18" spans="2:13" ht="15" customHeight="1">
      <c r="B18" s="181" t="s">
        <v>18</v>
      </c>
      <c r="C18" s="182">
        <v>21</v>
      </c>
      <c r="D18" s="196"/>
      <c r="E18" s="196"/>
      <c r="F18" s="197"/>
      <c r="G18" s="195">
        <f t="shared" ref="G18:G27" si="0">E18/$G$4</f>
        <v>0</v>
      </c>
      <c r="M18" s="184"/>
    </row>
    <row r="19" spans="2:13" ht="15" customHeight="1">
      <c r="B19" s="181" t="s">
        <v>19</v>
      </c>
      <c r="C19" s="182">
        <v>21</v>
      </c>
      <c r="D19" s="196"/>
      <c r="E19" s="182"/>
      <c r="F19" s="197"/>
      <c r="G19" s="195">
        <f t="shared" si="0"/>
        <v>0</v>
      </c>
      <c r="M19" s="184"/>
    </row>
    <row r="20" spans="2:13" ht="15" customHeight="1">
      <c r="B20" s="181" t="s">
        <v>20</v>
      </c>
      <c r="C20" s="182">
        <v>20</v>
      </c>
      <c r="D20" s="196"/>
      <c r="E20" s="182"/>
      <c r="F20" s="197"/>
      <c r="G20" s="195">
        <f t="shared" si="0"/>
        <v>0</v>
      </c>
      <c r="M20" s="184"/>
    </row>
    <row r="21" spans="2:13" ht="15" customHeight="1">
      <c r="B21" s="181" t="s">
        <v>21</v>
      </c>
      <c r="C21" s="182">
        <v>1</v>
      </c>
      <c r="D21" s="196"/>
      <c r="E21" s="182"/>
      <c r="F21" s="197"/>
      <c r="G21" s="195">
        <f t="shared" ref="G21:G22" si="1">E21/$G$4</f>
        <v>0</v>
      </c>
      <c r="M21" s="184"/>
    </row>
    <row r="22" spans="2:13" ht="15" customHeight="1">
      <c r="B22" s="181" t="s">
        <v>22</v>
      </c>
      <c r="C22" s="182">
        <v>1</v>
      </c>
      <c r="D22" s="196"/>
      <c r="E22" s="182"/>
      <c r="F22" s="197"/>
      <c r="G22" s="195">
        <f t="shared" si="1"/>
        <v>0</v>
      </c>
      <c r="M22" s="184"/>
    </row>
    <row r="23" spans="2:13" ht="15" customHeight="1">
      <c r="B23" s="181" t="s">
        <v>23</v>
      </c>
      <c r="C23" s="182">
        <v>20</v>
      </c>
      <c r="D23" s="196"/>
      <c r="E23" s="182"/>
      <c r="F23" s="197"/>
      <c r="G23" s="195">
        <f t="shared" si="0"/>
        <v>0</v>
      </c>
      <c r="M23" s="184"/>
    </row>
    <row r="24" spans="2:13" ht="15" customHeight="1">
      <c r="B24" s="181" t="s">
        <v>24</v>
      </c>
      <c r="C24" s="182">
        <v>1</v>
      </c>
      <c r="D24" s="196"/>
      <c r="E24" s="182"/>
      <c r="F24" s="197"/>
      <c r="G24" s="195">
        <f t="shared" si="0"/>
        <v>0</v>
      </c>
      <c r="M24" s="184"/>
    </row>
    <row r="25" spans="2:13" ht="15" customHeight="1">
      <c r="B25" s="181" t="s">
        <v>25</v>
      </c>
      <c r="C25" s="182">
        <v>1</v>
      </c>
      <c r="D25" s="196"/>
      <c r="E25" s="182"/>
      <c r="F25" s="197"/>
      <c r="G25" s="195">
        <f t="shared" si="0"/>
        <v>0</v>
      </c>
      <c r="M25" s="184"/>
    </row>
    <row r="26" spans="2:13" ht="15" customHeight="1">
      <c r="B26" s="181"/>
      <c r="C26" s="182"/>
      <c r="D26" s="196"/>
      <c r="E26" s="182"/>
      <c r="F26" s="197"/>
      <c r="G26" s="195">
        <f t="shared" si="0"/>
        <v>0</v>
      </c>
      <c r="M26" s="184"/>
    </row>
    <row r="27" spans="2:13" ht="15" customHeight="1">
      <c r="B27" s="181"/>
      <c r="C27" s="182"/>
      <c r="D27" s="196"/>
      <c r="E27" s="182"/>
      <c r="F27" s="197"/>
      <c r="G27" s="195">
        <f t="shared" si="0"/>
        <v>0</v>
      </c>
      <c r="M27" s="184"/>
    </row>
    <row r="28" spans="2:13" ht="15" customHeight="1">
      <c r="B28" s="181"/>
      <c r="C28" s="182"/>
      <c r="D28" s="196"/>
      <c r="E28" s="182"/>
      <c r="F28" s="182"/>
      <c r="G28" s="195"/>
      <c r="M28" s="198"/>
    </row>
    <row r="29" spans="2:13" ht="15" customHeight="1">
      <c r="B29" s="181"/>
      <c r="C29" s="182"/>
      <c r="D29" s="196"/>
      <c r="E29" s="182"/>
      <c r="F29" s="182"/>
      <c r="G29" s="183"/>
    </row>
    <row r="30" spans="2:13" ht="15" customHeight="1" thickBot="1">
      <c r="B30" s="947" t="s">
        <v>26</v>
      </c>
      <c r="C30" s="948">
        <f t="shared" ref="C30:E30" si="2">SUM(C16:C29)</f>
        <v>107</v>
      </c>
      <c r="D30" s="948">
        <f t="shared" si="2"/>
        <v>0</v>
      </c>
      <c r="E30" s="948">
        <f t="shared" si="2"/>
        <v>0</v>
      </c>
      <c r="F30" s="948">
        <f>SUM(F16:F29)</f>
        <v>0</v>
      </c>
      <c r="G30" s="949">
        <f>SUM(G16:G29)</f>
        <v>0</v>
      </c>
    </row>
    <row r="31" spans="2:13" ht="15" customHeight="1">
      <c r="B31" s="109"/>
      <c r="C31" s="109"/>
      <c r="D31" s="202"/>
      <c r="E31" s="203"/>
      <c r="F31" s="201"/>
      <c r="G31" s="201"/>
    </row>
    <row r="32" spans="2:13" ht="15" customHeight="1">
      <c r="B32" s="178"/>
      <c r="C32" s="178"/>
      <c r="D32" s="178"/>
      <c r="E32" s="200"/>
      <c r="F32" s="201"/>
      <c r="G32" s="201"/>
    </row>
    <row r="33" spans="1:8" s="92" customFormat="1" ht="15" customHeight="1">
      <c r="H33"/>
    </row>
    <row r="42" spans="1:8">
      <c r="B42" s="178"/>
      <c r="C42" s="178"/>
      <c r="D42" s="178"/>
      <c r="E42" s="200"/>
      <c r="F42" s="201"/>
      <c r="G42" s="201"/>
    </row>
    <row r="43" spans="1:8">
      <c r="B43" s="178"/>
      <c r="C43" s="178"/>
      <c r="D43" s="178"/>
      <c r="E43" s="200"/>
      <c r="F43" s="201"/>
      <c r="G43" s="201"/>
    </row>
    <row r="44" spans="1:8">
      <c r="B44" s="178"/>
      <c r="C44" s="178"/>
      <c r="D44" s="178"/>
      <c r="E44" s="200"/>
      <c r="F44" s="201"/>
      <c r="G44" s="201"/>
    </row>
    <row r="46" spans="1:8" s="92" customFormat="1" ht="17.25" hidden="1" customHeight="1">
      <c r="A46" s="194" t="s">
        <v>27</v>
      </c>
      <c r="B46" s="333" t="s">
        <v>28</v>
      </c>
      <c r="C46" s="204"/>
      <c r="D46" s="204"/>
      <c r="E46" s="204"/>
      <c r="F46" s="204" t="s">
        <v>29</v>
      </c>
      <c r="G46" s="205" t="s">
        <v>30</v>
      </c>
      <c r="H46"/>
    </row>
    <row r="47" spans="1:8" s="83" customFormat="1" hidden="1">
      <c r="B47" s="397"/>
      <c r="C47" s="398"/>
      <c r="D47" s="398"/>
      <c r="E47" s="398"/>
      <c r="F47" s="398"/>
      <c r="G47" s="399"/>
      <c r="H47"/>
    </row>
    <row r="48" spans="1:8" hidden="1"/>
    <row r="49" spans="1:8" hidden="1">
      <c r="B49" t="s">
        <v>31</v>
      </c>
      <c r="F49" t="s">
        <v>32</v>
      </c>
    </row>
    <row r="50" spans="1:8" hidden="1">
      <c r="B50" t="s">
        <v>33</v>
      </c>
    </row>
    <row r="51" spans="1:8" hidden="1">
      <c r="B51" t="s">
        <v>34</v>
      </c>
    </row>
    <row r="52" spans="1:8" hidden="1">
      <c r="B52" t="s">
        <v>35</v>
      </c>
    </row>
    <row r="53" spans="1:8" s="92" customFormat="1" ht="17.25" hidden="1" customHeight="1">
      <c r="A53" s="194" t="s">
        <v>36</v>
      </c>
      <c r="B53" s="333" t="s">
        <v>28</v>
      </c>
      <c r="C53" s="204"/>
      <c r="D53" s="204"/>
      <c r="E53" s="204"/>
      <c r="F53" s="204" t="s">
        <v>29</v>
      </c>
      <c r="G53" s="205" t="s">
        <v>30</v>
      </c>
      <c r="H53"/>
    </row>
    <row r="54" spans="1:8" hidden="1">
      <c r="B54" s="22" t="s">
        <v>37</v>
      </c>
    </row>
    <row r="55" spans="1:8" hidden="1">
      <c r="B55" s="22" t="s">
        <v>38</v>
      </c>
    </row>
    <row r="56" spans="1:8" hidden="1">
      <c r="B56" s="22" t="s">
        <v>39</v>
      </c>
    </row>
    <row r="57" spans="1:8" hidden="1">
      <c r="B57" s="22" t="s">
        <v>40</v>
      </c>
    </row>
    <row r="58" spans="1:8" hidden="1">
      <c r="A58" s="194" t="s">
        <v>36</v>
      </c>
      <c r="B58" s="914" t="s">
        <v>41</v>
      </c>
      <c r="C58" s="915" t="s">
        <v>42</v>
      </c>
      <c r="D58" s="915"/>
      <c r="E58" s="915" t="s">
        <v>43</v>
      </c>
      <c r="F58" s="915"/>
      <c r="G58" s="916" t="s">
        <v>30</v>
      </c>
    </row>
    <row r="59" spans="1:8" hidden="1">
      <c r="B59" s="185"/>
      <c r="G59" s="186"/>
    </row>
    <row r="60" spans="1:8" hidden="1">
      <c r="B60" s="187"/>
      <c r="E60" s="21"/>
      <c r="G60" s="199">
        <f>E60/$G$7</f>
        <v>0</v>
      </c>
    </row>
    <row r="61" spans="1:8" hidden="1">
      <c r="B61" s="187"/>
      <c r="E61" s="21"/>
      <c r="G61" s="199">
        <f>E61/$G$7</f>
        <v>0</v>
      </c>
    </row>
    <row r="62" spans="1:8" hidden="1">
      <c r="B62" s="187"/>
      <c r="G62" s="186"/>
    </row>
    <row r="63" spans="1:8" ht="15.75" hidden="1" thickBot="1">
      <c r="B63" s="2191" t="s">
        <v>44</v>
      </c>
      <c r="C63" s="2192"/>
      <c r="D63" s="2192"/>
      <c r="E63" s="950">
        <f>SUM(E60:E62)</f>
        <v>0</v>
      </c>
      <c r="F63" s="951"/>
      <c r="G63" s="952">
        <f>SUM(G60:G62)</f>
        <v>0</v>
      </c>
    </row>
  </sheetData>
  <mergeCells count="2">
    <mergeCell ref="B2:C2"/>
    <mergeCell ref="B63:D63"/>
  </mergeCells>
  <phoneticPr fontId="1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8AD1-17A8-462C-A294-80E299848A8F}">
  <dimension ref="A1:S64"/>
  <sheetViews>
    <sheetView workbookViewId="0">
      <selection activeCell="E17" sqref="E17"/>
    </sheetView>
  </sheetViews>
  <sheetFormatPr defaultColWidth="8.85546875" defaultRowHeight="15"/>
  <cols>
    <col min="1" max="1" width="16.140625" style="44" bestFit="1" customWidth="1"/>
    <col min="2" max="2" width="18.85546875" style="45" bestFit="1" customWidth="1"/>
    <col min="3" max="3" width="12.28515625" style="44" bestFit="1" customWidth="1"/>
    <col min="4" max="4" width="15.5703125" style="56" bestFit="1" customWidth="1"/>
    <col min="5" max="5" width="16.140625" style="44" bestFit="1" customWidth="1"/>
    <col min="6" max="6" width="19.85546875" style="45" bestFit="1" customWidth="1"/>
    <col min="7" max="7" width="11" style="53" bestFit="1" customWidth="1"/>
    <col min="8" max="8" width="14.7109375" style="56" bestFit="1" customWidth="1"/>
    <col min="9" max="9" width="8.85546875" style="44"/>
    <col min="10" max="10" width="9.85546875" style="45" bestFit="1" customWidth="1"/>
    <col min="11" max="12" width="10.85546875" style="45" bestFit="1" customWidth="1"/>
    <col min="13" max="13" width="13.7109375" style="45" bestFit="1" customWidth="1"/>
    <col min="14" max="14" width="9.85546875" style="45" bestFit="1" customWidth="1"/>
    <col min="15" max="16" width="10.5703125" style="45" bestFit="1" customWidth="1"/>
    <col min="17" max="19" width="8.85546875" style="45"/>
    <col min="20" max="16384" width="8.85546875" style="44"/>
  </cols>
  <sheetData>
    <row r="1" spans="1:8">
      <c r="A1" s="2202" t="s">
        <v>45</v>
      </c>
      <c r="B1" s="2203"/>
      <c r="C1" s="2203"/>
      <c r="D1" s="2203"/>
      <c r="E1" s="2203"/>
      <c r="F1" s="2203"/>
      <c r="G1" s="2203"/>
      <c r="H1" s="2204"/>
    </row>
    <row r="2" spans="1:8" ht="15.75" thickBot="1">
      <c r="A2" s="2205"/>
      <c r="B2" s="2206"/>
      <c r="C2" s="2206"/>
      <c r="D2" s="2206"/>
      <c r="E2" s="2206"/>
      <c r="F2" s="2206"/>
      <c r="G2" s="2206"/>
      <c r="H2" s="2207"/>
    </row>
    <row r="3" spans="1:8" ht="15.75" thickBot="1">
      <c r="A3" s="2208" t="s">
        <v>46</v>
      </c>
      <c r="B3" s="2209"/>
      <c r="C3" s="2209"/>
      <c r="D3" s="2210"/>
      <c r="E3" s="2211" t="s">
        <v>46</v>
      </c>
      <c r="F3" s="2212"/>
      <c r="G3" s="2212"/>
      <c r="H3" s="2213"/>
    </row>
    <row r="4" spans="1:8">
      <c r="A4" s="2214" t="s">
        <v>47</v>
      </c>
      <c r="B4" s="2215"/>
      <c r="C4" s="2215"/>
      <c r="D4" s="2216"/>
      <c r="E4" s="2217" t="s">
        <v>48</v>
      </c>
      <c r="F4" s="2218"/>
      <c r="G4" s="2218"/>
      <c r="H4" s="2219"/>
    </row>
    <row r="5" spans="1:8" ht="15.75" thickBot="1">
      <c r="A5" s="2193"/>
      <c r="B5" s="2194"/>
      <c r="C5" s="2194"/>
      <c r="D5" s="2195"/>
      <c r="E5" s="2196"/>
      <c r="F5" s="2197"/>
      <c r="G5" s="2197"/>
      <c r="H5" s="2198"/>
    </row>
    <row r="6" spans="1:8">
      <c r="A6" s="2199"/>
      <c r="B6" s="953">
        <f ca="1">IF(B13&gt;500000,500000,B13)</f>
        <v>500000</v>
      </c>
      <c r="C6" s="954">
        <v>9.1000000000000004E-3</v>
      </c>
      <c r="D6" s="334">
        <f t="shared" ref="D6:D11" ca="1" si="0">B6*C6</f>
        <v>4550</v>
      </c>
      <c r="E6" s="2199"/>
      <c r="F6" s="955">
        <v>0</v>
      </c>
      <c r="G6" s="956">
        <v>1.8749999999999999E-2</v>
      </c>
      <c r="H6" s="957">
        <f t="shared" ref="H6:H11" si="1">SUM(F6*G6)</f>
        <v>0</v>
      </c>
    </row>
    <row r="7" spans="1:8">
      <c r="A7" s="2200"/>
      <c r="B7" s="958">
        <f ca="1">IF(B13&lt;2500000,(B13-B6),IF(B13&gt;B6,2000000,0))</f>
        <v>2000000</v>
      </c>
      <c r="C7" s="959">
        <v>7.2500000000000004E-3</v>
      </c>
      <c r="D7" s="900">
        <f t="shared" ca="1" si="0"/>
        <v>14500</v>
      </c>
      <c r="E7" s="2200"/>
      <c r="F7" s="960">
        <v>0</v>
      </c>
      <c r="G7" s="961">
        <v>1.4999999999999999E-2</v>
      </c>
      <c r="H7" s="901">
        <f t="shared" si="1"/>
        <v>0</v>
      </c>
    </row>
    <row r="8" spans="1:8">
      <c r="A8" s="2200"/>
      <c r="B8" s="958">
        <f ca="1">IF(B13&lt;5000000,MAX(0,B13-2500000),IF(B13&gt;2500000,2500000))</f>
        <v>2500000</v>
      </c>
      <c r="C8" s="959">
        <v>6.3E-3</v>
      </c>
      <c r="D8" s="900">
        <f t="shared" ca="1" si="0"/>
        <v>15750</v>
      </c>
      <c r="E8" s="2200"/>
      <c r="F8" s="960">
        <v>0</v>
      </c>
      <c r="G8" s="961">
        <v>1.125E-2</v>
      </c>
      <c r="H8" s="901">
        <f t="shared" si="1"/>
        <v>0</v>
      </c>
    </row>
    <row r="9" spans="1:8">
      <c r="A9" s="2200"/>
      <c r="B9" s="958">
        <f ca="1">IF(B13&lt;7500000,MAX(0,B13-5000000),IF(B13&gt;7500000,2500000,0))</f>
        <v>2500000</v>
      </c>
      <c r="C9" s="959">
        <v>5.5500000000000002E-3</v>
      </c>
      <c r="D9" s="900">
        <f t="shared" ca="1" si="0"/>
        <v>13875</v>
      </c>
      <c r="E9" s="2200"/>
      <c r="F9" s="960">
        <v>0</v>
      </c>
      <c r="G9" s="961">
        <v>8.9999999999999993E-3</v>
      </c>
      <c r="H9" s="901">
        <f t="shared" si="1"/>
        <v>0</v>
      </c>
    </row>
    <row r="10" spans="1:8">
      <c r="A10" s="2200"/>
      <c r="B10" s="958">
        <f ca="1">IF(B13&lt;7500000,MAX(0,B13-7500000),IF(B13&gt;7500000,(B13-7500000)))</f>
        <v>92779111.765534177</v>
      </c>
      <c r="C10" s="962">
        <v>5.1000000000000004E-3</v>
      </c>
      <c r="D10" s="900">
        <f t="shared" ca="1" si="0"/>
        <v>473173.47000422433</v>
      </c>
      <c r="E10" s="2200"/>
      <c r="F10" s="960">
        <v>0</v>
      </c>
      <c r="G10" s="963">
        <v>8.2500000000000004E-3</v>
      </c>
      <c r="H10" s="400">
        <f t="shared" si="1"/>
        <v>0</v>
      </c>
    </row>
    <row r="11" spans="1:8" ht="15.75" thickBot="1">
      <c r="A11" s="2201"/>
      <c r="B11" s="964"/>
      <c r="C11" s="965"/>
      <c r="D11" s="966">
        <f t="shared" si="0"/>
        <v>0</v>
      </c>
      <c r="E11" s="2201"/>
      <c r="F11" s="967">
        <v>0</v>
      </c>
      <c r="G11" s="968">
        <v>7.4999999999999997E-3</v>
      </c>
      <c r="H11" s="969">
        <f t="shared" si="1"/>
        <v>0</v>
      </c>
    </row>
    <row r="12" spans="1:8" ht="15.75" thickBot="1">
      <c r="A12" s="335" t="s">
        <v>49</v>
      </c>
      <c r="B12" s="46">
        <f ca="1">'Cost Summary'!C84</f>
        <v>100279111.76553418</v>
      </c>
      <c r="C12" s="47" t="s">
        <v>50</v>
      </c>
      <c r="D12" s="48">
        <f ca="1">SUM(D6:D11)</f>
        <v>521848.47000422433</v>
      </c>
      <c r="E12" s="335" t="s">
        <v>49</v>
      </c>
      <c r="F12" s="49">
        <f>SUM(F6+F7+F8+F9+F10+F11)</f>
        <v>0</v>
      </c>
      <c r="G12" s="50" t="s">
        <v>50</v>
      </c>
      <c r="H12" s="51">
        <f>SUM(H6:H11)</f>
        <v>0</v>
      </c>
    </row>
    <row r="13" spans="1:8" ht="15.75" thickBot="1">
      <c r="A13" s="336" t="s">
        <v>51</v>
      </c>
      <c r="B13" s="46">
        <f ca="1">'Cost Summary'!C84</f>
        <v>100279111.76553418</v>
      </c>
      <c r="C13" s="52"/>
      <c r="D13" s="663">
        <f ca="1">SUM(D12/B12)</f>
        <v>5.203959835866666E-3</v>
      </c>
      <c r="H13" s="54" t="e">
        <f>SUM(H12/F12)</f>
        <v>#DIV/0!</v>
      </c>
    </row>
    <row r="14" spans="1:8">
      <c r="A14" s="45"/>
      <c r="B14" s="52">
        <f ca="1">B12-B13</f>
        <v>0</v>
      </c>
      <c r="C14" s="52"/>
      <c r="D14" s="55"/>
      <c r="E14" s="45"/>
    </row>
    <row r="15" spans="1:8">
      <c r="A15" s="45"/>
      <c r="B15" s="44"/>
      <c r="C15" s="45"/>
      <c r="D15" s="57"/>
      <c r="E15" s="45"/>
    </row>
    <row r="16" spans="1:8">
      <c r="A16" s="45"/>
      <c r="C16" s="45"/>
      <c r="D16" s="44"/>
      <c r="E16" s="45"/>
    </row>
    <row r="17" spans="1:5">
      <c r="A17" s="45"/>
      <c r="C17" s="45"/>
      <c r="D17" s="44"/>
      <c r="E17" s="45"/>
    </row>
    <row r="18" spans="1:5">
      <c r="A18" s="45"/>
      <c r="C18" s="45"/>
      <c r="D18" s="44"/>
      <c r="E18" s="45"/>
    </row>
    <row r="19" spans="1:5">
      <c r="A19" s="45"/>
      <c r="C19" s="45"/>
      <c r="D19" s="44"/>
      <c r="E19" s="45"/>
    </row>
    <row r="20" spans="1:5">
      <c r="A20" s="45"/>
      <c r="C20" s="45"/>
      <c r="D20" s="44"/>
      <c r="E20" s="45"/>
    </row>
    <row r="21" spans="1:5">
      <c r="A21" s="45"/>
      <c r="C21" s="45"/>
      <c r="D21" s="57"/>
      <c r="E21" s="45"/>
    </row>
    <row r="22" spans="1:5">
      <c r="A22" s="45"/>
      <c r="C22" s="45"/>
      <c r="D22" s="57"/>
      <c r="E22" s="45"/>
    </row>
    <row r="23" spans="1:5">
      <c r="A23" s="45"/>
      <c r="C23" s="45"/>
      <c r="D23" s="57"/>
      <c r="E23" s="45"/>
    </row>
    <row r="24" spans="1:5">
      <c r="A24" s="45"/>
      <c r="C24" s="45"/>
      <c r="D24" s="57"/>
      <c r="E24" s="45"/>
    </row>
    <row r="25" spans="1:5">
      <c r="A25" s="45"/>
      <c r="C25" s="45"/>
      <c r="D25" s="57"/>
      <c r="E25" s="45"/>
    </row>
    <row r="26" spans="1:5">
      <c r="A26" s="58"/>
    </row>
    <row r="28" spans="1:5" ht="12.75" customHeight="1"/>
    <row r="29" spans="1:5" ht="15.75" customHeight="1"/>
    <row r="30" spans="1:5" ht="26.25" customHeight="1"/>
    <row r="38" ht="12.75" customHeight="1"/>
    <row r="40" ht="15.75" customHeight="1"/>
    <row r="44" ht="39.75" customHeight="1"/>
    <row r="45" ht="12.75" customHeight="1"/>
    <row r="48" ht="18.75" customHeight="1"/>
    <row r="52" ht="12.75" customHeight="1"/>
    <row r="54" ht="24" customHeight="1"/>
    <row r="59" ht="13.5" customHeight="1"/>
    <row r="61" ht="33" customHeight="1"/>
    <row r="64" ht="56.25" customHeight="1"/>
  </sheetData>
  <mergeCells count="9">
    <mergeCell ref="A5:D5"/>
    <mergeCell ref="E5:H5"/>
    <mergeCell ref="A6:A11"/>
    <mergeCell ref="E6:E11"/>
    <mergeCell ref="A1:H2"/>
    <mergeCell ref="A3:D3"/>
    <mergeCell ref="E3:H3"/>
    <mergeCell ref="A4:D4"/>
    <mergeCell ref="E4:H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69CC-7DF0-45EA-A3B8-92297930D108}">
  <dimension ref="A1:R28"/>
  <sheetViews>
    <sheetView zoomScale="90" zoomScaleNormal="90" workbookViewId="0">
      <selection activeCell="B31" sqref="B31"/>
    </sheetView>
  </sheetViews>
  <sheetFormatPr defaultColWidth="9.140625" defaultRowHeight="14.25"/>
  <cols>
    <col min="1" max="1" width="5.7109375" style="231" customWidth="1"/>
    <col min="2" max="2" width="75.7109375" style="208" customWidth="1"/>
    <col min="3" max="3" width="20.7109375" style="208" customWidth="1"/>
    <col min="4" max="4" width="9.140625" style="208"/>
    <col min="5" max="5" width="11.28515625" style="208" bestFit="1" customWidth="1"/>
    <col min="6" max="16384" width="9.140625" style="208"/>
  </cols>
  <sheetData>
    <row r="1" spans="1:18" s="207" customFormat="1" ht="45" customHeight="1">
      <c r="A1" s="206"/>
    </row>
    <row r="2" spans="1:18" s="207" customFormat="1" ht="6" customHeight="1">
      <c r="A2" s="401"/>
      <c r="B2" s="401"/>
      <c r="C2" s="402"/>
      <c r="F2" s="208"/>
      <c r="G2" s="208"/>
      <c r="H2" s="208"/>
    </row>
    <row r="3" spans="1:18" s="212" customFormat="1" ht="18.75" thickBot="1">
      <c r="A3" s="2220" t="str">
        <f>'Area Calculations'!B4</f>
        <v>ERAU Residential Hall &amp; Garage Building</v>
      </c>
      <c r="B3" s="2220"/>
      <c r="C3" s="970"/>
      <c r="D3" s="209"/>
      <c r="E3" s="210"/>
      <c r="F3" s="211"/>
      <c r="G3" s="211"/>
      <c r="H3" s="211"/>
    </row>
    <row r="4" spans="1:18" s="211" customFormat="1" ht="9" customHeight="1">
      <c r="C4" s="213"/>
      <c r="L4" s="213"/>
      <c r="N4" s="213"/>
      <c r="P4" s="213"/>
      <c r="R4" s="213"/>
    </row>
    <row r="5" spans="1:18" s="211" customFormat="1" ht="15">
      <c r="A5" s="2221" t="s">
        <v>52</v>
      </c>
      <c r="B5" s="2221"/>
      <c r="C5" s="213"/>
      <c r="L5" s="213"/>
      <c r="N5" s="213"/>
      <c r="P5" s="213"/>
      <c r="R5" s="213"/>
    </row>
    <row r="6" spans="1:18" s="211" customFormat="1">
      <c r="A6" s="2222">
        <f ca="1">TODAY()</f>
        <v>46085</v>
      </c>
      <c r="B6" s="2222"/>
      <c r="C6" s="214"/>
      <c r="L6" s="213"/>
      <c r="N6" s="213"/>
      <c r="P6" s="213"/>
      <c r="R6" s="213"/>
    </row>
    <row r="7" spans="1:18" s="211" customFormat="1"/>
    <row r="8" spans="1:18" ht="15">
      <c r="A8" s="403" t="s">
        <v>53</v>
      </c>
      <c r="B8" s="404" t="s">
        <v>54</v>
      </c>
      <c r="C8" s="405" t="s">
        <v>55</v>
      </c>
    </row>
    <row r="9" spans="1:18" s="218" customFormat="1">
      <c r="A9" s="215">
        <v>1</v>
      </c>
      <c r="B9" s="216"/>
      <c r="C9" s="217"/>
    </row>
    <row r="10" spans="1:18" s="218" customFormat="1">
      <c r="A10" s="219">
        <f>A9+1</f>
        <v>2</v>
      </c>
      <c r="B10" s="216"/>
      <c r="C10" s="220"/>
    </row>
    <row r="11" spans="1:18" s="218" customFormat="1">
      <c r="A11" s="219">
        <f t="shared" ref="A11:A27" si="0">A10+1</f>
        <v>3</v>
      </c>
      <c r="B11" s="216"/>
      <c r="C11" s="220"/>
    </row>
    <row r="12" spans="1:18" s="218" customFormat="1">
      <c r="A12" s="219">
        <f t="shared" si="0"/>
        <v>4</v>
      </c>
      <c r="B12" s="216"/>
      <c r="C12" s="220"/>
    </row>
    <row r="13" spans="1:18" s="218" customFormat="1">
      <c r="A13" s="219">
        <f t="shared" si="0"/>
        <v>5</v>
      </c>
      <c r="B13" s="216"/>
      <c r="C13" s="220"/>
    </row>
    <row r="14" spans="1:18" s="218" customFormat="1">
      <c r="A14" s="219">
        <f t="shared" si="0"/>
        <v>6</v>
      </c>
      <c r="B14" s="216"/>
      <c r="C14" s="220"/>
    </row>
    <row r="15" spans="1:18" s="218" customFormat="1">
      <c r="A15" s="219">
        <f t="shared" si="0"/>
        <v>7</v>
      </c>
      <c r="B15" s="216"/>
      <c r="C15" s="220"/>
    </row>
    <row r="16" spans="1:18" s="218" customFormat="1">
      <c r="A16" s="219">
        <f t="shared" si="0"/>
        <v>8</v>
      </c>
      <c r="B16" s="216"/>
      <c r="C16" s="220"/>
    </row>
    <row r="17" spans="1:3" s="218" customFormat="1">
      <c r="A17" s="219">
        <f t="shared" si="0"/>
        <v>9</v>
      </c>
      <c r="B17" s="216"/>
      <c r="C17" s="220"/>
    </row>
    <row r="18" spans="1:3" s="207" customFormat="1">
      <c r="A18" s="221">
        <f t="shared" si="0"/>
        <v>10</v>
      </c>
      <c r="B18" s="222"/>
      <c r="C18" s="223"/>
    </row>
    <row r="19" spans="1:3" s="218" customFormat="1">
      <c r="A19" s="219">
        <f t="shared" si="0"/>
        <v>11</v>
      </c>
      <c r="B19" s="216"/>
      <c r="C19" s="220"/>
    </row>
    <row r="20" spans="1:3" s="218" customFormat="1">
      <c r="A20" s="219">
        <f t="shared" si="0"/>
        <v>12</v>
      </c>
      <c r="B20" s="216"/>
      <c r="C20" s="220"/>
    </row>
    <row r="21" spans="1:3" s="218" customFormat="1">
      <c r="A21" s="219">
        <f t="shared" si="0"/>
        <v>13</v>
      </c>
      <c r="B21" s="216"/>
      <c r="C21" s="220"/>
    </row>
    <row r="22" spans="1:3" s="218" customFormat="1">
      <c r="A22" s="219">
        <f t="shared" si="0"/>
        <v>14</v>
      </c>
      <c r="B22" s="216"/>
      <c r="C22" s="220"/>
    </row>
    <row r="23" spans="1:3" s="218" customFormat="1">
      <c r="A23" s="219">
        <f t="shared" si="0"/>
        <v>15</v>
      </c>
      <c r="B23" s="216"/>
      <c r="C23" s="220"/>
    </row>
    <row r="24" spans="1:3" s="218" customFormat="1">
      <c r="A24" s="219">
        <f t="shared" si="0"/>
        <v>16</v>
      </c>
      <c r="B24" s="224"/>
      <c r="C24" s="220"/>
    </row>
    <row r="25" spans="1:3" s="218" customFormat="1">
      <c r="A25" s="219">
        <f t="shared" si="0"/>
        <v>17</v>
      </c>
      <c r="B25" s="224"/>
      <c r="C25" s="225"/>
    </row>
    <row r="26" spans="1:3" s="218" customFormat="1">
      <c r="A26" s="219">
        <f t="shared" si="0"/>
        <v>18</v>
      </c>
      <c r="B26" s="224"/>
      <c r="C26" s="225"/>
    </row>
    <row r="27" spans="1:3" s="218" customFormat="1">
      <c r="A27" s="219">
        <f t="shared" si="0"/>
        <v>19</v>
      </c>
      <c r="B27" s="226" t="s">
        <v>56</v>
      </c>
      <c r="C27" s="227">
        <f>SUM(C9:C26)</f>
        <v>0</v>
      </c>
    </row>
    <row r="28" spans="1:3" s="218" customFormat="1">
      <c r="A28" s="228"/>
      <c r="B28" s="229"/>
      <c r="C28" s="230"/>
    </row>
  </sheetData>
  <mergeCells count="3">
    <mergeCell ref="A3:B3"/>
    <mergeCell ref="A5:B5"/>
    <mergeCell ref="A6:B6"/>
  </mergeCells>
  <pageMargins left="0.7" right="0.7" top="0.75" bottom="0.75" header="0.3" footer="0.3"/>
  <pageSetup scale="9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F51A-81D5-45A8-B398-3F7342B272FC}">
  <dimension ref="A1:R38"/>
  <sheetViews>
    <sheetView topLeftCell="A11" zoomScaleNormal="100" workbookViewId="0">
      <selection activeCell="F28" sqref="F28"/>
    </sheetView>
  </sheetViews>
  <sheetFormatPr defaultColWidth="9.140625" defaultRowHeight="14.25"/>
  <cols>
    <col min="1" max="1" width="12.28515625" style="231" customWidth="1"/>
    <col min="2" max="2" width="75.7109375" style="208" customWidth="1"/>
    <col min="3" max="4" width="26.85546875" style="742" bestFit="1" customWidth="1"/>
    <col min="5" max="5" width="21.5703125" style="208" customWidth="1"/>
    <col min="6" max="8" width="14" style="208" bestFit="1" customWidth="1"/>
    <col min="9" max="11" width="9.140625" style="208"/>
    <col min="12" max="12" width="9.140625" style="849"/>
    <col min="13" max="13" width="11.7109375" style="208" bestFit="1" customWidth="1"/>
    <col min="14" max="14" width="10" style="208" bestFit="1" customWidth="1"/>
    <col min="15" max="15" width="12.7109375" style="208" bestFit="1" customWidth="1"/>
    <col min="16" max="16" width="14" style="208" bestFit="1" customWidth="1"/>
    <col min="17" max="16384" width="9.140625" style="208"/>
  </cols>
  <sheetData>
    <row r="1" spans="1:18" s="207" customFormat="1" ht="45" customHeight="1">
      <c r="A1" s="206"/>
      <c r="C1" s="740"/>
      <c r="D1" s="740"/>
      <c r="L1" s="846"/>
    </row>
    <row r="2" spans="1:18" s="207" customFormat="1" ht="6" customHeight="1">
      <c r="A2" s="401"/>
      <c r="B2" s="401"/>
      <c r="C2" s="741"/>
      <c r="D2" s="741"/>
      <c r="F2" s="208"/>
      <c r="G2" s="208"/>
      <c r="H2" s="208"/>
      <c r="L2" s="846"/>
    </row>
    <row r="3" spans="1:18" s="212" customFormat="1" ht="18.75" thickBot="1">
      <c r="A3" s="2220" t="str">
        <f>'Area Calculations'!B4</f>
        <v>ERAU Residential Hall &amp; Garage Building</v>
      </c>
      <c r="B3" s="2220"/>
      <c r="C3" s="971"/>
      <c r="D3" s="971"/>
      <c r="E3" s="210"/>
      <c r="F3" s="211"/>
      <c r="G3" s="211"/>
      <c r="H3" s="211"/>
      <c r="L3" s="847"/>
    </row>
    <row r="4" spans="1:18" s="211" customFormat="1" ht="9" customHeight="1">
      <c r="C4" s="213"/>
      <c r="D4" s="213"/>
      <c r="L4" s="848"/>
      <c r="N4" s="213"/>
      <c r="P4" s="213"/>
      <c r="R4" s="213"/>
    </row>
    <row r="5" spans="1:18" s="211" customFormat="1" ht="15">
      <c r="A5" s="2221" t="s">
        <v>57</v>
      </c>
      <c r="B5" s="2221"/>
      <c r="C5" s="213"/>
      <c r="D5" s="213"/>
      <c r="L5" s="848"/>
      <c r="N5" s="213"/>
      <c r="P5" s="213"/>
      <c r="R5" s="213"/>
    </row>
    <row r="6" spans="1:18" s="211" customFormat="1">
      <c r="A6" s="2222">
        <f ca="1">TODAY()</f>
        <v>46085</v>
      </c>
      <c r="B6" s="2222"/>
      <c r="C6" s="214"/>
      <c r="D6" s="214"/>
      <c r="E6" s="677" t="s">
        <v>58</v>
      </c>
      <c r="F6" s="208">
        <v>1.1200000000000001</v>
      </c>
      <c r="L6" s="848"/>
      <c r="N6" s="213"/>
      <c r="P6" s="213"/>
      <c r="R6" s="213"/>
    </row>
    <row r="7" spans="1:18">
      <c r="A7" s="208"/>
      <c r="D7" s="750">
        <v>0.11067508158271562</v>
      </c>
    </row>
    <row r="8" spans="1:18" ht="15">
      <c r="A8" s="403" t="s">
        <v>53</v>
      </c>
      <c r="B8" s="404" t="s">
        <v>54</v>
      </c>
      <c r="C8" s="405" t="s">
        <v>55</v>
      </c>
      <c r="D8" s="405" t="s">
        <v>59</v>
      </c>
    </row>
    <row r="9" spans="1:18" s="218" customFormat="1" ht="28.5">
      <c r="A9" s="801">
        <v>1</v>
      </c>
      <c r="B9" s="216" t="s">
        <v>60</v>
      </c>
      <c r="C9" s="743">
        <f ca="1">'Cost Summary'!C87</f>
        <v>1002791.1176553417</v>
      </c>
      <c r="D9" s="748">
        <f ca="1">C9*(1+$D$7)</f>
        <v>1113775.1064122692</v>
      </c>
      <c r="L9" s="850"/>
    </row>
    <row r="10" spans="1:18" s="218" customFormat="1" ht="28.5">
      <c r="A10" s="221">
        <f>A9+1</f>
        <v>2</v>
      </c>
      <c r="B10" s="216" t="s">
        <v>61</v>
      </c>
      <c r="C10" s="744">
        <f>'09 90 Painting'!M67</f>
        <v>38975</v>
      </c>
      <c r="D10" s="749">
        <f t="shared" ref="D10:D20" si="0">C10*(1+$D$7)</f>
        <v>43288.561304686336</v>
      </c>
      <c r="L10" s="850"/>
    </row>
    <row r="11" spans="1:18" s="218" customFormat="1" ht="28.5">
      <c r="A11" s="221">
        <f t="shared" ref="A11:A27" si="1">A10+1</f>
        <v>3</v>
      </c>
      <c r="B11" s="216" t="s">
        <v>62</v>
      </c>
      <c r="C11" s="853">
        <f>'12 36 Solid Surface'!I70</f>
        <v>-96475</v>
      </c>
      <c r="D11" s="749">
        <f t="shared" si="0"/>
        <v>-107152.37849569248</v>
      </c>
      <c r="L11" s="850"/>
    </row>
    <row r="12" spans="1:18" s="218" customFormat="1" ht="42.75">
      <c r="A12" s="221">
        <f t="shared" si="1"/>
        <v>4</v>
      </c>
      <c r="B12" s="216" t="s">
        <v>63</v>
      </c>
      <c r="C12" s="744">
        <f>'05 52 Misc. Metals'!K76</f>
        <v>-36060</v>
      </c>
      <c r="D12" s="749">
        <f t="shared" si="0"/>
        <v>-40050.943441872725</v>
      </c>
      <c r="L12" s="850"/>
    </row>
    <row r="13" spans="1:18" s="218" customFormat="1" ht="57">
      <c r="A13" s="221">
        <f t="shared" si="1"/>
        <v>5</v>
      </c>
      <c r="B13" s="216" t="s">
        <v>64</v>
      </c>
      <c r="C13" s="744">
        <f>'09 90 Painting'!K66</f>
        <v>-42400</v>
      </c>
      <c r="D13" s="749">
        <f t="shared" si="0"/>
        <v>-47092.623459107141</v>
      </c>
      <c r="L13" s="850"/>
    </row>
    <row r="14" spans="1:18" s="218" customFormat="1">
      <c r="A14" s="221">
        <f t="shared" si="1"/>
        <v>6</v>
      </c>
      <c r="B14" s="216" t="s">
        <v>65</v>
      </c>
      <c r="C14" s="744">
        <f>500000</f>
        <v>500000</v>
      </c>
      <c r="D14" s="749">
        <f t="shared" si="0"/>
        <v>555337.54079135775</v>
      </c>
      <c r="L14" s="850"/>
    </row>
    <row r="15" spans="1:18" s="218" customFormat="1">
      <c r="A15" s="221">
        <f t="shared" si="1"/>
        <v>7</v>
      </c>
      <c r="B15" s="216" t="s">
        <v>66</v>
      </c>
      <c r="C15" s="744">
        <f>'05 10 Steel'!I79</f>
        <v>403683.72</v>
      </c>
      <c r="D15" s="749">
        <f t="shared" si="0"/>
        <v>448361.44864461408</v>
      </c>
      <c r="L15" s="850"/>
    </row>
    <row r="16" spans="1:18" s="218" customFormat="1" ht="28.5">
      <c r="A16" s="221">
        <f t="shared" si="1"/>
        <v>8</v>
      </c>
      <c r="B16" s="216" t="s">
        <v>67</v>
      </c>
      <c r="C16" s="744">
        <f>294000+4563708.31</f>
        <v>4857708.3099999996</v>
      </c>
      <c r="D16" s="749">
        <f t="shared" si="0"/>
        <v>5395335.5735142846</v>
      </c>
      <c r="L16" s="850"/>
    </row>
    <row r="17" spans="1:16" s="218" customFormat="1">
      <c r="A17" s="221">
        <f t="shared" si="1"/>
        <v>9</v>
      </c>
      <c r="B17" s="216" t="s">
        <v>68</v>
      </c>
      <c r="C17" s="744">
        <v>-10550</v>
      </c>
      <c r="D17" s="749">
        <f t="shared" si="0"/>
        <v>-11717.622110697648</v>
      </c>
      <c r="L17" s="850"/>
    </row>
    <row r="18" spans="1:16" s="218" customFormat="1">
      <c r="A18" s="221">
        <f t="shared" si="1"/>
        <v>10</v>
      </c>
      <c r="B18" s="224" t="str">
        <f>'ERUA Cost Summary'!B114</f>
        <v>Assigned wallcoverings</v>
      </c>
      <c r="C18" s="745">
        <v>175000</v>
      </c>
      <c r="D18" s="749">
        <f t="shared" ref="D18" si="2">C18*(1+$D$7)</f>
        <v>194368.13927697521</v>
      </c>
      <c r="L18" s="850"/>
    </row>
    <row r="19" spans="1:16" s="218" customFormat="1">
      <c r="A19" s="221">
        <f t="shared" si="1"/>
        <v>11</v>
      </c>
      <c r="B19" s="224" t="str">
        <f>'ERUA Cost Summary'!B115</f>
        <v xml:space="preserve">Full Tile Kitchen Backsplashes </v>
      </c>
      <c r="C19" s="745">
        <v>18500</v>
      </c>
      <c r="D19" s="749">
        <f t="shared" si="0"/>
        <v>20547.489009280238</v>
      </c>
      <c r="L19" s="850"/>
    </row>
    <row r="20" spans="1:16" s="218" customFormat="1">
      <c r="A20" s="221">
        <f t="shared" si="1"/>
        <v>12</v>
      </c>
      <c r="B20" s="224" t="str">
        <f>'ERUA Cost Summary'!B116</f>
        <v xml:space="preserve">30-Inch Trash Chutes </v>
      </c>
      <c r="C20" s="745">
        <v>7608.8699999999953</v>
      </c>
      <c r="D20" s="749">
        <f t="shared" si="0"/>
        <v>8450.9823080022725</v>
      </c>
      <c r="L20" s="850"/>
    </row>
    <row r="21" spans="1:16" s="218" customFormat="1">
      <c r="A21" s="221">
        <f t="shared" si="1"/>
        <v>13</v>
      </c>
      <c r="B21" s="224" t="str">
        <f>'ERUA Cost Summary'!B117</f>
        <v>Wallcoverings identified in Addendum 1</v>
      </c>
      <c r="C21" s="745">
        <v>303578</v>
      </c>
      <c r="D21" s="749">
        <f t="shared" ref="D21:D27" si="3">C21*(1+$D$7)</f>
        <v>337176.5199167176</v>
      </c>
    </row>
    <row r="22" spans="1:16" s="218" customFormat="1">
      <c r="A22" s="221">
        <f t="shared" si="1"/>
        <v>14</v>
      </c>
      <c r="B22" s="224" t="str">
        <f>'ERUA Cost Summary'!B118</f>
        <v>Vinyl Flooring System with integral sound attenuation layer</v>
      </c>
      <c r="C22" s="854">
        <f>'09 60 Flooring'!I59</f>
        <v>-124910</v>
      </c>
      <c r="D22" s="749">
        <f t="shared" si="3"/>
        <v>-138734.42444049701</v>
      </c>
    </row>
    <row r="23" spans="1:16" s="218" customFormat="1">
      <c r="A23" s="221">
        <f t="shared" si="1"/>
        <v>15</v>
      </c>
      <c r="B23" s="224" t="str">
        <f>'ERUA Cost Summary'!B119</f>
        <v>CPVC Piping in lieu of Copper up to 1 1/2"                           Deduct</v>
      </c>
      <c r="C23" s="854">
        <v>0</v>
      </c>
      <c r="D23" s="749">
        <f t="shared" si="3"/>
        <v>0</v>
      </c>
      <c r="E23" s="218" t="s">
        <v>69</v>
      </c>
    </row>
    <row r="24" spans="1:16" s="218" customFormat="1">
      <c r="A24" s="221"/>
      <c r="B24" s="224" t="str">
        <f>'ERUA Cost Summary'!B120</f>
        <v>Copper Piping in lieu of CPVC up to 1 1/2"                               Add</v>
      </c>
      <c r="C24" s="854">
        <v>300000</v>
      </c>
      <c r="D24" s="749">
        <f t="shared" si="3"/>
        <v>333202.52447481465</v>
      </c>
      <c r="F24" s="218" t="s">
        <v>70</v>
      </c>
      <c r="G24" s="218" t="s">
        <v>71</v>
      </c>
    </row>
    <row r="25" spans="1:16" s="218" customFormat="1">
      <c r="A25" s="221">
        <f>A23+1</f>
        <v>16</v>
      </c>
      <c r="B25" s="224" t="str">
        <f>'ERUA Cost Summary'!B121</f>
        <v xml:space="preserve">Motorized window shades for all public areas and lounges.     </v>
      </c>
      <c r="C25" s="854">
        <f>H25</f>
        <v>182132.36</v>
      </c>
      <c r="D25" s="749">
        <f t="shared" si="3"/>
        <v>202289.87380185249</v>
      </c>
      <c r="F25" s="851">
        <v>131382.35999999999</v>
      </c>
      <c r="G25" s="851">
        <f>203*250</f>
        <v>50750</v>
      </c>
      <c r="H25" s="881">
        <f>F25+G25</f>
        <v>182132.36</v>
      </c>
    </row>
    <row r="26" spans="1:16" s="207" customFormat="1">
      <c r="A26" s="221">
        <f t="shared" si="1"/>
        <v>17</v>
      </c>
      <c r="B26" s="842" t="str">
        <f>'ERUA Cost Summary'!B122</f>
        <v>Automatic door operators -  24 Single doors / 4 Double doors</v>
      </c>
      <c r="C26" s="843">
        <f>P32</f>
        <v>127000</v>
      </c>
      <c r="D26" s="844">
        <f t="shared" si="3"/>
        <v>141055.73536100489</v>
      </c>
      <c r="F26" s="218"/>
      <c r="G26" s="218"/>
      <c r="H26" s="218"/>
      <c r="I26" s="218"/>
      <c r="J26" s="218"/>
      <c r="K26" s="218"/>
      <c r="L26" s="850"/>
      <c r="P26" s="218"/>
    </row>
    <row r="27" spans="1:16" s="207" customFormat="1" ht="42.75">
      <c r="A27" s="221">
        <f t="shared" si="1"/>
        <v>18</v>
      </c>
      <c r="B27" s="842" t="s">
        <v>72</v>
      </c>
      <c r="C27" s="899">
        <f>'12 34 Residential Casework'!AH39</f>
        <v>-188100</v>
      </c>
      <c r="D27" s="844">
        <f t="shared" si="3"/>
        <v>-208917.98284570879</v>
      </c>
      <c r="L27" s="846"/>
    </row>
    <row r="28" spans="1:16" s="218" customFormat="1">
      <c r="A28" s="234"/>
      <c r="B28" s="226" t="s">
        <v>56</v>
      </c>
      <c r="C28" s="746">
        <f ca="1">SUM(C9:C27)</f>
        <v>7418482.3776553422</v>
      </c>
      <c r="D28" s="746">
        <f ca="1">SUM(D9:D27)</f>
        <v>8239523.5200222842</v>
      </c>
      <c r="M28" s="218" t="s">
        <v>73</v>
      </c>
      <c r="N28" s="218" t="s">
        <v>74</v>
      </c>
      <c r="O28" s="218" t="s">
        <v>75</v>
      </c>
    </row>
    <row r="29" spans="1:16">
      <c r="A29" s="232"/>
      <c r="B29" s="233"/>
      <c r="C29" s="747"/>
      <c r="D29" s="747"/>
      <c r="M29" s="207" t="s">
        <v>76</v>
      </c>
      <c r="N29" s="207"/>
      <c r="O29" s="207"/>
    </row>
    <row r="30" spans="1:16">
      <c r="A30" s="232"/>
      <c r="B30" s="233"/>
      <c r="C30" s="747"/>
      <c r="D30" s="747"/>
      <c r="F30" s="218" t="s">
        <v>77</v>
      </c>
      <c r="G30" s="218"/>
      <c r="H30" s="218"/>
      <c r="I30" s="218"/>
      <c r="J30" s="218"/>
      <c r="K30" s="845" t="s">
        <v>78</v>
      </c>
      <c r="L30" s="850">
        <v>24</v>
      </c>
      <c r="M30" s="851">
        <v>3500</v>
      </c>
      <c r="N30" s="851">
        <v>500</v>
      </c>
      <c r="O30" s="851">
        <v>0</v>
      </c>
      <c r="P30" s="851">
        <f>L30*(M30+N30+O30)</f>
        <v>96000</v>
      </c>
    </row>
    <row r="31" spans="1:16">
      <c r="A31" s="232"/>
      <c r="B31" s="233"/>
      <c r="C31" s="747"/>
      <c r="D31" s="747"/>
      <c r="F31" s="218" t="s">
        <v>79</v>
      </c>
      <c r="G31" s="218"/>
      <c r="H31" s="218"/>
      <c r="I31" s="218"/>
      <c r="J31" s="218"/>
      <c r="K31" s="845" t="s">
        <v>78</v>
      </c>
      <c r="L31" s="850">
        <v>4</v>
      </c>
      <c r="M31" s="851">
        <v>6000</v>
      </c>
      <c r="N31" s="851">
        <v>250</v>
      </c>
      <c r="O31" s="851">
        <v>1500</v>
      </c>
      <c r="P31" s="851">
        <f>L31*(M31+N31+O31)</f>
        <v>31000</v>
      </c>
    </row>
    <row r="32" spans="1:16">
      <c r="A32" s="232"/>
      <c r="B32" s="233"/>
      <c r="C32" s="747"/>
      <c r="D32" s="747"/>
      <c r="F32" s="207"/>
      <c r="G32" s="207"/>
      <c r="H32" s="207"/>
      <c r="I32" s="207"/>
      <c r="J32" s="207"/>
      <c r="K32" s="207"/>
      <c r="L32" s="846"/>
      <c r="M32" s="207"/>
      <c r="N32" s="207"/>
      <c r="O32" s="207"/>
      <c r="P32" s="852">
        <f>SUM(P30:P31)</f>
        <v>127000</v>
      </c>
    </row>
    <row r="33" spans="1:12">
      <c r="A33" s="232"/>
      <c r="B33" s="233"/>
      <c r="C33" s="747"/>
      <c r="D33" s="747"/>
    </row>
    <row r="34" spans="1:12">
      <c r="A34" s="232"/>
      <c r="B34" s="233"/>
      <c r="C34" s="747"/>
      <c r="D34" s="747"/>
    </row>
    <row r="35" spans="1:12" s="218" customFormat="1" ht="14.45" customHeight="1">
      <c r="A35" s="894"/>
      <c r="B35" s="895" t="s">
        <v>80</v>
      </c>
      <c r="C35" s="893">
        <f>'31 32 Soil Stabilization'!N9-'31 32 Soil Stabilization'!H9</f>
        <v>-682500</v>
      </c>
      <c r="D35" s="749">
        <f>C35*(1+$D$7)</f>
        <v>-758035.74318020337</v>
      </c>
      <c r="L35" s="850"/>
    </row>
    <row r="36" spans="1:12" s="218" customFormat="1">
      <c r="A36" s="894"/>
      <c r="B36" s="895" t="s">
        <v>81</v>
      </c>
      <c r="C36" s="893">
        <v>-400000</v>
      </c>
      <c r="D36" s="749">
        <f>C36*(1+$D$7)</f>
        <v>-444270.0326330862</v>
      </c>
      <c r="L36" s="850"/>
    </row>
    <row r="37" spans="1:12" s="218" customFormat="1" ht="25.5">
      <c r="A37" s="894"/>
      <c r="B37" s="896" t="s">
        <v>82</v>
      </c>
      <c r="C37" s="893">
        <v>-1000000</v>
      </c>
      <c r="D37" s="749">
        <f>C37*(1+$D$7)</f>
        <v>-1110675.0815827155</v>
      </c>
      <c r="L37" s="850"/>
    </row>
    <row r="38" spans="1:12" ht="25.5">
      <c r="A38" s="894"/>
      <c r="B38" s="896" t="s">
        <v>83</v>
      </c>
      <c r="C38" s="897">
        <f>-2137000</f>
        <v>-2137000</v>
      </c>
      <c r="D38" s="749">
        <f>C38*(1+$D$7)</f>
        <v>-2373512.6493422631</v>
      </c>
    </row>
  </sheetData>
  <mergeCells count="3">
    <mergeCell ref="A3:B3"/>
    <mergeCell ref="A5:B5"/>
    <mergeCell ref="A6:B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7702-6198-464B-86F5-E046F0E36B8A}">
  <sheetPr>
    <tabColor rgb="FFFF0000"/>
    <pageSetUpPr fitToPage="1"/>
  </sheetPr>
  <dimension ref="A1:U162"/>
  <sheetViews>
    <sheetView topLeftCell="A121" zoomScaleNormal="100" zoomScaleSheetLayoutView="110" workbookViewId="0">
      <selection activeCell="H140" sqref="H140"/>
    </sheetView>
  </sheetViews>
  <sheetFormatPr defaultColWidth="9.140625" defaultRowHeight="12.75"/>
  <cols>
    <col min="1" max="1" width="14.42578125" style="644" customWidth="1"/>
    <col min="2" max="2" width="84.42578125" style="589" bestFit="1" customWidth="1"/>
    <col min="3" max="3" width="24.140625" style="589" bestFit="1" customWidth="1"/>
    <col min="4" max="4" width="4.7109375" style="589" customWidth="1"/>
    <col min="5" max="5" width="19.7109375" style="589" customWidth="1"/>
    <col min="6" max="6" width="9.140625" style="589"/>
    <col min="7" max="7" width="14.7109375" style="883" customWidth="1"/>
    <col min="8" max="13" width="12.7109375" style="589" customWidth="1"/>
    <col min="14" max="15" width="14" style="589" bestFit="1" customWidth="1"/>
    <col min="16" max="24" width="12.7109375" style="589" customWidth="1"/>
    <col min="25" max="16384" width="9.140625" style="589"/>
  </cols>
  <sheetData>
    <row r="1" spans="1:21" ht="29.25" customHeight="1">
      <c r="A1" s="2223" t="s">
        <v>84</v>
      </c>
      <c r="B1" s="2224"/>
      <c r="C1" s="2225"/>
      <c r="D1" s="2226"/>
      <c r="E1" s="2227"/>
    </row>
    <row r="2" spans="1:21">
      <c r="A2" s="590"/>
      <c r="B2" s="591"/>
      <c r="C2" s="592"/>
      <c r="E2" s="593"/>
    </row>
    <row r="3" spans="1:21" ht="47.45" customHeight="1" thickBot="1">
      <c r="A3" s="594"/>
      <c r="B3" s="595" t="s">
        <v>85</v>
      </c>
      <c r="C3" s="596" t="s">
        <v>86</v>
      </c>
      <c r="E3" s="597">
        <v>578663</v>
      </c>
    </row>
    <row r="4" spans="1:21" ht="13.5" thickBot="1">
      <c r="A4" s="590"/>
      <c r="B4" s="591"/>
      <c r="C4" s="598"/>
      <c r="E4" s="599"/>
    </row>
    <row r="5" spans="1:21" ht="34.15" customHeight="1" thickBot="1">
      <c r="A5" s="600" t="s">
        <v>87</v>
      </c>
      <c r="B5" s="601"/>
      <c r="C5" s="602" t="s">
        <v>88</v>
      </c>
      <c r="D5" s="610"/>
      <c r="E5" s="602" t="s">
        <v>56</v>
      </c>
    </row>
    <row r="6" spans="1:21" ht="15">
      <c r="A6" s="603">
        <v>1</v>
      </c>
      <c r="B6" s="604" t="s">
        <v>89</v>
      </c>
      <c r="C6" s="605">
        <f t="shared" ref="C6:C37" si="0">+E6/$E$3</f>
        <v>7.6708747187116986</v>
      </c>
      <c r="E6" s="972">
        <f>'Cost Summary'!E11+'Cost Summary'!E12</f>
        <v>4438851.3773538675</v>
      </c>
    </row>
    <row r="7" spans="1:21" ht="15">
      <c r="A7" s="973">
        <v>1</v>
      </c>
      <c r="B7" s="974" t="s">
        <v>90</v>
      </c>
      <c r="C7" s="975">
        <f t="shared" si="0"/>
        <v>0.10350238394367706</v>
      </c>
      <c r="E7" s="972">
        <f>'Cost Summary'!E13</f>
        <v>59893</v>
      </c>
    </row>
    <row r="8" spans="1:21" ht="15">
      <c r="A8" s="973">
        <v>1</v>
      </c>
      <c r="B8" s="974" t="s">
        <v>91</v>
      </c>
      <c r="C8" s="975">
        <f t="shared" si="0"/>
        <v>3.078902938139914</v>
      </c>
      <c r="E8" s="972">
        <f>'Cost Summary'!E15</f>
        <v>1781647.2108928571</v>
      </c>
    </row>
    <row r="9" spans="1:21" ht="15">
      <c r="A9" s="973">
        <v>1</v>
      </c>
      <c r="B9" s="976" t="s">
        <v>92</v>
      </c>
      <c r="C9" s="975">
        <f t="shared" si="0"/>
        <v>0.86406077457864072</v>
      </c>
      <c r="E9" s="977">
        <v>500000</v>
      </c>
      <c r="G9" s="883">
        <v>0</v>
      </c>
      <c r="H9" s="883">
        <f>E9-G9</f>
        <v>500000</v>
      </c>
    </row>
    <row r="10" spans="1:21" ht="15">
      <c r="A10" s="978">
        <v>2</v>
      </c>
      <c r="B10" s="976" t="s">
        <v>93</v>
      </c>
      <c r="C10" s="975">
        <f t="shared" si="0"/>
        <v>2.2806723636113673</v>
      </c>
      <c r="E10" s="977">
        <f>'Cost Summary'!E63</f>
        <v>1319740.7119444446</v>
      </c>
      <c r="G10" s="883">
        <v>0</v>
      </c>
      <c r="H10" s="883">
        <f>E10-G10</f>
        <v>1319740.7119444446</v>
      </c>
      <c r="J10" s="773">
        <f>SUM(E10:E13)</f>
        <v>4699395.8129206104</v>
      </c>
      <c r="K10" s="772">
        <f>'Cost Summary'!E62+'Cost Summary'!E63+'Cost Summary'!E64+'Cost Summary'!E65+'Cost Summary'!E66</f>
        <v>4699395.8129206114</v>
      </c>
      <c r="L10" s="773">
        <f>J10-K10</f>
        <v>0</v>
      </c>
    </row>
    <row r="11" spans="1:21" ht="15">
      <c r="A11" s="973">
        <v>2</v>
      </c>
      <c r="B11" s="974" t="s">
        <v>94</v>
      </c>
      <c r="C11" s="975">
        <f t="shared" si="0"/>
        <v>3.4730843869566561</v>
      </c>
      <c r="E11" s="979">
        <f>'Cost Summary'!E62+'Cost Summary'!E63+'Cost Summary'!E64+'Cost Summary'!E65-N11-E10</f>
        <v>2009745.4306094996</v>
      </c>
      <c r="G11" s="883">
        <v>3329486.1425539441</v>
      </c>
      <c r="H11" s="883">
        <f>E11-G11</f>
        <v>-1319740.7119444446</v>
      </c>
      <c r="N11" s="770">
        <f>O11*1.1</f>
        <v>903601.7906666667</v>
      </c>
      <c r="O11" s="771">
        <f>SUM(P11:U11)</f>
        <v>821456.17333333334</v>
      </c>
      <c r="P11" s="769">
        <f>P12</f>
        <v>149328</v>
      </c>
      <c r="Q11" s="769">
        <f t="shared" ref="Q11:T11" si="1">Q12</f>
        <v>86403.333333333343</v>
      </c>
      <c r="R11" s="769">
        <f t="shared" si="1"/>
        <v>1512</v>
      </c>
      <c r="S11" s="769">
        <f t="shared" si="1"/>
        <v>22090.53</v>
      </c>
      <c r="T11" s="769">
        <f t="shared" si="1"/>
        <v>183470</v>
      </c>
      <c r="U11" s="769">
        <f>P13</f>
        <v>378652.31</v>
      </c>
    </row>
    <row r="12" spans="1:21" ht="15">
      <c r="A12" s="973">
        <v>2</v>
      </c>
      <c r="B12" s="974" t="s">
        <v>95</v>
      </c>
      <c r="C12" s="975">
        <f t="shared" si="0"/>
        <v>0.84174078810407216</v>
      </c>
      <c r="E12" s="979">
        <f>N12</f>
        <v>487084.24966666673</v>
      </c>
      <c r="K12" s="772"/>
      <c r="L12" s="772"/>
      <c r="N12" s="770">
        <f>O12*1.1</f>
        <v>487084.24966666673</v>
      </c>
      <c r="O12" s="771">
        <f>SUM(P12:U12)</f>
        <v>442803.86333333334</v>
      </c>
      <c r="P12" s="769">
        <f>'31 30 Site Work'!I68</f>
        <v>149328</v>
      </c>
      <c r="Q12" s="769">
        <f>'31 30 Site Work'!I74</f>
        <v>86403.333333333343</v>
      </c>
      <c r="R12" s="769">
        <f>'31 30 Site Work'!I75</f>
        <v>1512</v>
      </c>
      <c r="S12" s="769">
        <f>'31 30 Site Work'!I132</f>
        <v>22090.53</v>
      </c>
      <c r="T12" s="769">
        <f>SUM('31 30 Site Work'!I142:I145)</f>
        <v>183470</v>
      </c>
    </row>
    <row r="13" spans="1:21" ht="15">
      <c r="A13" s="973">
        <v>2</v>
      </c>
      <c r="B13" s="974" t="s">
        <v>96</v>
      </c>
      <c r="C13" s="975">
        <f t="shared" si="0"/>
        <v>1.5256296336555129</v>
      </c>
      <c r="E13" s="979">
        <f>'Cost Summary'!E66+N13</f>
        <v>882825.42070000002</v>
      </c>
      <c r="K13" s="773"/>
      <c r="L13" s="773"/>
      <c r="N13" s="770">
        <f>O13*1.1</f>
        <v>416517.54100000003</v>
      </c>
      <c r="O13" s="771">
        <f>SUM(P13:U13)</f>
        <v>378652.31</v>
      </c>
      <c r="P13" s="769">
        <f>SUM('31 30 Site Work'!I78:I83)</f>
        <v>378652.31</v>
      </c>
    </row>
    <row r="14" spans="1:21" ht="15">
      <c r="A14" s="973">
        <v>3</v>
      </c>
      <c r="B14" s="974" t="s">
        <v>97</v>
      </c>
      <c r="C14" s="975">
        <f t="shared" si="0"/>
        <v>9.8222243804540224</v>
      </c>
      <c r="E14" s="979">
        <f>'Cost Summary'!E16-E16</f>
        <v>5683757.8266666662</v>
      </c>
      <c r="G14" s="883">
        <v>5757857.8266666662</v>
      </c>
      <c r="H14" s="883">
        <f>E14-G14</f>
        <v>-74100</v>
      </c>
    </row>
    <row r="15" spans="1:21" ht="15">
      <c r="A15" s="973">
        <v>3</v>
      </c>
      <c r="B15" s="980" t="s">
        <v>98</v>
      </c>
      <c r="C15" s="975">
        <f t="shared" si="0"/>
        <v>36.75326744581907</v>
      </c>
      <c r="E15" s="979">
        <f>'Cost Summary'!E17-E9</f>
        <v>21267756</v>
      </c>
      <c r="G15" s="883">
        <v>21767756</v>
      </c>
      <c r="H15" s="883">
        <f>E15-G15</f>
        <v>-500000</v>
      </c>
      <c r="I15" s="883"/>
    </row>
    <row r="16" spans="1:21" ht="15">
      <c r="A16" s="978">
        <v>4</v>
      </c>
      <c r="B16" s="980" t="s">
        <v>99</v>
      </c>
      <c r="C16" s="975">
        <f t="shared" si="0"/>
        <v>0.12805380679255457</v>
      </c>
      <c r="E16" s="981">
        <f>'03 30 CIP Concrete'!K76+'03 30 CIP Concrete'!K77</f>
        <v>74100</v>
      </c>
      <c r="H16" s="883">
        <f>E16-G16</f>
        <v>74100</v>
      </c>
    </row>
    <row r="17" spans="1:19" ht="15">
      <c r="A17" s="973">
        <v>5</v>
      </c>
      <c r="B17" s="974" t="s">
        <v>100</v>
      </c>
      <c r="C17" s="975">
        <f t="shared" si="0"/>
        <v>0.61037391823911347</v>
      </c>
      <c r="E17" s="979">
        <f>'Cost Summary'!E19</f>
        <v>353200.80265000009</v>
      </c>
    </row>
    <row r="18" spans="1:19" ht="15">
      <c r="A18" s="973">
        <v>5</v>
      </c>
      <c r="B18" s="974" t="s">
        <v>101</v>
      </c>
      <c r="C18" s="975">
        <f t="shared" si="0"/>
        <v>0</v>
      </c>
      <c r="E18" s="979">
        <v>0</v>
      </c>
      <c r="G18" s="883">
        <v>25450.99</v>
      </c>
      <c r="H18" s="883">
        <f>E18-G18</f>
        <v>-25450.99</v>
      </c>
    </row>
    <row r="19" spans="1:19" ht="15">
      <c r="A19" s="973">
        <v>5</v>
      </c>
      <c r="B19" s="974" t="s">
        <v>102</v>
      </c>
      <c r="C19" s="975">
        <f t="shared" si="0"/>
        <v>0</v>
      </c>
      <c r="E19" s="979">
        <v>0</v>
      </c>
    </row>
    <row r="20" spans="1:19" ht="15">
      <c r="A20" s="973">
        <v>5</v>
      </c>
      <c r="B20" s="974" t="s">
        <v>103</v>
      </c>
      <c r="C20" s="975">
        <f t="shared" si="0"/>
        <v>0.5839969116739796</v>
      </c>
      <c r="E20" s="979">
        <f>'Cost Summary'!E20</f>
        <v>337937.40490000008</v>
      </c>
    </row>
    <row r="21" spans="1:19" ht="15">
      <c r="A21" s="973">
        <v>6</v>
      </c>
      <c r="B21" s="974" t="s">
        <v>104</v>
      </c>
      <c r="C21" s="975">
        <f t="shared" si="0"/>
        <v>0.5785791490280181</v>
      </c>
      <c r="E21" s="979">
        <f>'Cost Summary'!E22</f>
        <v>334802.34611400001</v>
      </c>
      <c r="G21" s="883">
        <v>1323589.8356580003</v>
      </c>
      <c r="H21" s="883">
        <f>E21-G21</f>
        <v>-988787.48954400024</v>
      </c>
      <c r="J21" s="773">
        <f>E21</f>
        <v>334802.34611400001</v>
      </c>
      <c r="K21" s="772">
        <f>'Cost Summary'!E22+'Cost Summary'!E47+'Cost Summary'!E48</f>
        <v>1684491.1879739999</v>
      </c>
      <c r="L21" s="773">
        <f>J21-K21</f>
        <v>-1349688.8418599998</v>
      </c>
      <c r="O21" s="771">
        <f>SUM(P21:U21)</f>
        <v>1684491.1879739999</v>
      </c>
      <c r="P21" s="772">
        <f>'Cost Summary'!E22</f>
        <v>334802.34611400001</v>
      </c>
      <c r="Q21" s="772">
        <f>'Cost Summary'!E47</f>
        <v>793220.85119399999</v>
      </c>
      <c r="R21" s="772">
        <f>'Cost Summary'!E48</f>
        <v>556467.99066600006</v>
      </c>
    </row>
    <row r="22" spans="1:19" ht="15">
      <c r="A22" s="973">
        <v>6</v>
      </c>
      <c r="B22" s="974" t="s">
        <v>105</v>
      </c>
      <c r="C22" s="975">
        <f t="shared" si="0"/>
        <v>0.8535036800348389</v>
      </c>
      <c r="E22" s="979">
        <f>'Cost Summary'!C21</f>
        <v>493891</v>
      </c>
    </row>
    <row r="23" spans="1:19" ht="15">
      <c r="A23" s="973">
        <v>7</v>
      </c>
      <c r="B23" s="974" t="s">
        <v>106</v>
      </c>
      <c r="C23" s="975">
        <f t="shared" si="0"/>
        <v>1.564622870164327</v>
      </c>
      <c r="E23" s="979">
        <f>'Cost Summary'!E23+'Cost Summary'!E28+'Cost Summary'!E29</f>
        <v>905389.3639178999</v>
      </c>
      <c r="J23" s="773">
        <f>E23</f>
        <v>905389.3639178999</v>
      </c>
      <c r="K23" s="772">
        <f>'Cost Summary'!E23+'Cost Summary'!E29+'Cost Summary'!E28</f>
        <v>905389.3639178999</v>
      </c>
      <c r="L23" s="773">
        <f>J23-K23</f>
        <v>0</v>
      </c>
      <c r="O23" s="771">
        <f>SUM(P23:U23)</f>
        <v>905389.3639178999</v>
      </c>
      <c r="P23" s="772">
        <f>'Cost Summary'!E23</f>
        <v>714322.6139178999</v>
      </c>
      <c r="Q23" s="772">
        <f>'Cost Summary'!E28</f>
        <v>19366.75</v>
      </c>
      <c r="R23" s="772">
        <f>'Cost Summary'!E29</f>
        <v>171700</v>
      </c>
    </row>
    <row r="24" spans="1:19" ht="15">
      <c r="A24" s="973">
        <v>7</v>
      </c>
      <c r="B24" s="974" t="s">
        <v>107</v>
      </c>
      <c r="C24" s="975">
        <f t="shared" si="0"/>
        <v>2.2571615750445426</v>
      </c>
      <c r="E24" s="979">
        <f>'Cost Summary'!E25</f>
        <v>1306135.8885000001</v>
      </c>
    </row>
    <row r="25" spans="1:19" ht="15">
      <c r="A25" s="973">
        <v>7</v>
      </c>
      <c r="B25" s="982" t="s">
        <v>108</v>
      </c>
      <c r="C25" s="975">
        <f t="shared" si="0"/>
        <v>2.2803687120137281</v>
      </c>
      <c r="E25" s="979">
        <f>'Cost Summary'!E26</f>
        <v>1319565</v>
      </c>
    </row>
    <row r="26" spans="1:19" ht="15">
      <c r="A26" s="973">
        <v>7</v>
      </c>
      <c r="B26" s="982" t="s">
        <v>109</v>
      </c>
      <c r="C26" s="975">
        <f t="shared" si="0"/>
        <v>0.1521991210773801</v>
      </c>
      <c r="E26" s="979">
        <f>'Cost Summary'!E27</f>
        <v>88072</v>
      </c>
    </row>
    <row r="27" spans="1:19" ht="15">
      <c r="A27" s="973">
        <v>8</v>
      </c>
      <c r="B27" s="974" t="s">
        <v>110</v>
      </c>
      <c r="C27" s="975">
        <f t="shared" si="0"/>
        <v>2.9704930157967588</v>
      </c>
      <c r="E27" s="979">
        <f>'Cost Summary'!E30-N27</f>
        <v>1718914.4</v>
      </c>
      <c r="J27" s="773">
        <f>E27+E28</f>
        <v>2093315.9</v>
      </c>
      <c r="K27" s="772">
        <f>'Cost Summary'!E30</f>
        <v>2093315.9</v>
      </c>
      <c r="L27" s="773">
        <f>J27-K27</f>
        <v>0</v>
      </c>
      <c r="N27" s="770">
        <f>O27*1.1</f>
        <v>374401.50000000006</v>
      </c>
      <c r="O27" s="771">
        <f>SUM(P27:U27)</f>
        <v>340365</v>
      </c>
      <c r="P27" s="769">
        <f>'08 10 DFH'!I155+'08 10 DFH'!I159</f>
        <v>340365</v>
      </c>
    </row>
    <row r="28" spans="1:19" ht="15">
      <c r="A28" s="973">
        <v>8</v>
      </c>
      <c r="B28" s="974" t="s">
        <v>111</v>
      </c>
      <c r="C28" s="975">
        <f t="shared" si="0"/>
        <v>0.64701130018681008</v>
      </c>
      <c r="E28" s="979">
        <f>N27</f>
        <v>374401.50000000006</v>
      </c>
    </row>
    <row r="29" spans="1:19" ht="15">
      <c r="A29" s="973">
        <v>8</v>
      </c>
      <c r="B29" s="974" t="s">
        <v>112</v>
      </c>
      <c r="C29" s="975">
        <f t="shared" si="0"/>
        <v>7.342043548317414</v>
      </c>
      <c r="E29" s="979">
        <f>'Cost Summary'!E33-N33</f>
        <v>4248568.9457999999</v>
      </c>
      <c r="J29" s="773">
        <f>E29+E33</f>
        <v>5059090</v>
      </c>
      <c r="K29" s="772">
        <f>'Cost Summary'!E33</f>
        <v>5059090</v>
      </c>
      <c r="L29" s="773">
        <f>J29-K29</f>
        <v>0</v>
      </c>
    </row>
    <row r="30" spans="1:19" ht="15">
      <c r="A30" s="973">
        <v>8</v>
      </c>
      <c r="B30" s="974" t="s">
        <v>113</v>
      </c>
      <c r="C30" s="975">
        <f t="shared" si="0"/>
        <v>5.1454473501848223E-2</v>
      </c>
      <c r="E30" s="979">
        <f>'Cost Summary'!E32</f>
        <v>29774.799999999999</v>
      </c>
    </row>
    <row r="31" spans="1:19" ht="15">
      <c r="A31" s="973">
        <v>8</v>
      </c>
      <c r="B31" s="974" t="s">
        <v>114</v>
      </c>
      <c r="C31" s="975">
        <f t="shared" si="0"/>
        <v>0.13567438726580647</v>
      </c>
      <c r="E31" s="979">
        <f>S31</f>
        <v>78509.74795839336</v>
      </c>
      <c r="J31" s="773">
        <f>E31+E32</f>
        <v>563645.84568749997</v>
      </c>
      <c r="K31" s="772">
        <f>'Cost Summary'!E31</f>
        <v>563645.84568749997</v>
      </c>
      <c r="L31" s="773">
        <f>J31-K31</f>
        <v>0</v>
      </c>
      <c r="N31" s="770">
        <f t="shared" ref="N31:N32" si="2">O31*1.1</f>
        <v>0</v>
      </c>
      <c r="O31" s="771"/>
      <c r="P31" s="769">
        <f>'08 32 Hangar Doors'!G40</f>
        <v>77732.423721181549</v>
      </c>
      <c r="Q31" s="777">
        <v>0.01</v>
      </c>
      <c r="R31" s="769">
        <f>P31*Q31</f>
        <v>777.32423721181556</v>
      </c>
      <c r="S31" s="769">
        <f>P31+R31</f>
        <v>78509.74795839336</v>
      </c>
    </row>
    <row r="32" spans="1:19" ht="15">
      <c r="A32" s="973">
        <v>8</v>
      </c>
      <c r="B32" s="982" t="s">
        <v>115</v>
      </c>
      <c r="C32" s="975">
        <f t="shared" si="0"/>
        <v>0.83837414475974215</v>
      </c>
      <c r="E32" s="979">
        <f>S32</f>
        <v>485136.09772910667</v>
      </c>
      <c r="N32" s="770">
        <f t="shared" si="2"/>
        <v>0</v>
      </c>
      <c r="O32" s="771"/>
      <c r="P32" s="769">
        <f>'08 32 Hangar Doors'!G39</f>
        <v>480332.77002881846</v>
      </c>
      <c r="Q32" s="777">
        <v>0.01</v>
      </c>
      <c r="R32" s="769">
        <f>P32*Q32</f>
        <v>4803.327700288185</v>
      </c>
      <c r="S32" s="769">
        <f>P32+R32</f>
        <v>485136.09772910667</v>
      </c>
    </row>
    <row r="33" spans="1:16" ht="15">
      <c r="A33" s="973">
        <v>8</v>
      </c>
      <c r="B33" s="982" t="s">
        <v>116</v>
      </c>
      <c r="C33" s="975">
        <f t="shared" si="0"/>
        <v>1.4006788998086972</v>
      </c>
      <c r="E33" s="979">
        <f>N33</f>
        <v>810521.05420000013</v>
      </c>
      <c r="N33" s="770">
        <f>O33*1.1</f>
        <v>810521.05420000013</v>
      </c>
      <c r="O33" s="771">
        <f>SUM(P33:U33)</f>
        <v>736837.32200000004</v>
      </c>
      <c r="P33" s="769">
        <f>SUM('08 50 Storefront &amp; Windows'!G44:G47)</f>
        <v>736837.32200000004</v>
      </c>
    </row>
    <row r="34" spans="1:16" ht="15">
      <c r="A34" s="973">
        <v>9</v>
      </c>
      <c r="B34" s="974" t="s">
        <v>117</v>
      </c>
      <c r="C34" s="975">
        <f t="shared" si="0"/>
        <v>7.974186266445237</v>
      </c>
      <c r="E34" s="979">
        <f>'Cost Summary'!E34</f>
        <v>4614366.5475000003</v>
      </c>
    </row>
    <row r="35" spans="1:16" ht="15">
      <c r="A35" s="973">
        <v>9</v>
      </c>
      <c r="B35" s="974" t="s">
        <v>118</v>
      </c>
      <c r="C35" s="975">
        <f t="shared" si="0"/>
        <v>0.5360620603010734</v>
      </c>
      <c r="E35" s="979">
        <f>'Cost Summary'!E37</f>
        <v>310199.28000000003</v>
      </c>
      <c r="N35" s="769"/>
      <c r="O35" s="769"/>
      <c r="P35" s="769"/>
    </row>
    <row r="36" spans="1:16" ht="15">
      <c r="A36" s="973">
        <v>9</v>
      </c>
      <c r="B36" s="974" t="s">
        <v>119</v>
      </c>
      <c r="C36" s="975">
        <f t="shared" si="0"/>
        <v>1.4731073664637275</v>
      </c>
      <c r="E36" s="979">
        <f>'Cost Summary'!E41</f>
        <v>852432.728</v>
      </c>
      <c r="O36" s="769"/>
    </row>
    <row r="37" spans="1:16" ht="15">
      <c r="A37" s="973">
        <v>9</v>
      </c>
      <c r="B37" s="974" t="s">
        <v>120</v>
      </c>
      <c r="C37" s="975">
        <f t="shared" si="0"/>
        <v>0.9663545453882485</v>
      </c>
      <c r="E37" s="979">
        <f>'Cost Summary'!E35+'Cost Summary'!E38</f>
        <v>559193.62029800005</v>
      </c>
    </row>
    <row r="38" spans="1:16" ht="15">
      <c r="A38" s="973">
        <v>9</v>
      </c>
      <c r="B38" s="974" t="s">
        <v>121</v>
      </c>
      <c r="C38" s="975">
        <f t="shared" ref="C38:C57" si="3">+E38/$E$3</f>
        <v>1.6956276796684773</v>
      </c>
      <c r="E38" s="979">
        <f>SUM('ERUA Cost Summary'!E81:E84)</f>
        <v>981197</v>
      </c>
      <c r="P38" s="773"/>
    </row>
    <row r="39" spans="1:16" ht="15">
      <c r="A39" s="973">
        <v>9</v>
      </c>
      <c r="B39" s="974" t="s">
        <v>122</v>
      </c>
      <c r="C39" s="975">
        <f t="shared" si="3"/>
        <v>0.19667664374601451</v>
      </c>
      <c r="E39" s="979">
        <f>'Cost Summary'!E40</f>
        <v>113809.4967</v>
      </c>
    </row>
    <row r="40" spans="1:16" ht="15">
      <c r="A40" s="973">
        <v>10</v>
      </c>
      <c r="B40" s="974" t="s">
        <v>123</v>
      </c>
      <c r="C40" s="975">
        <f t="shared" si="3"/>
        <v>0.10536298329079274</v>
      </c>
      <c r="E40" s="979">
        <f>'Cost Summary'!E44</f>
        <v>60969.66</v>
      </c>
    </row>
    <row r="41" spans="1:16" ht="15">
      <c r="A41" s="973">
        <v>10</v>
      </c>
      <c r="B41" s="974" t="s">
        <v>124</v>
      </c>
      <c r="C41" s="975">
        <f t="shared" si="3"/>
        <v>0.52880766024439096</v>
      </c>
      <c r="E41" s="979">
        <f>'Cost Summary'!E43</f>
        <v>306001.42710000003</v>
      </c>
    </row>
    <row r="42" spans="1:16" ht="15">
      <c r="A42" s="973">
        <v>10</v>
      </c>
      <c r="B42" s="974" t="s">
        <v>125</v>
      </c>
      <c r="C42" s="975">
        <f t="shared" si="3"/>
        <v>0</v>
      </c>
      <c r="E42" s="979">
        <v>0</v>
      </c>
    </row>
    <row r="43" spans="1:16" ht="15">
      <c r="A43" s="973">
        <v>10</v>
      </c>
      <c r="B43" s="974" t="s">
        <v>126</v>
      </c>
      <c r="C43" s="975">
        <f t="shared" si="3"/>
        <v>0</v>
      </c>
      <c r="E43" s="979">
        <v>0</v>
      </c>
    </row>
    <row r="44" spans="1:16" ht="15">
      <c r="A44" s="973">
        <v>10</v>
      </c>
      <c r="B44" s="974" t="s">
        <v>127</v>
      </c>
      <c r="C44" s="975">
        <f t="shared" si="3"/>
        <v>3.4562430983145633E-2</v>
      </c>
      <c r="E44" s="979">
        <f>'Cost Summary'!C42</f>
        <v>20000</v>
      </c>
    </row>
    <row r="45" spans="1:16" ht="15">
      <c r="A45" s="973">
        <v>11</v>
      </c>
      <c r="B45" s="974" t="s">
        <v>128</v>
      </c>
      <c r="C45" s="975">
        <f t="shared" si="3"/>
        <v>0.91488255903868054</v>
      </c>
      <c r="E45" s="979">
        <f>'Cost Summary'!E45</f>
        <v>529408.686261</v>
      </c>
    </row>
    <row r="46" spans="1:16" ht="15">
      <c r="A46" s="978">
        <v>12</v>
      </c>
      <c r="B46" s="974" t="s">
        <v>129</v>
      </c>
      <c r="C46" s="975">
        <f t="shared" si="3"/>
        <v>2.3324263722754006</v>
      </c>
      <c r="E46" s="981">
        <f>'Cost Summary'!E47+'Cost Summary'!E48</f>
        <v>1349688.84186</v>
      </c>
      <c r="G46" s="883">
        <v>0</v>
      </c>
      <c r="H46" s="883">
        <f>E46-G46</f>
        <v>1349688.84186</v>
      </c>
    </row>
    <row r="47" spans="1:16" ht="15">
      <c r="A47" s="973">
        <v>12</v>
      </c>
      <c r="B47" s="974" t="s">
        <v>130</v>
      </c>
      <c r="C47" s="975">
        <f t="shared" si="3"/>
        <v>0.28778200783530311</v>
      </c>
      <c r="E47" s="979">
        <f>'Cost Summary'!E46</f>
        <v>166528.79999999999</v>
      </c>
    </row>
    <row r="48" spans="1:16" ht="15">
      <c r="A48" s="978">
        <v>13</v>
      </c>
      <c r="B48" s="980" t="s">
        <v>131</v>
      </c>
      <c r="C48" s="975">
        <f t="shared" si="3"/>
        <v>4.3982404266386485E-2</v>
      </c>
      <c r="E48" s="981">
        <f>'Cost Summary'!E49</f>
        <v>25450.99</v>
      </c>
      <c r="G48" s="883">
        <v>0</v>
      </c>
      <c r="H48" s="883">
        <f>E48-G48</f>
        <v>25450.99</v>
      </c>
    </row>
    <row r="49" spans="1:5" ht="15">
      <c r="A49" s="973">
        <v>14</v>
      </c>
      <c r="B49" s="974" t="s">
        <v>132</v>
      </c>
      <c r="C49" s="975">
        <f t="shared" si="3"/>
        <v>1.9791121948353358</v>
      </c>
      <c r="E49" s="979">
        <f>'Cost Summary'!E50</f>
        <v>1145239</v>
      </c>
    </row>
    <row r="50" spans="1:5" ht="15">
      <c r="A50" s="973">
        <v>14</v>
      </c>
      <c r="B50" s="974" t="s">
        <v>133</v>
      </c>
      <c r="C50" s="975">
        <f t="shared" si="3"/>
        <v>0.19974310695517081</v>
      </c>
      <c r="E50" s="979">
        <f>'Cost Summary'!E51</f>
        <v>115583.9455</v>
      </c>
    </row>
    <row r="51" spans="1:5" ht="15">
      <c r="A51" s="973">
        <v>15</v>
      </c>
      <c r="B51" s="974" t="s">
        <v>134</v>
      </c>
      <c r="C51" s="975">
        <f t="shared" si="3"/>
        <v>0</v>
      </c>
      <c r="E51" s="979">
        <v>0</v>
      </c>
    </row>
    <row r="52" spans="1:5" ht="15">
      <c r="A52" s="973">
        <v>15</v>
      </c>
      <c r="B52" s="974" t="s">
        <v>135</v>
      </c>
      <c r="C52" s="975">
        <f t="shared" si="3"/>
        <v>17.986785659356137</v>
      </c>
      <c r="E52" s="979">
        <f>'Cost Summary'!E55</f>
        <v>10408287.35</v>
      </c>
    </row>
    <row r="53" spans="1:5" ht="15">
      <c r="A53" s="973">
        <v>15</v>
      </c>
      <c r="B53" s="974" t="s">
        <v>136</v>
      </c>
      <c r="C53" s="975">
        <f t="shared" si="3"/>
        <v>1.4170596703089708</v>
      </c>
      <c r="E53" s="979">
        <f>'Cost Summary'!E54</f>
        <v>820000</v>
      </c>
    </row>
    <row r="54" spans="1:5" ht="15">
      <c r="A54" s="973">
        <v>15</v>
      </c>
      <c r="B54" s="982" t="s">
        <v>137</v>
      </c>
      <c r="C54" s="975">
        <f t="shared" si="3"/>
        <v>5.8014524412309063</v>
      </c>
      <c r="E54" s="979">
        <f>'Cost Summary'!E53</f>
        <v>3357085.8739999998</v>
      </c>
    </row>
    <row r="55" spans="1:5" ht="15">
      <c r="A55" s="973">
        <v>15</v>
      </c>
      <c r="B55" s="974" t="s">
        <v>138</v>
      </c>
      <c r="C55" s="975">
        <f t="shared" si="3"/>
        <v>2.3132323334134028</v>
      </c>
      <c r="E55" s="979">
        <f>'Cost Summary'!E52</f>
        <v>1338581.96175</v>
      </c>
    </row>
    <row r="56" spans="1:5" ht="15">
      <c r="A56" s="973">
        <v>15</v>
      </c>
      <c r="B56" s="974" t="s">
        <v>139</v>
      </c>
      <c r="C56" s="975">
        <f t="shared" si="3"/>
        <v>0.15708624881839689</v>
      </c>
      <c r="E56" s="979">
        <f>'Cost Summary'!E57</f>
        <v>90900</v>
      </c>
    </row>
    <row r="57" spans="1:5" ht="15">
      <c r="A57" s="973">
        <v>16</v>
      </c>
      <c r="B57" s="974" t="s">
        <v>140</v>
      </c>
      <c r="C57" s="975">
        <f t="shared" si="3"/>
        <v>21.200134983574205</v>
      </c>
      <c r="E57" s="979">
        <f>'Cost Summary'!E56</f>
        <v>12267733.710000001</v>
      </c>
    </row>
    <row r="58" spans="1:5" ht="15">
      <c r="A58" s="973">
        <v>16</v>
      </c>
      <c r="B58" s="974" t="s">
        <v>141</v>
      </c>
      <c r="C58" s="975"/>
      <c r="E58" s="979" t="s">
        <v>142</v>
      </c>
    </row>
    <row r="59" spans="1:5" ht="15">
      <c r="A59" s="973">
        <v>16</v>
      </c>
      <c r="B59" s="974" t="s">
        <v>143</v>
      </c>
      <c r="C59" s="975"/>
      <c r="E59" s="979" t="s">
        <v>142</v>
      </c>
    </row>
    <row r="60" spans="1:5" ht="15">
      <c r="A60" s="973">
        <v>16</v>
      </c>
      <c r="B60" s="974" t="s">
        <v>144</v>
      </c>
      <c r="C60" s="975"/>
      <c r="E60" s="979" t="s">
        <v>145</v>
      </c>
    </row>
    <row r="61" spans="1:5" ht="15">
      <c r="A61" s="973">
        <v>16</v>
      </c>
      <c r="B61" s="974" t="s">
        <v>146</v>
      </c>
      <c r="C61" s="975"/>
      <c r="E61" s="979" t="s">
        <v>145</v>
      </c>
    </row>
    <row r="62" spans="1:5" ht="15">
      <c r="A62" s="973">
        <v>16</v>
      </c>
      <c r="B62" s="974" t="s">
        <v>147</v>
      </c>
      <c r="C62" s="975">
        <f>+E62/$E$3</f>
        <v>2.120473237445629</v>
      </c>
      <c r="E62" s="979">
        <f>'Cost Summary'!E58+'Cost Summary'!E59</f>
        <v>1227039.405</v>
      </c>
    </row>
    <row r="63" spans="1:5" ht="15">
      <c r="A63" s="973">
        <v>16</v>
      </c>
      <c r="B63" s="974" t="s">
        <v>148</v>
      </c>
      <c r="C63" s="975">
        <f>+E63/$E$3</f>
        <v>1.5121063555126213</v>
      </c>
      <c r="E63" s="979">
        <f>'Cost Summary'!E60</f>
        <v>875000</v>
      </c>
    </row>
    <row r="64" spans="1:5" ht="15">
      <c r="A64" s="973">
        <v>16</v>
      </c>
      <c r="B64" s="974" t="s">
        <v>149</v>
      </c>
      <c r="C64" s="975"/>
      <c r="E64" s="979" t="s">
        <v>145</v>
      </c>
    </row>
    <row r="65" spans="1:9" ht="15">
      <c r="A65" s="973">
        <v>16</v>
      </c>
      <c r="B65" s="974" t="s">
        <v>150</v>
      </c>
      <c r="C65" s="975"/>
      <c r="E65" s="979" t="s">
        <v>151</v>
      </c>
    </row>
    <row r="66" spans="1:9" ht="17.25" customHeight="1" thickBot="1">
      <c r="A66" s="983"/>
      <c r="B66" s="984" t="s">
        <v>152</v>
      </c>
      <c r="C66" s="985">
        <f>+E66/$E$3</f>
        <v>-1.0564909984685256</v>
      </c>
      <c r="E66" s="986">
        <f>'Cost Summary'!E67</f>
        <v>-611352.25064679235</v>
      </c>
    </row>
    <row r="67" spans="1:9" ht="24" customHeight="1" thickBot="1">
      <c r="A67" s="606"/>
      <c r="B67" s="607"/>
      <c r="C67" s="608" t="s">
        <v>153</v>
      </c>
      <c r="E67" s="609">
        <f>SUM(E6:E66)</f>
        <v>92313567.652925581</v>
      </c>
      <c r="H67" s="882">
        <f>SUM(H6:H66)</f>
        <v>360901.3523159998</v>
      </c>
    </row>
    <row r="68" spans="1:9" ht="19.5" customHeight="1" thickBot="1">
      <c r="A68" s="855"/>
      <c r="B68" s="856"/>
      <c r="C68" s="857"/>
      <c r="E68" s="858"/>
      <c r="G68" s="883">
        <v>93676708.581325606</v>
      </c>
      <c r="H68" s="773">
        <f>E67</f>
        <v>92313567.652925581</v>
      </c>
      <c r="I68" s="773">
        <f>G68-H68</f>
        <v>1363140.9284000248</v>
      </c>
    </row>
    <row r="69" spans="1:9" s="610" customFormat="1" ht="18" customHeight="1" thickBot="1">
      <c r="A69" s="859"/>
      <c r="B69" s="860" t="s">
        <v>154</v>
      </c>
      <c r="C69" s="861"/>
      <c r="D69" s="589"/>
      <c r="E69" s="862"/>
      <c r="F69" s="589"/>
      <c r="G69" s="884"/>
    </row>
    <row r="70" spans="1:9" ht="15">
      <c r="A70" s="660">
        <v>40</v>
      </c>
      <c r="B70" s="902" t="s">
        <v>155</v>
      </c>
      <c r="C70" s="987"/>
      <c r="E70" s="667">
        <f>'Cost Summary'!C81</f>
        <v>1482135.7247345466</v>
      </c>
    </row>
    <row r="71" spans="1:9" ht="15">
      <c r="A71" s="660">
        <v>41</v>
      </c>
      <c r="B71" s="902" t="s">
        <v>156</v>
      </c>
      <c r="C71" s="987"/>
      <c r="E71" s="979">
        <v>0</v>
      </c>
    </row>
    <row r="72" spans="1:9" ht="15">
      <c r="A72" s="660">
        <v>43</v>
      </c>
      <c r="B72" s="903" t="s">
        <v>157</v>
      </c>
      <c r="C72" s="987"/>
      <c r="E72" s="979">
        <f ca="1">'Cost Summary'!C83</f>
        <v>3624546.2083928017</v>
      </c>
    </row>
    <row r="73" spans="1:9" ht="15">
      <c r="A73" s="660">
        <v>44</v>
      </c>
      <c r="B73" s="903" t="s">
        <v>158</v>
      </c>
      <c r="C73" s="987"/>
      <c r="E73" s="979">
        <f>'Cost Summary'!C72</f>
        <v>0</v>
      </c>
    </row>
    <row r="74" spans="1:9" ht="15">
      <c r="A74" s="660">
        <v>45</v>
      </c>
      <c r="B74" s="903" t="s">
        <v>159</v>
      </c>
      <c r="C74" s="987"/>
      <c r="E74" s="979">
        <f>'Cost Summary'!C79+'Cost Summary'!C80</f>
        <v>738508.5412234047</v>
      </c>
    </row>
    <row r="75" spans="1:9" ht="15">
      <c r="A75" s="660">
        <v>46</v>
      </c>
      <c r="B75" s="902" t="s">
        <v>160</v>
      </c>
      <c r="C75" s="987"/>
      <c r="E75" s="979">
        <f>'Cost Summary'!C78</f>
        <v>1318120.7441335761</v>
      </c>
    </row>
    <row r="76" spans="1:9" ht="15.75" thickBot="1">
      <c r="A76" s="660">
        <v>47</v>
      </c>
      <c r="B76" s="902" t="s">
        <v>161</v>
      </c>
      <c r="C76" s="987"/>
      <c r="E76" s="986">
        <f ca="1">'Cost Summary'!C76</f>
        <v>802232.89412427344</v>
      </c>
    </row>
    <row r="77" spans="1:9" ht="25.15" customHeight="1" thickBot="1">
      <c r="A77" s="661"/>
      <c r="B77" s="662"/>
      <c r="C77" s="608" t="s">
        <v>153</v>
      </c>
      <c r="E77" s="891">
        <f ca="1">SUM(E69:E76)</f>
        <v>7965544.1126086023</v>
      </c>
    </row>
    <row r="78" spans="1:9" ht="28.9" customHeight="1" thickBot="1">
      <c r="A78" s="612"/>
      <c r="B78" s="613"/>
      <c r="C78" s="614" t="s">
        <v>162</v>
      </c>
      <c r="E78" s="615">
        <f ca="1">E67+E77</f>
        <v>100279111.76553418</v>
      </c>
    </row>
    <row r="79" spans="1:9" ht="21" customHeight="1" thickBot="1">
      <c r="A79" s="917"/>
      <c r="B79" s="918" t="s">
        <v>163</v>
      </c>
      <c r="C79" s="863"/>
      <c r="E79" s="864"/>
    </row>
    <row r="80" spans="1:9" ht="15.75" customHeight="1">
      <c r="A80" s="665" t="s">
        <v>164</v>
      </c>
      <c r="B80" s="666" t="s">
        <v>125</v>
      </c>
      <c r="C80" s="605"/>
      <c r="E80" s="667">
        <v>20000</v>
      </c>
    </row>
    <row r="81" spans="1:5" ht="15.75" customHeight="1">
      <c r="A81" s="988" t="s">
        <v>165</v>
      </c>
      <c r="B81" s="989" t="s">
        <v>166</v>
      </c>
      <c r="C81" s="975"/>
      <c r="E81" s="979">
        <f>100027*4.75</f>
        <v>475128.25</v>
      </c>
    </row>
    <row r="82" spans="1:5" ht="15.75" customHeight="1">
      <c r="A82" s="988" t="s">
        <v>167</v>
      </c>
      <c r="B82" s="989" t="s">
        <v>168</v>
      </c>
      <c r="C82" s="975"/>
      <c r="E82" s="979">
        <f>51810*4</f>
        <v>207240</v>
      </c>
    </row>
    <row r="83" spans="1:5" ht="15.75" customHeight="1">
      <c r="A83" s="988" t="s">
        <v>169</v>
      </c>
      <c r="B83" s="989" t="s">
        <v>170</v>
      </c>
      <c r="C83" s="975"/>
      <c r="E83" s="979">
        <f>12385*4.75</f>
        <v>58828.75</v>
      </c>
    </row>
    <row r="84" spans="1:5" ht="15.75" customHeight="1">
      <c r="A84" s="988" t="s">
        <v>171</v>
      </c>
      <c r="B84" s="989" t="s">
        <v>172</v>
      </c>
      <c r="C84" s="975"/>
      <c r="E84" s="979">
        <f>30000*8</f>
        <v>240000</v>
      </c>
    </row>
    <row r="85" spans="1:5" ht="15.75" customHeight="1">
      <c r="A85" s="988" t="s">
        <v>173</v>
      </c>
      <c r="B85" s="989" t="s">
        <v>174</v>
      </c>
      <c r="C85" s="975"/>
      <c r="E85" s="979">
        <v>500000</v>
      </c>
    </row>
    <row r="86" spans="1:5" ht="15.75" customHeight="1">
      <c r="A86" s="988" t="s">
        <v>175</v>
      </c>
      <c r="B86" s="989" t="s">
        <v>176</v>
      </c>
      <c r="C86" s="975"/>
      <c r="E86" s="979">
        <v>10000</v>
      </c>
    </row>
    <row r="87" spans="1:5" ht="15.75" customHeight="1">
      <c r="A87" s="988" t="s">
        <v>177</v>
      </c>
      <c r="B87" s="989" t="s">
        <v>178</v>
      </c>
      <c r="C87" s="975"/>
      <c r="E87" s="979">
        <v>20000</v>
      </c>
    </row>
    <row r="88" spans="1:5" ht="15.75" customHeight="1">
      <c r="A88" s="988" t="s">
        <v>179</v>
      </c>
      <c r="B88" s="989" t="s">
        <v>180</v>
      </c>
      <c r="C88" s="975"/>
      <c r="E88" s="979">
        <v>15000</v>
      </c>
    </row>
    <row r="89" spans="1:5" ht="15.75" customHeight="1">
      <c r="A89" s="988" t="s">
        <v>181</v>
      </c>
      <c r="B89" s="989" t="s">
        <v>182</v>
      </c>
      <c r="C89" s="975"/>
      <c r="E89" s="979">
        <v>100000</v>
      </c>
    </row>
    <row r="90" spans="1:5" ht="15.75" customHeight="1">
      <c r="A90" s="841" t="s">
        <v>183</v>
      </c>
      <c r="B90" s="989" t="s">
        <v>184</v>
      </c>
      <c r="C90" s="975"/>
      <c r="E90" s="979">
        <v>500000</v>
      </c>
    </row>
    <row r="91" spans="1:5" ht="15.75" customHeight="1">
      <c r="A91" s="841" t="s">
        <v>185</v>
      </c>
      <c r="B91" s="989" t="s">
        <v>186</v>
      </c>
      <c r="C91" s="975"/>
      <c r="E91" s="979">
        <v>250000</v>
      </c>
    </row>
    <row r="92" spans="1:5" ht="15.75" customHeight="1">
      <c r="A92" s="841" t="s">
        <v>187</v>
      </c>
      <c r="B92" s="989" t="s">
        <v>188</v>
      </c>
      <c r="C92" s="975"/>
      <c r="E92" s="979">
        <v>375000</v>
      </c>
    </row>
    <row r="93" spans="1:5" ht="15.75" customHeight="1">
      <c r="A93" s="841" t="s">
        <v>189</v>
      </c>
      <c r="B93" s="989" t="s">
        <v>190</v>
      </c>
      <c r="C93" s="975"/>
      <c r="E93" s="979">
        <v>247300</v>
      </c>
    </row>
    <row r="94" spans="1:5" ht="15.75" customHeight="1">
      <c r="A94" s="841" t="s">
        <v>191</v>
      </c>
      <c r="B94" s="989" t="s">
        <v>192</v>
      </c>
      <c r="C94" s="975"/>
      <c r="E94" s="979">
        <v>85000</v>
      </c>
    </row>
    <row r="95" spans="1:5" ht="15.75" customHeight="1">
      <c r="A95" s="865"/>
      <c r="B95" s="989"/>
      <c r="C95" s="975"/>
      <c r="E95" s="979"/>
    </row>
    <row r="96" spans="1:5" ht="15.75" customHeight="1">
      <c r="A96" s="990" t="s">
        <v>193</v>
      </c>
      <c r="B96" s="989" t="s">
        <v>194</v>
      </c>
      <c r="C96" s="975"/>
      <c r="E96" s="979"/>
    </row>
    <row r="97" spans="1:7" ht="15.75" customHeight="1">
      <c r="A97" s="990"/>
      <c r="B97" s="989"/>
      <c r="C97" s="975"/>
      <c r="E97" s="979"/>
    </row>
    <row r="98" spans="1:7" ht="15.75" customHeight="1">
      <c r="A98" s="990"/>
      <c r="B98" s="989"/>
      <c r="C98" s="975"/>
      <c r="E98" s="979"/>
    </row>
    <row r="99" spans="1:7" ht="15.75" customHeight="1">
      <c r="A99" s="990"/>
      <c r="B99" s="989"/>
      <c r="C99" s="975"/>
      <c r="E99" s="979"/>
    </row>
    <row r="100" spans="1:7" ht="15.75" customHeight="1">
      <c r="A100" s="990" t="s">
        <v>195</v>
      </c>
      <c r="B100" s="989" t="s">
        <v>196</v>
      </c>
      <c r="C100" s="975"/>
      <c r="E100" s="991" t="s">
        <v>197</v>
      </c>
    </row>
    <row r="101" spans="1:7" ht="15.75" customHeight="1">
      <c r="A101" s="865"/>
      <c r="B101" s="989"/>
      <c r="C101" s="975"/>
      <c r="E101" s="979"/>
    </row>
    <row r="102" spans="1:7" ht="15.75" customHeight="1" thickBot="1">
      <c r="A102" s="992"/>
      <c r="B102" s="993"/>
      <c r="C102" s="975"/>
      <c r="E102" s="979"/>
    </row>
    <row r="103" spans="1:7" ht="17.25" customHeight="1" thickBot="1">
      <c r="A103" s="617"/>
      <c r="B103" s="618"/>
      <c r="C103" s="611" t="s">
        <v>198</v>
      </c>
      <c r="E103" s="619">
        <f>SUM(E80:E94)</f>
        <v>3103497</v>
      </c>
    </row>
    <row r="104" spans="1:7" ht="15.75" customHeight="1" thickBot="1">
      <c r="A104" s="620"/>
      <c r="B104" s="616" t="s">
        <v>199</v>
      </c>
      <c r="C104" s="866"/>
      <c r="E104" s="866"/>
    </row>
    <row r="105" spans="1:7" ht="15">
      <c r="A105" s="665" t="s">
        <v>200</v>
      </c>
      <c r="B105" s="666" t="s">
        <v>201</v>
      </c>
      <c r="C105" s="975"/>
      <c r="E105" s="667">
        <f ca="1">'Alternate &amp; VE'!D9</f>
        <v>1113775.1064122692</v>
      </c>
    </row>
    <row r="106" spans="1:7" ht="15">
      <c r="A106" s="988" t="s">
        <v>202</v>
      </c>
      <c r="B106" s="989" t="s">
        <v>203</v>
      </c>
      <c r="C106" s="975"/>
      <c r="E106" s="979">
        <f>'Alternate &amp; VE'!D10</f>
        <v>43288.561304686336</v>
      </c>
    </row>
    <row r="107" spans="1:7" s="768" customFormat="1" ht="15">
      <c r="A107" s="988" t="s">
        <v>204</v>
      </c>
      <c r="B107" s="994" t="s">
        <v>205</v>
      </c>
      <c r="C107" s="995"/>
      <c r="D107" s="589"/>
      <c r="E107" s="996">
        <f>'Alternate &amp; VE'!D11</f>
        <v>-107152.37849569248</v>
      </c>
      <c r="G107" s="885"/>
    </row>
    <row r="108" spans="1:7" ht="15">
      <c r="A108" s="988" t="s">
        <v>206</v>
      </c>
      <c r="B108" s="989" t="s">
        <v>207</v>
      </c>
      <c r="C108" s="975"/>
      <c r="E108" s="979">
        <f>'Alternate &amp; VE'!D12</f>
        <v>-40050.943441872725</v>
      </c>
    </row>
    <row r="109" spans="1:7" ht="15">
      <c r="A109" s="988" t="s">
        <v>208</v>
      </c>
      <c r="B109" s="989" t="s">
        <v>209</v>
      </c>
      <c r="C109" s="975"/>
      <c r="E109" s="979">
        <f>'Alternate &amp; VE'!D13</f>
        <v>-47092.623459107141</v>
      </c>
    </row>
    <row r="110" spans="1:7" ht="15">
      <c r="A110" s="988" t="s">
        <v>210</v>
      </c>
      <c r="B110" s="989" t="s">
        <v>211</v>
      </c>
      <c r="C110" s="975"/>
      <c r="E110" s="979">
        <f>'Alternate &amp; VE'!D14</f>
        <v>555337.54079135775</v>
      </c>
    </row>
    <row r="111" spans="1:7" ht="15">
      <c r="A111" s="988" t="s">
        <v>212</v>
      </c>
      <c r="B111" s="989" t="s">
        <v>213</v>
      </c>
      <c r="C111" s="975"/>
      <c r="E111" s="979">
        <f>'Alternate &amp; VE'!D15</f>
        <v>448361.44864461408</v>
      </c>
    </row>
    <row r="112" spans="1:7" ht="15">
      <c r="A112" s="988" t="s">
        <v>214</v>
      </c>
      <c r="B112" s="989" t="s">
        <v>215</v>
      </c>
      <c r="C112" s="975"/>
      <c r="E112" s="979">
        <f>'Alternate &amp; VE'!D16</f>
        <v>5395335.5735142846</v>
      </c>
    </row>
    <row r="113" spans="1:7" ht="15">
      <c r="A113" s="988" t="s">
        <v>216</v>
      </c>
      <c r="B113" s="989" t="s">
        <v>217</v>
      </c>
      <c r="C113" s="975"/>
      <c r="E113" s="979">
        <f>'Alternate &amp; VE'!D17</f>
        <v>-11717.622110697648</v>
      </c>
    </row>
    <row r="114" spans="1:7" ht="15">
      <c r="A114" s="988" t="s">
        <v>218</v>
      </c>
      <c r="B114" s="989" t="s">
        <v>219</v>
      </c>
      <c r="C114" s="975"/>
      <c r="E114" s="979">
        <f>'Alternate &amp; VE'!D18</f>
        <v>194368.13927697521</v>
      </c>
    </row>
    <row r="115" spans="1:7" ht="15">
      <c r="A115" s="988" t="s">
        <v>220</v>
      </c>
      <c r="B115" s="989" t="s">
        <v>221</v>
      </c>
      <c r="C115" s="975"/>
      <c r="E115" s="979">
        <f>'Alternate &amp; VE'!D19</f>
        <v>20547.489009280238</v>
      </c>
    </row>
    <row r="116" spans="1:7" ht="15">
      <c r="A116" s="988" t="s">
        <v>222</v>
      </c>
      <c r="B116" s="989" t="s">
        <v>223</v>
      </c>
      <c r="C116" s="975"/>
      <c r="E116" s="979">
        <f>'Alternate &amp; VE'!D20</f>
        <v>8450.9823080022725</v>
      </c>
    </row>
    <row r="117" spans="1:7" ht="15">
      <c r="A117" s="988" t="s">
        <v>224</v>
      </c>
      <c r="B117" s="989" t="s">
        <v>225</v>
      </c>
      <c r="C117" s="975"/>
      <c r="E117" s="979">
        <f>'Alternate &amp; VE'!D21</f>
        <v>337176.5199167176</v>
      </c>
    </row>
    <row r="118" spans="1:7" ht="15">
      <c r="A118" s="988" t="s">
        <v>226</v>
      </c>
      <c r="B118" s="989" t="s">
        <v>227</v>
      </c>
      <c r="C118" s="975"/>
      <c r="E118" s="981">
        <f>'Alternate &amp; VE'!D22</f>
        <v>-138734.42444049701</v>
      </c>
    </row>
    <row r="119" spans="1:7" ht="15">
      <c r="A119" s="988" t="s">
        <v>228</v>
      </c>
      <c r="B119" s="994" t="s">
        <v>229</v>
      </c>
      <c r="C119" s="995"/>
      <c r="E119" s="997" t="s">
        <v>69</v>
      </c>
    </row>
    <row r="120" spans="1:7" ht="15">
      <c r="A120" s="988"/>
      <c r="B120" s="994" t="s">
        <v>230</v>
      </c>
      <c r="C120" s="995"/>
      <c r="E120" s="981">
        <f>'Alternate &amp; VE'!D24</f>
        <v>333202.52447481465</v>
      </c>
    </row>
    <row r="121" spans="1:7" ht="15">
      <c r="A121" s="988" t="s">
        <v>231</v>
      </c>
      <c r="B121" s="989" t="s">
        <v>232</v>
      </c>
      <c r="C121" s="995"/>
      <c r="E121" s="981">
        <f>'Alternate &amp; VE'!D25</f>
        <v>202289.87380185249</v>
      </c>
    </row>
    <row r="122" spans="1:7" s="768" customFormat="1" ht="15">
      <c r="A122" s="988" t="s">
        <v>233</v>
      </c>
      <c r="B122" s="989" t="s">
        <v>234</v>
      </c>
      <c r="C122" s="995"/>
      <c r="D122" s="589"/>
      <c r="E122" s="998">
        <f>'Alternate &amp; VE'!D26</f>
        <v>141055.73536100489</v>
      </c>
      <c r="G122" s="885"/>
    </row>
    <row r="123" spans="1:7" s="768" customFormat="1" ht="15">
      <c r="A123" s="988" t="s">
        <v>235</v>
      </c>
      <c r="B123" s="989" t="s">
        <v>236</v>
      </c>
      <c r="C123" s="999"/>
      <c r="D123" s="589"/>
      <c r="E123" s="996">
        <f>'Alternate &amp; VE'!D27</f>
        <v>-208917.98284570879</v>
      </c>
      <c r="G123" s="885"/>
    </row>
    <row r="124" spans="1:7" s="768" customFormat="1" ht="15.75">
      <c r="A124" s="1000"/>
      <c r="B124" s="994"/>
      <c r="C124" s="999"/>
      <c r="D124" s="589"/>
      <c r="E124" s="1001"/>
      <c r="G124" s="885"/>
    </row>
    <row r="125" spans="1:7" s="768" customFormat="1" ht="15.75">
      <c r="A125" s="1000"/>
      <c r="B125" s="989"/>
      <c r="C125" s="999"/>
      <c r="D125" s="589"/>
      <c r="E125" s="1001"/>
      <c r="G125" s="885"/>
    </row>
    <row r="126" spans="1:7" s="768" customFormat="1" ht="15.75">
      <c r="A126" s="1000"/>
      <c r="B126" s="989"/>
      <c r="C126" s="999"/>
      <c r="D126" s="589"/>
      <c r="E126" s="1001"/>
      <c r="G126" s="885"/>
    </row>
    <row r="127" spans="1:7" s="768" customFormat="1" ht="15.75">
      <c r="A127" s="1000"/>
      <c r="B127" s="994"/>
      <c r="C127" s="999"/>
      <c r="D127" s="589"/>
      <c r="E127" s="1001"/>
      <c r="G127" s="885"/>
    </row>
    <row r="128" spans="1:7" s="768" customFormat="1" ht="15.75">
      <c r="A128" s="1000"/>
      <c r="B128" s="1002"/>
      <c r="C128" s="999"/>
      <c r="D128" s="589"/>
      <c r="E128" s="1001"/>
      <c r="G128" s="885"/>
    </row>
    <row r="129" spans="1:7" s="768" customFormat="1" ht="16.5" thickBot="1">
      <c r="A129" s="1003"/>
      <c r="B129" s="1004"/>
      <c r="C129" s="1005"/>
      <c r="D129" s="589"/>
      <c r="E129" s="1001"/>
      <c r="G129" s="885"/>
    </row>
    <row r="130" spans="1:7" ht="22.15" customHeight="1" thickBot="1">
      <c r="A130" s="617"/>
      <c r="B130" s="618"/>
      <c r="C130" s="611" t="s">
        <v>198</v>
      </c>
      <c r="E130" s="619">
        <f ca="1">SUM(E105:E129)</f>
        <v>8239523.5200222842</v>
      </c>
    </row>
    <row r="131" spans="1:7" ht="19.5" customHeight="1" thickBot="1">
      <c r="A131" s="855"/>
      <c r="B131" s="856"/>
      <c r="C131" s="857"/>
      <c r="E131" s="858"/>
    </row>
    <row r="132" spans="1:7" ht="30" customHeight="1" thickBot="1">
      <c r="A132" s="621"/>
      <c r="B132" s="622"/>
      <c r="C132" s="623" t="s">
        <v>237</v>
      </c>
      <c r="E132" s="615">
        <f ca="1">E130+E78</f>
        <v>108518635.28555647</v>
      </c>
    </row>
    <row r="133" spans="1:7" ht="15.75" thickBot="1">
      <c r="A133" s="919"/>
      <c r="B133" s="920"/>
      <c r="C133" s="624"/>
      <c r="E133" s="625"/>
    </row>
    <row r="134" spans="1:7" ht="14.25" customHeight="1" thickBot="1">
      <c r="A134" s="921"/>
      <c r="B134" s="922"/>
      <c r="C134" s="867"/>
      <c r="E134" s="867"/>
    </row>
    <row r="135" spans="1:7" ht="26.45" customHeight="1" thickBot="1">
      <c r="A135" s="626"/>
      <c r="B135" s="627" t="s">
        <v>238</v>
      </c>
      <c r="C135" s="628"/>
      <c r="E135" s="629"/>
    </row>
    <row r="136" spans="1:7" ht="15">
      <c r="A136" s="630"/>
      <c r="B136" s="837" t="s">
        <v>239</v>
      </c>
      <c r="C136" s="838" t="s">
        <v>240</v>
      </c>
      <c r="E136" s="631"/>
    </row>
    <row r="137" spans="1:7" ht="15">
      <c r="A137" s="1006"/>
      <c r="B137" s="1007" t="s">
        <v>241</v>
      </c>
      <c r="C137" s="763" t="s">
        <v>242</v>
      </c>
      <c r="E137" s="1008"/>
    </row>
    <row r="138" spans="1:7" ht="15">
      <c r="A138" s="1009"/>
      <c r="B138" s="632" t="s">
        <v>99</v>
      </c>
      <c r="C138" s="762" t="s">
        <v>243</v>
      </c>
      <c r="E138" s="904"/>
    </row>
    <row r="139" spans="1:7" ht="15">
      <c r="A139" s="1009"/>
      <c r="B139" s="632" t="s">
        <v>244</v>
      </c>
      <c r="C139" s="762" t="s">
        <v>245</v>
      </c>
      <c r="E139" s="904"/>
    </row>
    <row r="140" spans="1:7" ht="15">
      <c r="A140" s="1009"/>
      <c r="B140" s="632" t="s">
        <v>246</v>
      </c>
      <c r="C140" s="762" t="s">
        <v>247</v>
      </c>
      <c r="E140" s="904"/>
    </row>
    <row r="141" spans="1:7" ht="15">
      <c r="A141" s="1009"/>
      <c r="B141" s="632" t="s">
        <v>248</v>
      </c>
      <c r="C141" s="762" t="s">
        <v>249</v>
      </c>
      <c r="E141" s="904"/>
    </row>
    <row r="142" spans="1:7" ht="15">
      <c r="A142" s="1009"/>
      <c r="B142" s="632" t="s">
        <v>135</v>
      </c>
      <c r="C142" s="762" t="s">
        <v>250</v>
      </c>
      <c r="E142" s="904"/>
    </row>
    <row r="143" spans="1:7" ht="15">
      <c r="A143" s="1009"/>
      <c r="B143" s="632" t="s">
        <v>140</v>
      </c>
      <c r="C143" s="762" t="s">
        <v>251</v>
      </c>
      <c r="E143" s="904"/>
    </row>
    <row r="144" spans="1:7" ht="15">
      <c r="A144" s="1009"/>
      <c r="B144" s="632" t="s">
        <v>252</v>
      </c>
      <c r="C144" s="762" t="s">
        <v>253</v>
      </c>
      <c r="E144" s="905"/>
    </row>
    <row r="145" spans="1:7" ht="15">
      <c r="A145" s="633"/>
      <c r="B145" s="632" t="s">
        <v>254</v>
      </c>
      <c r="C145" s="763" t="s">
        <v>242</v>
      </c>
      <c r="E145" s="634"/>
    </row>
    <row r="146" spans="1:7" ht="16.5" thickBot="1">
      <c r="A146" s="1010"/>
      <c r="B146" s="635" t="s">
        <v>255</v>
      </c>
      <c r="C146" s="1011"/>
      <c r="E146" s="1012"/>
    </row>
    <row r="147" spans="1:7" ht="16.5" thickBot="1">
      <c r="A147" s="636"/>
      <c r="B147" s="637"/>
      <c r="C147" s="638"/>
      <c r="E147" s="639"/>
    </row>
    <row r="148" spans="1:7" ht="30.75" customHeight="1" thickBot="1">
      <c r="A148" s="868"/>
      <c r="B148" s="869" t="s">
        <v>256</v>
      </c>
      <c r="C148" s="870"/>
      <c r="E148" s="871" t="s">
        <v>257</v>
      </c>
    </row>
    <row r="149" spans="1:7" ht="30.75" customHeight="1" thickBot="1">
      <c r="A149" s="872"/>
      <c r="B149" s="873" t="s">
        <v>258</v>
      </c>
      <c r="C149" s="870"/>
      <c r="E149" s="668">
        <v>45915</v>
      </c>
    </row>
    <row r="150" spans="1:7" ht="30.75" customHeight="1" thickBot="1">
      <c r="A150" s="872"/>
      <c r="B150" s="874" t="s">
        <v>259</v>
      </c>
      <c r="C150" s="875"/>
      <c r="E150" s="669">
        <v>46612</v>
      </c>
    </row>
    <row r="151" spans="1:7" ht="27" customHeight="1" thickBot="1">
      <c r="A151" s="876"/>
      <c r="B151" s="877"/>
      <c r="C151" s="878"/>
      <c r="E151" s="879"/>
    </row>
    <row r="153" spans="1:7" ht="34.9" customHeight="1">
      <c r="A153" s="640"/>
      <c r="B153" s="641" t="s">
        <v>260</v>
      </c>
      <c r="C153" s="642" t="s">
        <v>261</v>
      </c>
      <c r="E153" s="643" t="s">
        <v>262</v>
      </c>
    </row>
    <row r="154" spans="1:7" s="768" customFormat="1" ht="25.5">
      <c r="A154" s="764">
        <v>1</v>
      </c>
      <c r="B154" s="765" t="s">
        <v>263</v>
      </c>
      <c r="C154" s="766"/>
      <c r="D154" s="589"/>
      <c r="E154" s="767">
        <v>-499470.58418774721</v>
      </c>
      <c r="G154" s="885"/>
    </row>
    <row r="155" spans="1:7" s="768" customFormat="1">
      <c r="A155" s="764">
        <v>2</v>
      </c>
      <c r="B155" s="765" t="s">
        <v>264</v>
      </c>
      <c r="C155" s="766"/>
      <c r="D155" s="589"/>
      <c r="E155" s="767">
        <v>-199921.5146848888</v>
      </c>
      <c r="G155" s="885"/>
    </row>
    <row r="156" spans="1:7" s="768" customFormat="1">
      <c r="A156" s="764">
        <v>3</v>
      </c>
      <c r="B156" s="765" t="s">
        <v>265</v>
      </c>
      <c r="C156" s="766"/>
      <c r="D156" s="589"/>
      <c r="E156" s="767">
        <v>-155494.51142158019</v>
      </c>
      <c r="G156" s="885"/>
    </row>
    <row r="157" spans="1:7" s="768" customFormat="1" ht="25.5">
      <c r="A157" s="764">
        <v>4</v>
      </c>
      <c r="B157" s="765" t="s">
        <v>266</v>
      </c>
      <c r="C157" s="766"/>
      <c r="D157" s="589"/>
      <c r="E157" s="767">
        <f>'Alternate &amp; VE'!D35</f>
        <v>-758035.74318020337</v>
      </c>
      <c r="G157" s="885"/>
    </row>
    <row r="158" spans="1:7" s="768" customFormat="1">
      <c r="A158" s="764">
        <v>5</v>
      </c>
      <c r="B158" s="765" t="s">
        <v>267</v>
      </c>
      <c r="C158" s="766"/>
      <c r="D158" s="589"/>
      <c r="E158" s="767">
        <f>'Alternate &amp; VE'!D36</f>
        <v>-444270.0326330862</v>
      </c>
      <c r="G158" s="885"/>
    </row>
    <row r="159" spans="1:7" s="768" customFormat="1">
      <c r="A159" s="764">
        <v>6</v>
      </c>
      <c r="B159" s="765" t="s">
        <v>82</v>
      </c>
      <c r="C159" s="766"/>
      <c r="D159" s="589"/>
      <c r="E159" s="767">
        <f>'Alternate &amp; VE'!D37</f>
        <v>-1110675.0815827155</v>
      </c>
      <c r="G159" s="885"/>
    </row>
    <row r="160" spans="1:7" s="768" customFormat="1">
      <c r="A160" s="764">
        <v>7</v>
      </c>
      <c r="B160" s="765" t="str">
        <f>'Alternate &amp; VE'!B38</f>
        <v>Aluminum feeders and secondaries 100amp and larger - subject to architect and engineer approval</v>
      </c>
      <c r="C160" s="766"/>
      <c r="D160" s="589"/>
      <c r="E160" s="767">
        <f>'Alternate &amp; VE'!D38</f>
        <v>-2373512.6493422631</v>
      </c>
      <c r="G160" s="885"/>
    </row>
    <row r="161" spans="1:7" s="768" customFormat="1" ht="23.45" customHeight="1" thickBot="1">
      <c r="A161" s="764">
        <v>10</v>
      </c>
      <c r="B161" s="766"/>
      <c r="C161" s="766"/>
      <c r="D161" s="589"/>
      <c r="E161" s="767"/>
      <c r="G161" s="885"/>
    </row>
    <row r="162" spans="1:7" ht="16.5" thickBot="1">
      <c r="C162" s="611" t="s">
        <v>198</v>
      </c>
      <c r="E162" s="892">
        <f>SUM(E154:E161)</f>
        <v>-5541380.1170324842</v>
      </c>
    </row>
  </sheetData>
  <protectedRanges>
    <protectedRange sqref="E67" name="Range1_1_2_1"/>
    <protectedRange sqref="E6:E66" name="Range1_1_1_1_1"/>
    <protectedRange sqref="E70:E76" name="Range1_3_1_1_1"/>
    <protectedRange sqref="D109" name="Range1_1_1_1_2"/>
    <protectedRange sqref="E68" name="Range1_1"/>
    <protectedRange sqref="D104" name="Range1_1_1_1_2_1"/>
    <protectedRange sqref="E131" name="Range1_2"/>
  </protectedRanges>
  <mergeCells count="2">
    <mergeCell ref="A1:B1"/>
    <mergeCell ref="C1:E1"/>
  </mergeCells>
  <pageMargins left="0.7" right="0.7" top="0.75" bottom="0.75" header="0.3" footer="0.3"/>
  <pageSetup scale="77"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58DF-E7FE-442F-9167-A1F7A33310A0}">
  <sheetPr>
    <tabColor theme="4" tint="-0.249977111117893"/>
  </sheetPr>
  <dimension ref="A1:S104"/>
  <sheetViews>
    <sheetView zoomScaleNormal="100" workbookViewId="0">
      <pane xSplit="3" ySplit="9" topLeftCell="D39" activePane="bottomRight" state="frozen"/>
      <selection pane="topRight" activeCell="D1" sqref="D1"/>
      <selection pane="bottomLeft" activeCell="A10" sqref="A10"/>
      <selection pane="bottomRight" activeCell="B42" sqref="B42"/>
    </sheetView>
  </sheetViews>
  <sheetFormatPr defaultRowHeight="15"/>
  <cols>
    <col min="1" max="1" width="12.7109375" bestFit="1" customWidth="1"/>
    <col min="2" max="2" width="47.42578125" customWidth="1"/>
    <col min="3" max="3" width="15" style="235" bestFit="1" customWidth="1"/>
    <col min="4" max="5" width="15" style="235" customWidth="1"/>
    <col min="6" max="8" width="13.7109375" customWidth="1"/>
    <col min="9" max="10" width="13.7109375" hidden="1" customWidth="1"/>
    <col min="11" max="11" width="50.7109375" style="1" hidden="1" customWidth="1"/>
    <col min="12" max="12" width="16.42578125" customWidth="1"/>
    <col min="13" max="13" width="12.7109375" customWidth="1"/>
    <col min="14" max="14" width="15.7109375" bestFit="1" customWidth="1"/>
    <col min="15" max="15" width="12.7109375" customWidth="1"/>
    <col min="16" max="16" width="12.5703125" bestFit="1" customWidth="1"/>
    <col min="17" max="17" width="19" bestFit="1" customWidth="1"/>
    <col min="18" max="18" width="16.28515625" bestFit="1" customWidth="1"/>
    <col min="19" max="19" width="13.85546875" customWidth="1"/>
  </cols>
  <sheetData>
    <row r="1" spans="1:18" s="208" customFormat="1" ht="45" customHeight="1">
      <c r="A1" s="256"/>
      <c r="B1" s="256"/>
    </row>
    <row r="2" spans="1:18" s="208" customFormat="1" ht="6" customHeight="1">
      <c r="A2" s="1013"/>
      <c r="B2" s="1014"/>
      <c r="C2" s="1014"/>
      <c r="D2" s="1014"/>
      <c r="E2" s="1014"/>
      <c r="F2" s="1014"/>
      <c r="G2" s="1014"/>
      <c r="H2" s="1014"/>
      <c r="I2" s="1014"/>
      <c r="J2" s="1014"/>
      <c r="K2" s="1014"/>
    </row>
    <row r="3" spans="1:18" ht="18" customHeight="1">
      <c r="A3" s="2231" t="str">
        <f>'Area Calculations'!B4</f>
        <v>ERAU Residential Hall &amp; Garage Building</v>
      </c>
      <c r="B3" s="2231"/>
      <c r="C3" s="236"/>
      <c r="D3" s="236"/>
      <c r="E3" s="236"/>
      <c r="F3" s="236"/>
      <c r="G3" s="236"/>
      <c r="L3" s="88"/>
    </row>
    <row r="4" spans="1:18" ht="15" customHeight="1">
      <c r="A4" s="257" t="str">
        <f>'Area Calculations'!B5</f>
        <v>Daytona Beach</v>
      </c>
      <c r="B4" s="237"/>
      <c r="C4" s="22" t="s">
        <v>2</v>
      </c>
      <c r="D4" s="22"/>
      <c r="E4" s="22"/>
      <c r="F4" s="944">
        <f>'Area Calculations'!G4</f>
        <v>578663</v>
      </c>
      <c r="G4" s="22" t="s">
        <v>5</v>
      </c>
      <c r="H4" s="1015">
        <f>'Area Calculations'!G6</f>
        <v>6.5699724517906333</v>
      </c>
      <c r="L4" s="88"/>
      <c r="M4" s="329" t="s">
        <v>268</v>
      </c>
    </row>
    <row r="5" spans="1:18" ht="15" customHeight="1">
      <c r="A5" s="2232" t="s">
        <v>269</v>
      </c>
      <c r="B5" s="2232"/>
      <c r="C5" s="22" t="s">
        <v>4</v>
      </c>
      <c r="D5" s="22"/>
      <c r="E5" s="22"/>
      <c r="F5" s="944">
        <f>'Area Calculations'!G5</f>
        <v>0</v>
      </c>
      <c r="G5" s="22" t="s">
        <v>270</v>
      </c>
      <c r="H5" s="944">
        <f>'Area Calculations'!G7</f>
        <v>131</v>
      </c>
      <c r="L5" s="35" t="s">
        <v>271</v>
      </c>
      <c r="M5" s="332" t="s">
        <v>272</v>
      </c>
    </row>
    <row r="6" spans="1:18" ht="15" customHeight="1">
      <c r="A6" s="2233">
        <f ca="1">NOW()</f>
        <v>46085.543620023149</v>
      </c>
      <c r="B6" s="2233"/>
      <c r="C6" s="22" t="s">
        <v>8</v>
      </c>
      <c r="D6" s="22"/>
      <c r="E6" s="22"/>
      <c r="F6" s="944">
        <f>'Area Calculations'!G9</f>
        <v>107</v>
      </c>
      <c r="G6" s="22" t="s">
        <v>270</v>
      </c>
      <c r="H6" s="944">
        <f>'Area Calculations'!G8</f>
        <v>925</v>
      </c>
      <c r="L6" s="35" t="s">
        <v>273</v>
      </c>
      <c r="M6" s="331" t="s">
        <v>274</v>
      </c>
    </row>
    <row r="7" spans="1:18" ht="15" customHeight="1">
      <c r="A7" s="258"/>
      <c r="B7" s="258"/>
      <c r="C7" s="22" t="s">
        <v>9</v>
      </c>
      <c r="D7" s="22"/>
      <c r="E7" s="22"/>
      <c r="F7" s="944">
        <f>'Area Calculations'!G10</f>
        <v>423</v>
      </c>
      <c r="G7" s="22" t="s">
        <v>275</v>
      </c>
      <c r="H7" s="944">
        <f>'Area Calculations'!G11</f>
        <v>0</v>
      </c>
      <c r="L7" s="88"/>
      <c r="M7" s="330" t="s">
        <v>276</v>
      </c>
    </row>
    <row r="8" spans="1:18" ht="15.75" thickBot="1">
      <c r="A8" s="238"/>
      <c r="B8" s="90"/>
      <c r="E8" s="775">
        <v>0.01</v>
      </c>
      <c r="F8" s="22"/>
      <c r="L8" s="88"/>
    </row>
    <row r="9" spans="1:18" s="92" customFormat="1" ht="33.75" customHeight="1">
      <c r="A9" s="239" t="s">
        <v>277</v>
      </c>
      <c r="B9" s="839" t="s">
        <v>278</v>
      </c>
      <c r="C9" s="840" t="s">
        <v>26</v>
      </c>
      <c r="D9" s="840"/>
      <c r="E9" s="840">
        <f>+ 1%</f>
        <v>0.01</v>
      </c>
      <c r="F9" s="828" t="s">
        <v>279</v>
      </c>
      <c r="G9" s="828" t="s">
        <v>29</v>
      </c>
      <c r="H9" s="254" t="s">
        <v>30</v>
      </c>
      <c r="I9" s="840" t="s">
        <v>280</v>
      </c>
      <c r="J9" s="828" t="s">
        <v>281</v>
      </c>
      <c r="K9" s="240" t="s">
        <v>282</v>
      </c>
      <c r="L9" s="241"/>
    </row>
    <row r="10" spans="1:18" s="83" customFormat="1" ht="6.75" customHeight="1" thickBot="1">
      <c r="A10" s="93"/>
      <c r="B10" s="94"/>
      <c r="C10" s="95"/>
      <c r="D10" s="95"/>
      <c r="E10" s="95"/>
      <c r="F10" s="94"/>
      <c r="G10" s="94"/>
      <c r="H10" s="96"/>
      <c r="I10" s="94"/>
      <c r="J10" s="94"/>
      <c r="K10" s="102"/>
      <c r="L10"/>
    </row>
    <row r="11" spans="1:18" s="83" customFormat="1" ht="16.5" customHeight="1" thickBot="1">
      <c r="A11" s="321"/>
      <c r="B11" s="305" t="s">
        <v>283</v>
      </c>
      <c r="C11" s="306">
        <f>'GCs &amp; GRs'!L164</f>
        <v>3961757.0773538672</v>
      </c>
      <c r="D11" s="753"/>
      <c r="E11" s="760">
        <f>C11</f>
        <v>3961757.0773538672</v>
      </c>
      <c r="F11" s="754">
        <f>C11/$F$4</f>
        <v>6.846397777901589</v>
      </c>
      <c r="G11" s="323">
        <f>C11/$F$6</f>
        <v>37025.767078073528</v>
      </c>
      <c r="H11" s="308">
        <f t="shared" ref="H11:H35" ca="1" si="0">C11/$C$84</f>
        <v>3.9507301247511839E-2</v>
      </c>
      <c r="I11" s="98"/>
      <c r="J11" s="243">
        <f>C11-I11</f>
        <v>3961757.0773538672</v>
      </c>
      <c r="K11" s="244"/>
      <c r="L11" s="83">
        <f t="shared" ref="L11:L44" si="1">C11</f>
        <v>3961757.0773538672</v>
      </c>
      <c r="M11" s="356">
        <f ca="1">C11/C84</f>
        <v>3.9507301247511839E-2</v>
      </c>
      <c r="P11" s="36">
        <f t="shared" ref="P11:P42" si="2">E11-C11</f>
        <v>0</v>
      </c>
    </row>
    <row r="12" spans="1:18" s="83" customFormat="1" ht="16.5" customHeight="1" thickBot="1">
      <c r="A12" s="304"/>
      <c r="B12" s="305" t="s">
        <v>284</v>
      </c>
      <c r="C12" s="306">
        <f>'GCs &amp; GRs'!L165</f>
        <v>477094.3</v>
      </c>
      <c r="D12" s="753"/>
      <c r="E12" s="761">
        <f>C12</f>
        <v>477094.3</v>
      </c>
      <c r="F12" s="755">
        <f>C12/$F$4</f>
        <v>0.8244769408101088</v>
      </c>
      <c r="G12" s="306">
        <f>C12/$F$6</f>
        <v>4458.8252336448595</v>
      </c>
      <c r="H12" s="308">
        <f t="shared" ca="1" si="0"/>
        <v>4.7576638005680542E-3</v>
      </c>
      <c r="I12" s="97"/>
      <c r="J12" s="248">
        <f>C12-I12</f>
        <v>477094.3</v>
      </c>
      <c r="K12" s="249"/>
      <c r="L12" s="83">
        <f t="shared" si="1"/>
        <v>477094.3</v>
      </c>
      <c r="M12" s="356">
        <f ca="1">C12/C84</f>
        <v>4.7576638005680542E-3</v>
      </c>
      <c r="P12" s="36">
        <f t="shared" si="2"/>
        <v>0</v>
      </c>
    </row>
    <row r="13" spans="1:18" ht="16.5" customHeight="1">
      <c r="A13" s="353" t="s">
        <v>285</v>
      </c>
      <c r="B13" s="305" t="s">
        <v>286</v>
      </c>
      <c r="C13" s="306">
        <f>'02 21 Survey '!B94</f>
        <v>59300</v>
      </c>
      <c r="D13" s="306">
        <f>C13</f>
        <v>59300</v>
      </c>
      <c r="E13" s="759">
        <f>C13*(1+$E$8)</f>
        <v>59893</v>
      </c>
      <c r="F13" s="307">
        <f t="shared" ref="F13:F34" si="3">C13/$F$4</f>
        <v>0.1024776078650268</v>
      </c>
      <c r="G13" s="306">
        <f t="shared" ref="G13:G34" si="4">C13/$F$6</f>
        <v>554.20560747663546</v>
      </c>
      <c r="H13" s="308">
        <f t="shared" ca="1" si="0"/>
        <v>5.9134947404252281E-4</v>
      </c>
      <c r="I13" s="98"/>
      <c r="J13" s="243">
        <f t="shared" ref="J13:J25" si="5">C13-I13</f>
        <v>59300</v>
      </c>
      <c r="K13" s="244"/>
      <c r="L13" s="235">
        <f t="shared" si="1"/>
        <v>59300</v>
      </c>
      <c r="P13" s="36">
        <f t="shared" si="2"/>
        <v>593</v>
      </c>
      <c r="Q13" s="752"/>
      <c r="R13" s="752"/>
    </row>
    <row r="14" spans="1:18" ht="16.5" customHeight="1" thickBot="1">
      <c r="A14" s="353" t="s">
        <v>287</v>
      </c>
      <c r="B14" s="305" t="s">
        <v>288</v>
      </c>
      <c r="C14" s="309">
        <f>'02 41 Demolition'!B91</f>
        <v>0</v>
      </c>
      <c r="D14" s="309"/>
      <c r="E14" s="756"/>
      <c r="F14" s="307">
        <f t="shared" si="3"/>
        <v>0</v>
      </c>
      <c r="G14" s="306">
        <f t="shared" si="4"/>
        <v>0</v>
      </c>
      <c r="H14" s="308">
        <f t="shared" ca="1" si="0"/>
        <v>0</v>
      </c>
      <c r="I14" s="98"/>
      <c r="J14" s="243"/>
      <c r="K14" s="244"/>
      <c r="L14" s="235">
        <f t="shared" si="1"/>
        <v>0</v>
      </c>
      <c r="P14" s="36">
        <f t="shared" si="2"/>
        <v>0</v>
      </c>
      <c r="R14" s="752"/>
    </row>
    <row r="15" spans="1:18" ht="16.5" customHeight="1" thickBot="1">
      <c r="A15" s="353" t="s">
        <v>289</v>
      </c>
      <c r="B15" s="305" t="s">
        <v>290</v>
      </c>
      <c r="C15" s="306">
        <f>'02 50 Site Maint'!B97</f>
        <v>1781647.2108928571</v>
      </c>
      <c r="D15" s="753"/>
      <c r="E15" s="760">
        <f>C15</f>
        <v>1781647.2108928571</v>
      </c>
      <c r="F15" s="755">
        <f t="shared" si="3"/>
        <v>3.078902938139914</v>
      </c>
      <c r="G15" s="306">
        <f t="shared" si="4"/>
        <v>16650.908513017355</v>
      </c>
      <c r="H15" s="308">
        <f t="shared" ca="1" si="0"/>
        <v>1.7766882649086321E-2</v>
      </c>
      <c r="I15" s="98"/>
      <c r="J15" s="243">
        <f t="shared" si="5"/>
        <v>1781647.2108928571</v>
      </c>
      <c r="K15" s="244"/>
      <c r="L15" s="235">
        <f t="shared" si="1"/>
        <v>1781647.2108928571</v>
      </c>
      <c r="P15" s="36">
        <f t="shared" si="2"/>
        <v>0</v>
      </c>
      <c r="R15" s="752"/>
    </row>
    <row r="16" spans="1:18" ht="16.5" customHeight="1" thickBot="1">
      <c r="A16" s="353" t="s">
        <v>291</v>
      </c>
      <c r="B16" s="805" t="s">
        <v>292</v>
      </c>
      <c r="C16" s="806">
        <f>'03 30 CIP Concrete'!$B$132</f>
        <v>5700849.333333333</v>
      </c>
      <c r="D16" s="306">
        <f>C16</f>
        <v>5700849.333333333</v>
      </c>
      <c r="E16" s="758">
        <f>C16*(1+$E$8)</f>
        <v>5757857.8266666662</v>
      </c>
      <c r="F16" s="307">
        <f t="shared" si="3"/>
        <v>9.8517605814322557</v>
      </c>
      <c r="G16" s="306">
        <f t="shared" si="4"/>
        <v>53278.965732087221</v>
      </c>
      <c r="H16" s="308">
        <f t="shared" ca="1" si="0"/>
        <v>5.6849818800376616E-2</v>
      </c>
      <c r="I16" s="98"/>
      <c r="J16" s="243">
        <f t="shared" si="5"/>
        <v>5700849.333333333</v>
      </c>
      <c r="K16" s="244"/>
      <c r="L16" s="235">
        <f t="shared" si="1"/>
        <v>5700849.333333333</v>
      </c>
      <c r="P16" s="36">
        <f t="shared" si="2"/>
        <v>57008.493333333172</v>
      </c>
      <c r="Q16" s="752"/>
      <c r="R16" s="752"/>
    </row>
    <row r="17" spans="1:18" ht="16.5" customHeight="1" thickBot="1">
      <c r="A17" s="353" t="s">
        <v>293</v>
      </c>
      <c r="B17" s="305" t="s">
        <v>294</v>
      </c>
      <c r="C17" s="306">
        <f>'03 41 Precast Hollow Core'!B124</f>
        <v>21767756</v>
      </c>
      <c r="D17" s="753"/>
      <c r="E17" s="760">
        <f>C17</f>
        <v>21767756</v>
      </c>
      <c r="F17" s="755">
        <f t="shared" si="3"/>
        <v>37.61732822039771</v>
      </c>
      <c r="G17" s="306">
        <f t="shared" si="4"/>
        <v>203436.97196261681</v>
      </c>
      <c r="H17" s="308">
        <f t="shared" ca="1" si="0"/>
        <v>0.2170716873808764</v>
      </c>
      <c r="I17" s="98"/>
      <c r="J17" s="243">
        <f t="shared" si="5"/>
        <v>21767756</v>
      </c>
      <c r="K17" s="244"/>
      <c r="L17" s="235">
        <f t="shared" si="1"/>
        <v>21767756</v>
      </c>
      <c r="P17" s="36">
        <f t="shared" si="2"/>
        <v>0</v>
      </c>
      <c r="R17" s="752"/>
    </row>
    <row r="18" spans="1:18" ht="16.5" customHeight="1">
      <c r="A18" s="353" t="s">
        <v>295</v>
      </c>
      <c r="B18" s="305" t="s">
        <v>296</v>
      </c>
      <c r="C18" s="306">
        <f>'04 22 Concrete Unit Masonry'!B92</f>
        <v>0</v>
      </c>
      <c r="D18" s="306"/>
      <c r="E18" s="759"/>
      <c r="F18" s="307">
        <f t="shared" si="3"/>
        <v>0</v>
      </c>
      <c r="G18" s="306">
        <f t="shared" si="4"/>
        <v>0</v>
      </c>
      <c r="H18" s="308">
        <f t="shared" ca="1" si="0"/>
        <v>0</v>
      </c>
      <c r="I18" s="98"/>
      <c r="J18" s="243">
        <f>C18-I18</f>
        <v>0</v>
      </c>
      <c r="K18" s="244"/>
      <c r="L18" s="235">
        <f t="shared" si="1"/>
        <v>0</v>
      </c>
      <c r="P18" s="36">
        <f t="shared" si="2"/>
        <v>0</v>
      </c>
      <c r="R18" s="752"/>
    </row>
    <row r="19" spans="1:18" ht="16.5" customHeight="1">
      <c r="A19" s="353" t="s">
        <v>297</v>
      </c>
      <c r="B19" s="305" t="s">
        <v>298</v>
      </c>
      <c r="C19" s="306">
        <f>'05 10 Steel'!B102</f>
        <v>349703.76500000007</v>
      </c>
      <c r="D19" s="306">
        <f t="shared" ref="D19:D66" si="6">C19</f>
        <v>349703.76500000007</v>
      </c>
      <c r="E19" s="306">
        <f>C19*(1+$E$8)</f>
        <v>353200.80265000009</v>
      </c>
      <c r="F19" s="307">
        <f t="shared" si="3"/>
        <v>0.60433061211793404</v>
      </c>
      <c r="G19" s="306">
        <f t="shared" si="4"/>
        <v>3268.2594859813089</v>
      </c>
      <c r="H19" s="308">
        <f t="shared" ca="1" si="0"/>
        <v>3.4873041737510969E-3</v>
      </c>
      <c r="I19" s="98"/>
      <c r="J19" s="243">
        <f t="shared" si="5"/>
        <v>349703.76500000007</v>
      </c>
      <c r="K19" s="244"/>
      <c r="L19" s="235">
        <f t="shared" si="1"/>
        <v>349703.76500000007</v>
      </c>
      <c r="P19" s="36">
        <f t="shared" si="2"/>
        <v>3497.0376500000129</v>
      </c>
      <c r="Q19" s="752"/>
      <c r="R19" s="752"/>
    </row>
    <row r="20" spans="1:18" ht="16.5" customHeight="1" thickBot="1">
      <c r="A20" s="304" t="s">
        <v>299</v>
      </c>
      <c r="B20" s="305" t="s">
        <v>300</v>
      </c>
      <c r="C20" s="306">
        <f>'05 52 Misc. Metals'!B99</f>
        <v>334591.49000000005</v>
      </c>
      <c r="D20" s="306">
        <f t="shared" si="6"/>
        <v>334591.49000000005</v>
      </c>
      <c r="E20" s="757">
        <f>C20*(1+$E$8)</f>
        <v>337937.40490000008</v>
      </c>
      <c r="F20" s="307">
        <f t="shared" si="3"/>
        <v>0.57821476403364314</v>
      </c>
      <c r="G20" s="306">
        <f t="shared" si="4"/>
        <v>3127.0232710280379</v>
      </c>
      <c r="H20" s="308">
        <f t="shared" ca="1" si="0"/>
        <v>3.3366020511063081E-3</v>
      </c>
      <c r="I20" s="98"/>
      <c r="J20" s="243">
        <f t="shared" si="5"/>
        <v>334591.49000000005</v>
      </c>
      <c r="K20" s="244"/>
      <c r="L20" s="235">
        <f t="shared" si="1"/>
        <v>334591.49000000005</v>
      </c>
      <c r="P20" s="36">
        <f t="shared" si="2"/>
        <v>3345.9149000000325</v>
      </c>
      <c r="Q20" s="752"/>
      <c r="R20" s="752"/>
    </row>
    <row r="21" spans="1:18" ht="16.5" customHeight="1" thickBot="1">
      <c r="A21" s="353" t="s">
        <v>301</v>
      </c>
      <c r="B21" s="305" t="s">
        <v>105</v>
      </c>
      <c r="C21" s="306">
        <f>'06 10 Rough Carpentry'!B91</f>
        <v>493891</v>
      </c>
      <c r="D21" s="753"/>
      <c r="E21" s="760">
        <f>C21</f>
        <v>493891</v>
      </c>
      <c r="F21" s="755">
        <f t="shared" si="3"/>
        <v>0.8535036800348389</v>
      </c>
      <c r="G21" s="306">
        <f t="shared" si="4"/>
        <v>4615.8037383177571</v>
      </c>
      <c r="H21" s="308">
        <f t="shared" ca="1" si="0"/>
        <v>4.9251632897864359E-3</v>
      </c>
      <c r="I21" s="98"/>
      <c r="J21" s="243">
        <f t="shared" si="5"/>
        <v>493891</v>
      </c>
      <c r="K21" s="244"/>
      <c r="L21" s="235">
        <f t="shared" si="1"/>
        <v>493891</v>
      </c>
      <c r="P21" s="36">
        <f t="shared" si="2"/>
        <v>0</v>
      </c>
      <c r="Q21" s="752"/>
      <c r="R21" s="752"/>
    </row>
    <row r="22" spans="1:18" ht="16.5" customHeight="1">
      <c r="A22" s="353" t="s">
        <v>302</v>
      </c>
      <c r="B22" s="305" t="s">
        <v>303</v>
      </c>
      <c r="C22" s="306">
        <f>'06 21 Millwork'!B96</f>
        <v>331487.47140000004</v>
      </c>
      <c r="D22" s="306">
        <f t="shared" si="6"/>
        <v>331487.47140000004</v>
      </c>
      <c r="E22" s="759">
        <f t="shared" ref="E22:E41" si="7">C22*(1+$E$8)</f>
        <v>334802.34611400001</v>
      </c>
      <c r="F22" s="307">
        <f t="shared" si="3"/>
        <v>0.57285064260199814</v>
      </c>
      <c r="G22" s="306">
        <f t="shared" si="4"/>
        <v>3098.0137514018697</v>
      </c>
      <c r="H22" s="308">
        <f t="shared" ca="1" si="0"/>
        <v>3.3056482607769959E-3</v>
      </c>
      <c r="I22" s="98"/>
      <c r="J22" s="243">
        <f t="shared" si="5"/>
        <v>331487.47140000004</v>
      </c>
      <c r="K22" s="244"/>
      <c r="L22" s="235">
        <f t="shared" si="1"/>
        <v>331487.47140000004</v>
      </c>
      <c r="P22" s="36">
        <f t="shared" si="2"/>
        <v>3314.8747139999759</v>
      </c>
      <c r="Q22" s="752"/>
      <c r="R22" s="752"/>
    </row>
    <row r="23" spans="1:18">
      <c r="A23" s="304" t="s">
        <v>304</v>
      </c>
      <c r="B23" s="305" t="s">
        <v>305</v>
      </c>
      <c r="C23" s="306">
        <f>'07 10 Waterproofing'!B96</f>
        <v>707250.11278999993</v>
      </c>
      <c r="D23" s="306">
        <f t="shared" si="6"/>
        <v>707250.11278999993</v>
      </c>
      <c r="E23" s="306">
        <f t="shared" si="7"/>
        <v>714322.6139178999</v>
      </c>
      <c r="F23" s="307">
        <f t="shared" si="3"/>
        <v>1.2222141605563168</v>
      </c>
      <c r="G23" s="306">
        <f t="shared" si="4"/>
        <v>6609.8141382242984</v>
      </c>
      <c r="H23" s="308">
        <f t="shared" ca="1" si="0"/>
        <v>7.0528158889524694E-3</v>
      </c>
      <c r="I23" s="98"/>
      <c r="J23" s="243">
        <f t="shared" si="5"/>
        <v>707250.11278999993</v>
      </c>
      <c r="K23" s="244"/>
      <c r="L23" s="235">
        <f t="shared" si="1"/>
        <v>707250.11278999993</v>
      </c>
      <c r="P23" s="36">
        <f t="shared" si="2"/>
        <v>7072.5011278999737</v>
      </c>
      <c r="Q23" s="752"/>
      <c r="R23" s="752"/>
    </row>
    <row r="24" spans="1:18">
      <c r="A24" s="353" t="s">
        <v>306</v>
      </c>
      <c r="B24" s="305" t="s">
        <v>307</v>
      </c>
      <c r="C24" s="306">
        <f>'07 21 Insulation'!B91</f>
        <v>0</v>
      </c>
      <c r="D24" s="306">
        <f t="shared" si="6"/>
        <v>0</v>
      </c>
      <c r="E24" s="306">
        <f t="shared" si="7"/>
        <v>0</v>
      </c>
      <c r="F24" s="307">
        <f t="shared" si="3"/>
        <v>0</v>
      </c>
      <c r="G24" s="306">
        <f t="shared" si="4"/>
        <v>0</v>
      </c>
      <c r="H24" s="308">
        <f t="shared" ca="1" si="0"/>
        <v>0</v>
      </c>
      <c r="I24" s="98"/>
      <c r="J24" s="243">
        <f t="shared" si="5"/>
        <v>0</v>
      </c>
      <c r="K24" s="244"/>
      <c r="L24" s="235">
        <f t="shared" si="1"/>
        <v>0</v>
      </c>
      <c r="P24" s="36">
        <f t="shared" si="2"/>
        <v>0</v>
      </c>
      <c r="Q24" s="752"/>
      <c r="R24" s="752"/>
    </row>
    <row r="25" spans="1:18" ht="16.5" customHeight="1">
      <c r="A25" s="353" t="s">
        <v>308</v>
      </c>
      <c r="B25" s="305" t="s">
        <v>309</v>
      </c>
      <c r="C25" s="306">
        <f>'07 42 Metal Panel'!B91</f>
        <v>1293203.8500000001</v>
      </c>
      <c r="D25" s="306">
        <f t="shared" si="6"/>
        <v>1293203.8500000001</v>
      </c>
      <c r="E25" s="306">
        <f t="shared" si="7"/>
        <v>1306135.8885000001</v>
      </c>
      <c r="F25" s="307">
        <f t="shared" si="3"/>
        <v>2.234813440638161</v>
      </c>
      <c r="G25" s="306">
        <f t="shared" si="4"/>
        <v>12086.017289719626</v>
      </c>
      <c r="H25" s="308">
        <f t="shared" ca="1" si="0"/>
        <v>1.2896044123562659E-2</v>
      </c>
      <c r="I25" s="98"/>
      <c r="J25" s="243">
        <f t="shared" si="5"/>
        <v>1293203.8500000001</v>
      </c>
      <c r="K25" s="244"/>
      <c r="L25" s="235">
        <f t="shared" si="1"/>
        <v>1293203.8500000001</v>
      </c>
      <c r="P25" s="36">
        <f t="shared" si="2"/>
        <v>12932.038500000024</v>
      </c>
      <c r="Q25" s="752"/>
      <c r="R25" s="752"/>
    </row>
    <row r="26" spans="1:18" ht="16.5" customHeight="1">
      <c r="A26" s="353" t="s">
        <v>310</v>
      </c>
      <c r="B26" s="305" t="s">
        <v>244</v>
      </c>
      <c r="C26" s="306">
        <f>'07 50 Roofing'!B94</f>
        <v>1306500</v>
      </c>
      <c r="D26" s="306">
        <f t="shared" si="6"/>
        <v>1306500</v>
      </c>
      <c r="E26" s="306">
        <f t="shared" si="7"/>
        <v>1319565</v>
      </c>
      <c r="F26" s="307">
        <f t="shared" si="3"/>
        <v>2.2577908039739882</v>
      </c>
      <c r="G26" s="306">
        <f t="shared" si="4"/>
        <v>12210.280373831776</v>
      </c>
      <c r="H26" s="308">
        <f t="shared" ca="1" si="0"/>
        <v>1.3028635545304488E-2</v>
      </c>
      <c r="I26" s="98"/>
      <c r="J26" s="243">
        <f t="shared" ref="J26:J32" si="8">C26-I26</f>
        <v>1306500</v>
      </c>
      <c r="K26" s="244"/>
      <c r="L26" s="235">
        <f t="shared" si="1"/>
        <v>1306500</v>
      </c>
      <c r="P26" s="36">
        <f t="shared" si="2"/>
        <v>13065</v>
      </c>
      <c r="Q26" s="752"/>
      <c r="R26" s="752"/>
    </row>
    <row r="27" spans="1:18" ht="16.5" customHeight="1">
      <c r="A27" s="353" t="s">
        <v>311</v>
      </c>
      <c r="B27" s="305" t="s">
        <v>312</v>
      </c>
      <c r="C27" s="306">
        <f>'07 81 Spray Fireproofing'!B91</f>
        <v>87200</v>
      </c>
      <c r="D27" s="306">
        <f t="shared" si="6"/>
        <v>87200</v>
      </c>
      <c r="E27" s="306">
        <f t="shared" si="7"/>
        <v>88072</v>
      </c>
      <c r="F27" s="307">
        <f t="shared" si="3"/>
        <v>0.15069219908651496</v>
      </c>
      <c r="G27" s="306">
        <f t="shared" si="4"/>
        <v>814.95327102803742</v>
      </c>
      <c r="H27" s="308">
        <f t="shared" ca="1" si="0"/>
        <v>8.6957291967129831E-4</v>
      </c>
      <c r="I27" s="98"/>
      <c r="J27" s="243">
        <f t="shared" si="8"/>
        <v>87200</v>
      </c>
      <c r="K27" s="244"/>
      <c r="L27" s="235">
        <f t="shared" si="1"/>
        <v>87200</v>
      </c>
      <c r="P27" s="36">
        <f t="shared" si="2"/>
        <v>872</v>
      </c>
      <c r="Q27" s="752"/>
      <c r="R27" s="752"/>
    </row>
    <row r="28" spans="1:18" ht="16.5" customHeight="1">
      <c r="A28" s="353" t="s">
        <v>313</v>
      </c>
      <c r="B28" s="305" t="s">
        <v>314</v>
      </c>
      <c r="C28" s="306">
        <f>'07 84 Firestopping'!B91</f>
        <v>19175</v>
      </c>
      <c r="D28" s="306">
        <f t="shared" si="6"/>
        <v>19175</v>
      </c>
      <c r="E28" s="306">
        <f t="shared" si="7"/>
        <v>19366.75</v>
      </c>
      <c r="F28" s="307">
        <f t="shared" si="3"/>
        <v>3.3136730705090871E-2</v>
      </c>
      <c r="G28" s="306">
        <f t="shared" si="4"/>
        <v>179.20560747663552</v>
      </c>
      <c r="H28" s="308">
        <f t="shared" ca="1" si="0"/>
        <v>1.9121629282909571E-4</v>
      </c>
      <c r="I28" s="98"/>
      <c r="J28" s="243">
        <f t="shared" si="8"/>
        <v>19175</v>
      </c>
      <c r="K28" s="244"/>
      <c r="L28" s="235">
        <f t="shared" si="1"/>
        <v>19175</v>
      </c>
      <c r="M28" s="774"/>
      <c r="N28" s="180"/>
      <c r="O28" s="180"/>
      <c r="P28" s="36">
        <f t="shared" si="2"/>
        <v>191.75</v>
      </c>
      <c r="Q28" s="752"/>
      <c r="R28" s="752"/>
    </row>
    <row r="29" spans="1:18" ht="16.5" customHeight="1">
      <c r="A29" s="304" t="s">
        <v>315</v>
      </c>
      <c r="B29" s="305" t="s">
        <v>316</v>
      </c>
      <c r="C29" s="306">
        <f>'07 92 Exp Joint'!B91</f>
        <v>170000</v>
      </c>
      <c r="D29" s="306">
        <f t="shared" si="6"/>
        <v>170000</v>
      </c>
      <c r="E29" s="306">
        <f t="shared" si="7"/>
        <v>171700</v>
      </c>
      <c r="F29" s="307">
        <f t="shared" si="3"/>
        <v>0.29378066335673786</v>
      </c>
      <c r="G29" s="306">
        <f t="shared" si="4"/>
        <v>1588.785046728972</v>
      </c>
      <c r="H29" s="308">
        <f t="shared" ca="1" si="0"/>
        <v>1.6952683066986322E-3</v>
      </c>
      <c r="I29" s="98"/>
      <c r="J29" s="243">
        <f t="shared" si="8"/>
        <v>170000</v>
      </c>
      <c r="K29" s="244"/>
      <c r="L29" s="235">
        <f t="shared" si="1"/>
        <v>170000</v>
      </c>
      <c r="P29" s="36">
        <f t="shared" si="2"/>
        <v>1700</v>
      </c>
      <c r="Q29" s="752"/>
      <c r="R29" s="752"/>
    </row>
    <row r="30" spans="1:18" ht="16.5" customHeight="1">
      <c r="A30" s="304" t="s">
        <v>317</v>
      </c>
      <c r="B30" s="305" t="s">
        <v>318</v>
      </c>
      <c r="C30" s="306">
        <f>'08 10 DFH'!B207</f>
        <v>2072590</v>
      </c>
      <c r="D30" s="306">
        <f t="shared" si="6"/>
        <v>2072590</v>
      </c>
      <c r="E30" s="306">
        <f t="shared" si="7"/>
        <v>2093315.9</v>
      </c>
      <c r="F30" s="307">
        <f t="shared" si="3"/>
        <v>3.5816874415678903</v>
      </c>
      <c r="G30" s="306">
        <f t="shared" si="4"/>
        <v>19370</v>
      </c>
      <c r="H30" s="308">
        <f t="shared" ca="1" si="0"/>
        <v>2.0668212586944224E-2</v>
      </c>
      <c r="I30" s="98"/>
      <c r="J30" s="243">
        <f t="shared" si="8"/>
        <v>2072590</v>
      </c>
      <c r="K30" s="244"/>
      <c r="L30" s="235">
        <f t="shared" si="1"/>
        <v>2072590</v>
      </c>
      <c r="P30" s="36">
        <f t="shared" si="2"/>
        <v>20725.899999999907</v>
      </c>
      <c r="Q30" s="752"/>
      <c r="R30" s="752"/>
    </row>
    <row r="31" spans="1:18" ht="16.5" customHeight="1">
      <c r="A31" s="353" t="s">
        <v>319</v>
      </c>
      <c r="B31" s="305" t="s">
        <v>320</v>
      </c>
      <c r="C31" s="802">
        <f>'08 32 Hangar Doors'!$B$92</f>
        <v>558065.19374999998</v>
      </c>
      <c r="D31" s="306">
        <f t="shared" si="6"/>
        <v>558065.19374999998</v>
      </c>
      <c r="E31" s="306">
        <f t="shared" si="7"/>
        <v>563645.84568749997</v>
      </c>
      <c r="F31" s="307">
        <f t="shared" ref="F31" si="9">C31/$F$4</f>
        <v>0.96440448715400839</v>
      </c>
      <c r="G31" s="306">
        <f t="shared" ref="G31" si="10">C31/$F$6</f>
        <v>5215.5625584112149</v>
      </c>
      <c r="H31" s="308">
        <f t="shared" ca="1" si="0"/>
        <v>5.5651190355059206E-3</v>
      </c>
      <c r="I31" s="98"/>
      <c r="J31" s="243">
        <f t="shared" ref="J31" si="11">C31-I31</f>
        <v>558065.19374999998</v>
      </c>
      <c r="K31" s="244"/>
      <c r="L31" s="235">
        <f t="shared" si="1"/>
        <v>558065.19374999998</v>
      </c>
      <c r="M31" s="774">
        <v>0.01</v>
      </c>
      <c r="N31" s="180">
        <f>L31*M31</f>
        <v>5580.6519374999998</v>
      </c>
      <c r="O31" s="180">
        <f>L31+N31</f>
        <v>563645.84568749997</v>
      </c>
      <c r="P31" s="36">
        <f t="shared" si="2"/>
        <v>5580.6519374999916</v>
      </c>
      <c r="Q31" s="776">
        <f>P31/L31</f>
        <v>9.9999999999999846E-3</v>
      </c>
      <c r="R31" s="752"/>
    </row>
    <row r="32" spans="1:18" ht="16.5" customHeight="1">
      <c r="A32" s="353" t="s">
        <v>321</v>
      </c>
      <c r="B32" s="305" t="s">
        <v>322</v>
      </c>
      <c r="C32" s="306">
        <f>'08 33 Overhead doors'!B94</f>
        <v>29480</v>
      </c>
      <c r="D32" s="306">
        <f t="shared" si="6"/>
        <v>29480</v>
      </c>
      <c r="E32" s="306">
        <f t="shared" si="7"/>
        <v>29774.799999999999</v>
      </c>
      <c r="F32" s="307">
        <f t="shared" si="3"/>
        <v>5.0945023269156661E-2</v>
      </c>
      <c r="G32" s="306">
        <f t="shared" si="4"/>
        <v>275.51401869158877</v>
      </c>
      <c r="H32" s="308">
        <f t="shared" ca="1" si="0"/>
        <v>2.9397946871456281E-4</v>
      </c>
      <c r="I32" s="98"/>
      <c r="J32" s="243">
        <f t="shared" si="8"/>
        <v>29480</v>
      </c>
      <c r="K32" s="244"/>
      <c r="L32" s="235">
        <f t="shared" si="1"/>
        <v>29480</v>
      </c>
      <c r="P32" s="36">
        <f t="shared" si="2"/>
        <v>294.79999999999927</v>
      </c>
      <c r="Q32" s="752"/>
      <c r="R32" s="752"/>
    </row>
    <row r="33" spans="1:18" ht="16.5" customHeight="1">
      <c r="A33" s="304" t="s">
        <v>323</v>
      </c>
      <c r="B33" s="305" t="s">
        <v>324</v>
      </c>
      <c r="C33" s="306">
        <f>'08 50 Storefront &amp; Windows'!B161</f>
        <v>5009000</v>
      </c>
      <c r="D33" s="306">
        <f t="shared" si="6"/>
        <v>5009000</v>
      </c>
      <c r="E33" s="306">
        <f t="shared" si="7"/>
        <v>5059090</v>
      </c>
      <c r="F33" s="307">
        <f t="shared" si="3"/>
        <v>8.6561608397288232</v>
      </c>
      <c r="G33" s="306">
        <f t="shared" si="4"/>
        <v>46813.084112149532</v>
      </c>
      <c r="H33" s="308">
        <f t="shared" ca="1" si="0"/>
        <v>4.9950582048549692E-2</v>
      </c>
      <c r="I33" s="98"/>
      <c r="J33" s="243">
        <f t="shared" ref="J33:J60" si="12">C33-I33</f>
        <v>5009000</v>
      </c>
      <c r="K33" s="244"/>
      <c r="L33" s="235">
        <f t="shared" si="1"/>
        <v>5009000</v>
      </c>
      <c r="P33" s="36">
        <f t="shared" si="2"/>
        <v>50090</v>
      </c>
      <c r="Q33" s="752"/>
      <c r="R33" s="752"/>
    </row>
    <row r="34" spans="1:18" ht="16.5" customHeight="1">
      <c r="A34" s="304" t="s">
        <v>325</v>
      </c>
      <c r="B34" s="305" t="s">
        <v>326</v>
      </c>
      <c r="C34" s="306">
        <f>'09 29 Drywall &amp; Frame'!B94</f>
        <v>4568679.75</v>
      </c>
      <c r="D34" s="306">
        <f t="shared" si="6"/>
        <v>4568679.75</v>
      </c>
      <c r="E34" s="306">
        <f t="shared" si="7"/>
        <v>4614366.5475000003</v>
      </c>
      <c r="F34" s="307">
        <f t="shared" si="3"/>
        <v>7.8952339271735017</v>
      </c>
      <c r="G34" s="306">
        <f t="shared" si="4"/>
        <v>42697.941588785048</v>
      </c>
      <c r="H34" s="308">
        <f t="shared" ca="1" si="0"/>
        <v>4.5559635197828408E-2</v>
      </c>
      <c r="I34" s="98"/>
      <c r="J34" s="243">
        <f t="shared" si="12"/>
        <v>4568679.75</v>
      </c>
      <c r="K34" s="244"/>
      <c r="L34" s="235">
        <f t="shared" si="1"/>
        <v>4568679.75</v>
      </c>
      <c r="P34" s="36">
        <f t="shared" si="2"/>
        <v>45686.797500000335</v>
      </c>
      <c r="Q34" s="752"/>
      <c r="R34" s="752"/>
    </row>
    <row r="35" spans="1:18" ht="16.5" customHeight="1" thickBot="1">
      <c r="A35" s="304" t="s">
        <v>327</v>
      </c>
      <c r="B35" s="305" t="s">
        <v>328</v>
      </c>
      <c r="C35" s="307">
        <f>'09 30 Tile'!B78-C36</f>
        <v>219979.27409999998</v>
      </c>
      <c r="D35" s="306">
        <f t="shared" si="6"/>
        <v>219979.27409999998</v>
      </c>
      <c r="E35" s="757">
        <f t="shared" si="7"/>
        <v>222179.06684099999</v>
      </c>
      <c r="F35" s="307">
        <f t="shared" ref="F35:F60" si="13">C35/$F$4</f>
        <v>0.38015092394018624</v>
      </c>
      <c r="G35" s="306">
        <f t="shared" ref="G35:G60" si="14">C35/$F$6</f>
        <v>2055.8810663551399</v>
      </c>
      <c r="H35" s="308">
        <f t="shared" ca="1" si="0"/>
        <v>2.1936699500723603E-3</v>
      </c>
      <c r="I35" s="98"/>
      <c r="J35" s="243">
        <f>C35-I35</f>
        <v>219979.27409999998</v>
      </c>
      <c r="K35" s="244"/>
      <c r="L35" s="235">
        <f t="shared" si="1"/>
        <v>219979.27409999998</v>
      </c>
      <c r="P35" s="36">
        <f t="shared" si="2"/>
        <v>2199.792741000012</v>
      </c>
      <c r="Q35" s="752"/>
      <c r="R35" s="752"/>
    </row>
    <row r="36" spans="1:18" ht="16.5" customHeight="1" thickBot="1">
      <c r="A36" s="304"/>
      <c r="B36" s="305" t="s">
        <v>329</v>
      </c>
      <c r="C36" s="307">
        <f>'ERUA Cost Summary'!E84</f>
        <v>240000</v>
      </c>
      <c r="D36" s="753"/>
      <c r="E36" s="760">
        <f>C36</f>
        <v>240000</v>
      </c>
      <c r="F36" s="755"/>
      <c r="G36" s="306"/>
      <c r="H36" s="308"/>
      <c r="I36" s="98"/>
      <c r="J36" s="243"/>
      <c r="K36" s="244"/>
      <c r="L36" s="235"/>
      <c r="P36" s="36">
        <f t="shared" si="2"/>
        <v>0</v>
      </c>
      <c r="Q36" s="752"/>
      <c r="R36" s="752"/>
    </row>
    <row r="37" spans="1:18" ht="16.5" customHeight="1">
      <c r="A37" s="396" t="s">
        <v>330</v>
      </c>
      <c r="B37" s="305" t="s">
        <v>118</v>
      </c>
      <c r="C37" s="307">
        <f>'09 51 ACT'!B77</f>
        <v>307128</v>
      </c>
      <c r="D37" s="306">
        <f t="shared" si="6"/>
        <v>307128</v>
      </c>
      <c r="E37" s="759">
        <f t="shared" si="7"/>
        <v>310199.28000000003</v>
      </c>
      <c r="F37" s="307">
        <f t="shared" si="13"/>
        <v>0.53075451514957761</v>
      </c>
      <c r="G37" s="306">
        <f t="shared" si="14"/>
        <v>2870.3551401869158</v>
      </c>
      <c r="H37" s="308">
        <f ca="1">C37/$C$84</f>
        <v>3.0627315558808088E-3</v>
      </c>
      <c r="I37" s="98"/>
      <c r="J37" s="243">
        <f t="shared" si="12"/>
        <v>307128</v>
      </c>
      <c r="K37" s="244"/>
      <c r="L37" s="235">
        <f t="shared" si="1"/>
        <v>307128</v>
      </c>
      <c r="P37" s="36">
        <f t="shared" si="2"/>
        <v>3071.2800000000279</v>
      </c>
      <c r="Q37" s="752"/>
      <c r="R37" s="752"/>
    </row>
    <row r="38" spans="1:18" ht="16.5" customHeight="1" thickBot="1">
      <c r="A38" s="304" t="s">
        <v>331</v>
      </c>
      <c r="B38" s="305" t="s">
        <v>332</v>
      </c>
      <c r="C38" s="307">
        <f>'09 60 Flooring'!B81-C39</f>
        <v>333677.77570000011</v>
      </c>
      <c r="D38" s="306">
        <f t="shared" si="6"/>
        <v>333677.77570000011</v>
      </c>
      <c r="E38" s="306">
        <f t="shared" si="7"/>
        <v>337014.55345700012</v>
      </c>
      <c r="F38" s="307">
        <f t="shared" si="13"/>
        <v>0.57663575466204009</v>
      </c>
      <c r="G38" s="306">
        <f t="shared" si="14"/>
        <v>3118.4838850467299</v>
      </c>
      <c r="H38" s="308">
        <f ca="1">C38/$C$84</f>
        <v>3.3274903399641482E-3</v>
      </c>
      <c r="I38" s="98"/>
      <c r="J38" s="243">
        <f t="shared" si="12"/>
        <v>333677.77570000011</v>
      </c>
      <c r="K38" s="244"/>
      <c r="L38" s="235">
        <f t="shared" si="1"/>
        <v>333677.77570000011</v>
      </c>
      <c r="P38" s="36">
        <f t="shared" si="2"/>
        <v>3336.7777570000035</v>
      </c>
      <c r="Q38" s="752"/>
      <c r="R38" s="752"/>
    </row>
    <row r="39" spans="1:18" ht="16.5" customHeight="1" thickBot="1">
      <c r="A39" s="304"/>
      <c r="B39" s="305" t="s">
        <v>333</v>
      </c>
      <c r="C39" s="307">
        <f>'ERUA Cost Summary'!E81+'ERUA Cost Summary'!E82+'ERUA Cost Summary'!E83</f>
        <v>741197</v>
      </c>
      <c r="D39" s="306"/>
      <c r="E39" s="760">
        <f>C39</f>
        <v>741197</v>
      </c>
      <c r="F39" s="307"/>
      <c r="G39" s="306"/>
      <c r="H39" s="308"/>
      <c r="I39" s="98"/>
      <c r="J39" s="243"/>
      <c r="K39" s="244"/>
      <c r="L39" s="235"/>
      <c r="P39" s="36">
        <f t="shared" si="2"/>
        <v>0</v>
      </c>
      <c r="Q39" s="752"/>
      <c r="R39" s="752"/>
    </row>
    <row r="40" spans="1:18" ht="16.5" customHeight="1">
      <c r="A40" s="304" t="s">
        <v>334</v>
      </c>
      <c r="B40" s="305" t="s">
        <v>335</v>
      </c>
      <c r="C40" s="309">
        <f>'09 96 Fluid Applied Flooring'!B74</f>
        <v>112682.67</v>
      </c>
      <c r="D40" s="306">
        <f t="shared" si="6"/>
        <v>112682.67</v>
      </c>
      <c r="E40" s="306">
        <f t="shared" si="7"/>
        <v>113809.4967</v>
      </c>
      <c r="F40" s="307">
        <f t="shared" si="13"/>
        <v>0.19472935024357874</v>
      </c>
      <c r="G40" s="306">
        <f t="shared" si="14"/>
        <v>1053.1090654205607</v>
      </c>
      <c r="H40" s="308">
        <f t="shared" ref="H40:H53" ca="1" si="15">C40/$C$84</f>
        <v>1.123690348030475E-3</v>
      </c>
      <c r="I40" s="98"/>
      <c r="J40" s="243">
        <f>C40-I40</f>
        <v>112682.67</v>
      </c>
      <c r="K40" s="244"/>
      <c r="L40" s="235">
        <f t="shared" si="1"/>
        <v>112682.67</v>
      </c>
      <c r="P40" s="36">
        <f t="shared" si="2"/>
        <v>1126.8267000000051</v>
      </c>
      <c r="Q40" s="752"/>
      <c r="R40" s="752"/>
    </row>
    <row r="41" spans="1:18" ht="16.5" customHeight="1" thickBot="1">
      <c r="A41" s="353" t="s">
        <v>336</v>
      </c>
      <c r="B41" s="305" t="s">
        <v>119</v>
      </c>
      <c r="C41" s="309">
        <f>'09 90 Painting'!B90</f>
        <v>843992.8</v>
      </c>
      <c r="D41" s="306">
        <f t="shared" si="6"/>
        <v>843992.8</v>
      </c>
      <c r="E41" s="757">
        <f t="shared" si="7"/>
        <v>852432.728</v>
      </c>
      <c r="F41" s="307">
        <f t="shared" si="13"/>
        <v>1.4585221450135917</v>
      </c>
      <c r="G41" s="306">
        <f t="shared" si="14"/>
        <v>7887.7831775700943</v>
      </c>
      <c r="H41" s="308">
        <f t="shared" ca="1" si="15"/>
        <v>8.4164367348343368E-3</v>
      </c>
      <c r="I41" s="98"/>
      <c r="J41" s="243">
        <f t="shared" si="12"/>
        <v>843992.8</v>
      </c>
      <c r="K41" s="244"/>
      <c r="L41" s="235">
        <f t="shared" si="1"/>
        <v>843992.8</v>
      </c>
      <c r="P41" s="36">
        <f t="shared" si="2"/>
        <v>8439.9279999999562</v>
      </c>
      <c r="Q41" s="752"/>
      <c r="R41" s="752"/>
    </row>
    <row r="42" spans="1:18" ht="16.5" customHeight="1" thickBot="1">
      <c r="A42" s="353" t="s">
        <v>337</v>
      </c>
      <c r="B42" s="727" t="s">
        <v>338</v>
      </c>
      <c r="C42" s="306">
        <f>'10 14 Signage'!B68</f>
        <v>20000</v>
      </c>
      <c r="D42" s="753"/>
      <c r="E42" s="760">
        <f>C42</f>
        <v>20000</v>
      </c>
      <c r="F42" s="755">
        <f t="shared" si="13"/>
        <v>3.4562430983145633E-2</v>
      </c>
      <c r="G42" s="306">
        <f t="shared" si="14"/>
        <v>186.9158878504673</v>
      </c>
      <c r="H42" s="308">
        <f t="shared" ca="1" si="15"/>
        <v>1.9944333019983906E-4</v>
      </c>
      <c r="I42" s="98"/>
      <c r="J42" s="243">
        <f t="shared" si="12"/>
        <v>20000</v>
      </c>
      <c r="K42" s="244"/>
      <c r="L42" s="235">
        <f t="shared" si="1"/>
        <v>20000</v>
      </c>
      <c r="P42" s="36">
        <f t="shared" si="2"/>
        <v>0</v>
      </c>
      <c r="Q42" s="752"/>
      <c r="R42" s="752"/>
    </row>
    <row r="43" spans="1:18" ht="16.5" customHeight="1">
      <c r="A43" s="353" t="s">
        <v>339</v>
      </c>
      <c r="B43" s="305" t="s">
        <v>340</v>
      </c>
      <c r="C43" s="306">
        <f>'10 20 Toilet Partitions &amp; Bath'!B88</f>
        <v>302971.71000000002</v>
      </c>
      <c r="D43" s="306">
        <f t="shared" si="6"/>
        <v>302971.71000000002</v>
      </c>
      <c r="E43" s="759">
        <f t="shared" ref="E43:E59" si="16">C43*(1+$E$8)</f>
        <v>306001.42710000003</v>
      </c>
      <c r="F43" s="307">
        <f t="shared" si="13"/>
        <v>0.52357194083603065</v>
      </c>
      <c r="G43" s="306">
        <f t="shared" si="14"/>
        <v>2831.5113084112149</v>
      </c>
      <c r="H43" s="308">
        <f t="shared" ca="1" si="15"/>
        <v>3.0212843399369943E-3</v>
      </c>
      <c r="I43" s="98"/>
      <c r="J43" s="243">
        <f t="shared" si="12"/>
        <v>302971.71000000002</v>
      </c>
      <c r="K43" s="244"/>
      <c r="L43" s="235">
        <f t="shared" si="1"/>
        <v>302971.71000000002</v>
      </c>
      <c r="P43" s="36">
        <f t="shared" ref="P43:P60" si="17">E43-C43</f>
        <v>3029.7171000000089</v>
      </c>
      <c r="Q43" s="752"/>
      <c r="R43" s="752"/>
    </row>
    <row r="44" spans="1:18" ht="16.5" customHeight="1">
      <c r="A44" s="353" t="s">
        <v>341</v>
      </c>
      <c r="B44" s="305" t="s">
        <v>342</v>
      </c>
      <c r="C44" s="306">
        <f>'10 44 Fire Extinguishers'!B69</f>
        <v>60366</v>
      </c>
      <c r="D44" s="306">
        <f t="shared" si="6"/>
        <v>60366</v>
      </c>
      <c r="E44" s="306">
        <f t="shared" si="16"/>
        <v>60969.66</v>
      </c>
      <c r="F44" s="307">
        <f t="shared" si="13"/>
        <v>0.10431978543642846</v>
      </c>
      <c r="G44" s="306">
        <f t="shared" si="14"/>
        <v>564.1682242990654</v>
      </c>
      <c r="H44" s="308">
        <f t="shared" ca="1" si="15"/>
        <v>6.019798035421743E-4</v>
      </c>
      <c r="I44" s="98"/>
      <c r="J44" s="243">
        <f t="shared" si="12"/>
        <v>60366</v>
      </c>
      <c r="K44" s="244"/>
      <c r="L44" s="235">
        <f t="shared" si="1"/>
        <v>60366</v>
      </c>
      <c r="P44" s="36">
        <f t="shared" si="17"/>
        <v>603.66000000000349</v>
      </c>
      <c r="Q44" s="752"/>
      <c r="R44" s="752"/>
    </row>
    <row r="45" spans="1:18" ht="16.5" customHeight="1">
      <c r="A45" s="353" t="s">
        <v>343</v>
      </c>
      <c r="B45" s="305" t="s">
        <v>128</v>
      </c>
      <c r="C45" s="306">
        <f>'11 30 Appliances'!B90</f>
        <v>524167.01609999995</v>
      </c>
      <c r="D45" s="306">
        <f t="shared" si="6"/>
        <v>524167.01609999995</v>
      </c>
      <c r="E45" s="306">
        <f t="shared" si="16"/>
        <v>529408.686261</v>
      </c>
      <c r="F45" s="307">
        <f t="shared" si="13"/>
        <v>0.90582431587988166</v>
      </c>
      <c r="G45" s="306">
        <f t="shared" si="14"/>
        <v>4898.7571598130835</v>
      </c>
      <c r="H45" s="308">
        <f t="shared" ca="1" si="15"/>
        <v>5.2270807635948326E-3</v>
      </c>
      <c r="I45" s="98"/>
      <c r="J45" s="243">
        <f t="shared" si="12"/>
        <v>524167.01609999995</v>
      </c>
      <c r="K45" s="244"/>
      <c r="L45" s="235">
        <f t="shared" ref="L45:L60" si="18">C45</f>
        <v>524167.01609999995</v>
      </c>
      <c r="P45" s="36">
        <f t="shared" si="17"/>
        <v>5241.6701610000455</v>
      </c>
      <c r="Q45" s="752"/>
      <c r="R45" s="752"/>
    </row>
    <row r="46" spans="1:18" ht="16.5" customHeight="1">
      <c r="A46" s="304" t="s">
        <v>344</v>
      </c>
      <c r="B46" s="305" t="s">
        <v>345</v>
      </c>
      <c r="C46" s="306">
        <f>'12 20 Window Treatment'!B72</f>
        <v>164880</v>
      </c>
      <c r="D46" s="306">
        <f t="shared" si="6"/>
        <v>164880</v>
      </c>
      <c r="E46" s="306">
        <f t="shared" si="16"/>
        <v>166528.79999999999</v>
      </c>
      <c r="F46" s="307">
        <f t="shared" si="13"/>
        <v>0.28493268102505259</v>
      </c>
      <c r="G46" s="306">
        <f t="shared" si="14"/>
        <v>1540.9345794392523</v>
      </c>
      <c r="H46" s="308">
        <f t="shared" ca="1" si="15"/>
        <v>1.6442108141674734E-3</v>
      </c>
      <c r="I46" s="98"/>
      <c r="J46" s="243">
        <f>C46-I46</f>
        <v>164880</v>
      </c>
      <c r="K46" s="244"/>
      <c r="L46" s="235">
        <f t="shared" si="18"/>
        <v>164880</v>
      </c>
      <c r="P46" s="36">
        <f t="shared" si="17"/>
        <v>1648.7999999999884</v>
      </c>
      <c r="Q46" s="752"/>
      <c r="R46" s="752"/>
    </row>
    <row r="47" spans="1:18" ht="16.5" customHeight="1">
      <c r="A47" s="304" t="s">
        <v>346</v>
      </c>
      <c r="B47" s="305" t="s">
        <v>347</v>
      </c>
      <c r="C47" s="306">
        <f>'12 34 Residential Casework'!B102</f>
        <v>785367.17940000002</v>
      </c>
      <c r="D47" s="306">
        <f t="shared" si="6"/>
        <v>785367.17940000002</v>
      </c>
      <c r="E47" s="306">
        <f t="shared" si="16"/>
        <v>793220.85119399999</v>
      </c>
      <c r="F47" s="307">
        <f t="shared" si="13"/>
        <v>1.3572099467220127</v>
      </c>
      <c r="G47" s="306">
        <f t="shared" si="14"/>
        <v>7339.880181308411</v>
      </c>
      <c r="H47" s="308">
        <f t="shared" ca="1" si="15"/>
        <v>7.8318122844595224E-3</v>
      </c>
      <c r="I47" s="98"/>
      <c r="J47" s="243">
        <f t="shared" si="12"/>
        <v>785367.17940000002</v>
      </c>
      <c r="K47" s="244"/>
      <c r="L47" s="235">
        <f t="shared" si="18"/>
        <v>785367.17940000002</v>
      </c>
      <c r="P47" s="36">
        <f t="shared" si="17"/>
        <v>7853.6717939999653</v>
      </c>
      <c r="Q47" s="752"/>
      <c r="R47" s="752"/>
    </row>
    <row r="48" spans="1:18" ht="16.5" customHeight="1">
      <c r="A48" s="353" t="s">
        <v>348</v>
      </c>
      <c r="B48" s="305" t="s">
        <v>349</v>
      </c>
      <c r="C48" s="306">
        <f>'12 36 Solid Surface'!B93</f>
        <v>550958.4066000001</v>
      </c>
      <c r="D48" s="306">
        <f t="shared" si="6"/>
        <v>550958.4066000001</v>
      </c>
      <c r="E48" s="306">
        <f t="shared" si="16"/>
        <v>556467.99066600006</v>
      </c>
      <c r="F48" s="307">
        <f t="shared" si="13"/>
        <v>0.95212309513481963</v>
      </c>
      <c r="G48" s="306">
        <f t="shared" si="14"/>
        <v>5149.1439869158885</v>
      </c>
      <c r="H48" s="308">
        <f t="shared" ca="1" si="15"/>
        <v>5.4942489706950506E-3</v>
      </c>
      <c r="I48" s="98"/>
      <c r="J48" s="243">
        <f t="shared" si="12"/>
        <v>550958.4066000001</v>
      </c>
      <c r="K48" s="244"/>
      <c r="L48" s="235">
        <f t="shared" si="18"/>
        <v>550958.4066000001</v>
      </c>
      <c r="P48" s="36">
        <f t="shared" si="17"/>
        <v>5509.5840659999521</v>
      </c>
      <c r="Q48" s="752"/>
      <c r="R48" s="752"/>
    </row>
    <row r="49" spans="1:18" ht="16.5" customHeight="1">
      <c r="A49" s="304" t="s">
        <v>350</v>
      </c>
      <c r="B49" s="305" t="s">
        <v>351</v>
      </c>
      <c r="C49" s="306">
        <f>'13 30 Fab Eng Structures'!B92</f>
        <v>25199</v>
      </c>
      <c r="D49" s="306">
        <f t="shared" si="6"/>
        <v>25199</v>
      </c>
      <c r="E49" s="306">
        <f t="shared" si="16"/>
        <v>25450.99</v>
      </c>
      <c r="F49" s="307">
        <f t="shared" si="13"/>
        <v>4.3546934917214335E-2</v>
      </c>
      <c r="G49" s="306">
        <f t="shared" si="14"/>
        <v>235.50467289719626</v>
      </c>
      <c r="H49" s="308">
        <f t="shared" ca="1" si="15"/>
        <v>2.5128862388528725E-4</v>
      </c>
      <c r="I49" s="98"/>
      <c r="J49" s="243">
        <f>C49-I49</f>
        <v>25199</v>
      </c>
      <c r="K49" s="244"/>
      <c r="L49" s="235">
        <f t="shared" si="18"/>
        <v>25199</v>
      </c>
      <c r="P49" s="36">
        <f t="shared" si="17"/>
        <v>251.9900000000016</v>
      </c>
      <c r="Q49" s="752"/>
      <c r="R49" s="752"/>
    </row>
    <row r="50" spans="1:18" ht="16.5" customHeight="1">
      <c r="A50" s="304" t="s">
        <v>352</v>
      </c>
      <c r="B50" s="305" t="s">
        <v>132</v>
      </c>
      <c r="C50" s="306">
        <f>'14 20 Elevators'!B121</f>
        <v>1133900</v>
      </c>
      <c r="D50" s="306">
        <f t="shared" si="6"/>
        <v>1133900</v>
      </c>
      <c r="E50" s="306">
        <f t="shared" si="16"/>
        <v>1145239</v>
      </c>
      <c r="F50" s="307">
        <f t="shared" si="13"/>
        <v>1.9595170245894415</v>
      </c>
      <c r="G50" s="306">
        <f t="shared" si="14"/>
        <v>10597.196261682244</v>
      </c>
      <c r="H50" s="308">
        <f t="shared" ca="1" si="15"/>
        <v>1.1307439605679877E-2</v>
      </c>
      <c r="I50" s="98"/>
      <c r="J50" s="243">
        <f t="shared" si="12"/>
        <v>1133900</v>
      </c>
      <c r="K50" s="244"/>
      <c r="L50" s="235">
        <f t="shared" si="18"/>
        <v>1133900</v>
      </c>
      <c r="P50" s="36">
        <f t="shared" si="17"/>
        <v>11339</v>
      </c>
      <c r="Q50" s="752"/>
      <c r="R50" s="752"/>
    </row>
    <row r="51" spans="1:18" ht="16.5" customHeight="1">
      <c r="A51" s="353" t="s">
        <v>353</v>
      </c>
      <c r="B51" s="305" t="s">
        <v>354</v>
      </c>
      <c r="C51" s="306">
        <f>'14 91 Trash Chutes'!B102</f>
        <v>114439.55</v>
      </c>
      <c r="D51" s="306">
        <f t="shared" si="6"/>
        <v>114439.55</v>
      </c>
      <c r="E51" s="306">
        <f t="shared" si="16"/>
        <v>115583.9455</v>
      </c>
      <c r="F51" s="307">
        <f t="shared" si="13"/>
        <v>0.19776545243086219</v>
      </c>
      <c r="G51" s="306">
        <f t="shared" si="14"/>
        <v>1069.5285046728973</v>
      </c>
      <c r="H51" s="308">
        <f t="shared" ca="1" si="15"/>
        <v>1.1412102479285498E-3</v>
      </c>
      <c r="I51" s="98"/>
      <c r="J51" s="243">
        <f t="shared" si="12"/>
        <v>114439.55</v>
      </c>
      <c r="K51" s="244"/>
      <c r="L51" s="235">
        <f t="shared" si="18"/>
        <v>114439.55</v>
      </c>
      <c r="P51" s="36">
        <f t="shared" si="17"/>
        <v>1144.3954999999987</v>
      </c>
      <c r="Q51" s="752"/>
      <c r="R51" s="752"/>
    </row>
    <row r="52" spans="1:18" ht="16.5" customHeight="1">
      <c r="A52" s="353" t="s">
        <v>355</v>
      </c>
      <c r="B52" s="305" t="s">
        <v>356</v>
      </c>
      <c r="C52" s="307">
        <f>'21 13 Fire Protection'!B88</f>
        <v>1325328.675</v>
      </c>
      <c r="D52" s="306">
        <f t="shared" si="6"/>
        <v>1325328.675</v>
      </c>
      <c r="E52" s="306">
        <f t="shared" si="16"/>
        <v>1338581.96175</v>
      </c>
      <c r="F52" s="307">
        <f t="shared" si="13"/>
        <v>2.2903290429835672</v>
      </c>
      <c r="G52" s="306">
        <f t="shared" si="14"/>
        <v>12386.249299065421</v>
      </c>
      <c r="H52" s="308">
        <f t="shared" ca="1" si="15"/>
        <v>1.3216398227567011E-2</v>
      </c>
      <c r="I52" s="98"/>
      <c r="J52" s="243">
        <f t="shared" si="12"/>
        <v>1325328.675</v>
      </c>
      <c r="K52" s="244"/>
      <c r="L52" s="235">
        <f t="shared" si="18"/>
        <v>1325328.675</v>
      </c>
      <c r="P52" s="36">
        <f t="shared" si="17"/>
        <v>13253.28674999997</v>
      </c>
      <c r="Q52" s="752"/>
      <c r="R52" s="752"/>
    </row>
    <row r="53" spans="1:18" ht="16.5" customHeight="1">
      <c r="A53" s="353" t="s">
        <v>357</v>
      </c>
      <c r="B53" s="305" t="s">
        <v>248</v>
      </c>
      <c r="C53" s="306">
        <f>'22 00 Plumbing '!B144-C54</f>
        <v>3323847.4</v>
      </c>
      <c r="D53" s="306">
        <f t="shared" si="6"/>
        <v>3323847.4</v>
      </c>
      <c r="E53" s="306">
        <f t="shared" si="16"/>
        <v>3357085.8739999998</v>
      </c>
      <c r="F53" s="307">
        <f t="shared" si="13"/>
        <v>5.7440123180504026</v>
      </c>
      <c r="G53" s="306">
        <f t="shared" si="14"/>
        <v>31063.994392523364</v>
      </c>
      <c r="H53" s="308">
        <f t="shared" ca="1" si="15"/>
        <v>3.3145959726603828E-2</v>
      </c>
      <c r="I53" s="98"/>
      <c r="J53" s="243">
        <f t="shared" si="12"/>
        <v>3323847.4</v>
      </c>
      <c r="K53" s="244"/>
      <c r="L53" s="235">
        <f t="shared" si="18"/>
        <v>3323847.4</v>
      </c>
      <c r="P53" s="36">
        <f t="shared" si="17"/>
        <v>33238.473999999929</v>
      </c>
      <c r="Q53" s="752"/>
      <c r="R53" s="752"/>
    </row>
    <row r="54" spans="1:18" ht="16.5" customHeight="1">
      <c r="A54" s="353"/>
      <c r="B54" s="305" t="s">
        <v>358</v>
      </c>
      <c r="C54" s="306">
        <v>820000</v>
      </c>
      <c r="D54" s="306"/>
      <c r="E54" s="306">
        <f>C54</f>
        <v>820000</v>
      </c>
      <c r="F54" s="307"/>
      <c r="G54" s="306"/>
      <c r="H54" s="308"/>
      <c r="I54" s="98"/>
      <c r="J54" s="243"/>
      <c r="K54" s="244"/>
      <c r="L54" s="235"/>
      <c r="P54" s="36">
        <f t="shared" si="17"/>
        <v>0</v>
      </c>
      <c r="Q54" s="752"/>
      <c r="R54" s="752"/>
    </row>
    <row r="55" spans="1:18" ht="16.5" customHeight="1">
      <c r="A55" s="353" t="s">
        <v>359</v>
      </c>
      <c r="B55" s="803" t="s">
        <v>135</v>
      </c>
      <c r="C55" s="804">
        <f>'23 00 HVAC'!B124</f>
        <v>10305235</v>
      </c>
      <c r="D55" s="306">
        <f t="shared" si="6"/>
        <v>10305235</v>
      </c>
      <c r="E55" s="306">
        <f t="shared" si="16"/>
        <v>10408287.35</v>
      </c>
      <c r="F55" s="307">
        <f t="shared" si="13"/>
        <v>17.808698672629838</v>
      </c>
      <c r="G55" s="306">
        <f t="shared" si="14"/>
        <v>96310.607476635516</v>
      </c>
      <c r="H55" s="308">
        <f t="shared" ref="H55:H60" ca="1" si="19">C55/$C$84</f>
        <v>0.10276551934459693</v>
      </c>
      <c r="I55" s="98"/>
      <c r="J55" s="243">
        <f t="shared" si="12"/>
        <v>10305235</v>
      </c>
      <c r="K55" s="244"/>
      <c r="L55" s="235">
        <f t="shared" si="18"/>
        <v>10305235</v>
      </c>
      <c r="P55" s="36">
        <f t="shared" si="17"/>
        <v>103052.34999999963</v>
      </c>
      <c r="Q55" s="752"/>
      <c r="R55" s="752"/>
    </row>
    <row r="56" spans="1:18" ht="16.5" customHeight="1">
      <c r="A56" s="353" t="s">
        <v>360</v>
      </c>
      <c r="B56" s="305" t="s">
        <v>361</v>
      </c>
      <c r="C56" s="306">
        <f>'26 00 Electrical'!B147</f>
        <v>12146271</v>
      </c>
      <c r="D56" s="306">
        <f t="shared" si="6"/>
        <v>12146271</v>
      </c>
      <c r="E56" s="306">
        <f t="shared" si="16"/>
        <v>12267733.710000001</v>
      </c>
      <c r="F56" s="307">
        <f t="shared" si="13"/>
        <v>20.990232657004164</v>
      </c>
      <c r="G56" s="306">
        <f t="shared" si="14"/>
        <v>113516.55140186916</v>
      </c>
      <c r="H56" s="308">
        <f t="shared" ca="1" si="19"/>
        <v>0.12112463688748648</v>
      </c>
      <c r="I56" s="98"/>
      <c r="J56" s="243">
        <f t="shared" si="12"/>
        <v>12146271</v>
      </c>
      <c r="K56" s="244"/>
      <c r="L56" s="235">
        <f t="shared" si="18"/>
        <v>12146271</v>
      </c>
      <c r="P56" s="36">
        <f t="shared" si="17"/>
        <v>121462.71000000089</v>
      </c>
      <c r="Q56" s="752"/>
      <c r="R56" s="752"/>
    </row>
    <row r="57" spans="1:18" ht="16.5" customHeight="1">
      <c r="A57" s="353" t="s">
        <v>362</v>
      </c>
      <c r="B57" s="305" t="s">
        <v>139</v>
      </c>
      <c r="C57" s="306">
        <f>'26 41 Lighting Protection'!B72</f>
        <v>90000</v>
      </c>
      <c r="D57" s="306">
        <f t="shared" si="6"/>
        <v>90000</v>
      </c>
      <c r="E57" s="306">
        <f t="shared" si="16"/>
        <v>90900</v>
      </c>
      <c r="F57" s="307">
        <f t="shared" si="13"/>
        <v>0.15553093942415533</v>
      </c>
      <c r="G57" s="306">
        <f t="shared" si="14"/>
        <v>841.12149532710282</v>
      </c>
      <c r="H57" s="308">
        <f t="shared" ca="1" si="19"/>
        <v>8.9749498589927583E-4</v>
      </c>
      <c r="I57" s="98"/>
      <c r="J57" s="243">
        <f t="shared" si="12"/>
        <v>90000</v>
      </c>
      <c r="K57" s="244"/>
      <c r="L57" s="235">
        <f t="shared" si="18"/>
        <v>90000</v>
      </c>
      <c r="P57" s="36">
        <f t="shared" si="17"/>
        <v>900</v>
      </c>
      <c r="Q57" s="752"/>
      <c r="R57" s="752"/>
    </row>
    <row r="58" spans="1:18" ht="16.5" customHeight="1">
      <c r="A58" s="353" t="s">
        <v>363</v>
      </c>
      <c r="B58" s="305" t="s">
        <v>364</v>
      </c>
      <c r="C58" s="306">
        <f>'27 00 Communications'!B142</f>
        <v>960826.5</v>
      </c>
      <c r="D58" s="306">
        <f t="shared" si="6"/>
        <v>960826.5</v>
      </c>
      <c r="E58" s="306">
        <f t="shared" si="16"/>
        <v>970434.76500000001</v>
      </c>
      <c r="F58" s="307">
        <f>C58/$F$4</f>
        <v>1.6604249796513688</v>
      </c>
      <c r="G58" s="306">
        <f>C58/$F$6</f>
        <v>8979.6869158878508</v>
      </c>
      <c r="H58" s="308">
        <f t="shared" ca="1" si="19"/>
        <v>9.5815218452127843E-3</v>
      </c>
      <c r="I58" s="98"/>
      <c r="J58" s="243">
        <f>C58-I58</f>
        <v>960826.5</v>
      </c>
      <c r="K58" s="244"/>
      <c r="L58" s="235">
        <f t="shared" si="18"/>
        <v>960826.5</v>
      </c>
      <c r="P58" s="36">
        <f t="shared" si="17"/>
        <v>9608.265000000014</v>
      </c>
      <c r="Q58" s="752"/>
      <c r="R58" s="752"/>
    </row>
    <row r="59" spans="1:18" ht="16.5" customHeight="1" thickBot="1">
      <c r="A59" s="353" t="s">
        <v>365</v>
      </c>
      <c r="B59" s="305" t="s">
        <v>366</v>
      </c>
      <c r="C59" s="306">
        <f>'27 53 BDA'!B92</f>
        <v>254064</v>
      </c>
      <c r="D59" s="306">
        <f t="shared" si="6"/>
        <v>254064</v>
      </c>
      <c r="E59" s="757">
        <f t="shared" si="16"/>
        <v>256604.64</v>
      </c>
      <c r="F59" s="307">
        <f t="shared" si="13"/>
        <v>0.43905347326509558</v>
      </c>
      <c r="G59" s="306">
        <f t="shared" si="14"/>
        <v>2374.429906542056</v>
      </c>
      <c r="H59" s="308">
        <f t="shared" ca="1" si="19"/>
        <v>2.5335685121945957E-3</v>
      </c>
      <c r="I59" s="98"/>
      <c r="J59" s="243">
        <f t="shared" si="12"/>
        <v>254064</v>
      </c>
      <c r="K59" s="244"/>
      <c r="L59" s="235">
        <f t="shared" si="18"/>
        <v>254064</v>
      </c>
      <c r="P59" s="36">
        <f t="shared" si="17"/>
        <v>2540.640000000014</v>
      </c>
      <c r="Q59" s="752"/>
      <c r="R59" s="752"/>
    </row>
    <row r="60" spans="1:18" ht="16.5" customHeight="1" thickBot="1">
      <c r="A60" s="304" t="s">
        <v>367</v>
      </c>
      <c r="B60" s="305" t="s">
        <v>368</v>
      </c>
      <c r="C60" s="306">
        <f>'27 00 Communications'!I142+'27 00 Communications'!I143</f>
        <v>875000</v>
      </c>
      <c r="D60" s="753"/>
      <c r="E60" s="760">
        <f>C60</f>
        <v>875000</v>
      </c>
      <c r="F60" s="755">
        <f t="shared" si="13"/>
        <v>1.5121063555126213</v>
      </c>
      <c r="G60" s="306">
        <f t="shared" si="14"/>
        <v>8177.5700934579436</v>
      </c>
      <c r="H60" s="308">
        <f t="shared" ca="1" si="19"/>
        <v>8.7256456962429597E-3</v>
      </c>
      <c r="I60" s="98"/>
      <c r="J60" s="243">
        <f t="shared" si="12"/>
        <v>875000</v>
      </c>
      <c r="K60" s="244"/>
      <c r="L60" s="235">
        <f t="shared" si="18"/>
        <v>875000</v>
      </c>
      <c r="P60" s="36">
        <f t="shared" si="17"/>
        <v>0</v>
      </c>
      <c r="Q60" s="752"/>
      <c r="R60" s="752"/>
    </row>
    <row r="61" spans="1:18" ht="16.5" customHeight="1">
      <c r="A61" s="353" t="s">
        <v>369</v>
      </c>
      <c r="B61" s="305" t="s">
        <v>370</v>
      </c>
      <c r="C61" s="306" t="s">
        <v>371</v>
      </c>
      <c r="D61" s="306"/>
      <c r="E61" s="759"/>
      <c r="F61" s="307"/>
      <c r="G61" s="306"/>
      <c r="H61" s="308"/>
      <c r="I61" s="98"/>
      <c r="J61" s="243">
        <v>0</v>
      </c>
      <c r="K61" s="244"/>
      <c r="L61" s="235"/>
      <c r="P61" s="36"/>
      <c r="Q61" s="752"/>
      <c r="R61" s="752"/>
    </row>
    <row r="62" spans="1:18" ht="16.5" customHeight="1">
      <c r="A62" s="353" t="s">
        <v>372</v>
      </c>
      <c r="B62" s="305" t="s">
        <v>373</v>
      </c>
      <c r="C62" s="306">
        <f>'31 30 Site Work'!B192</f>
        <v>2548634.023333333</v>
      </c>
      <c r="D62" s="306">
        <f t="shared" si="6"/>
        <v>2548634.023333333</v>
      </c>
      <c r="E62" s="306">
        <f>C62*(1+$E$8)</f>
        <v>2574120.3635666664</v>
      </c>
      <c r="F62" s="307">
        <f t="shared" ref="F62:F69" si="20">C62/$F$4</f>
        <v>4.4043493766377546</v>
      </c>
      <c r="G62" s="306">
        <f t="shared" ref="G62:G69" si="21">C62/$F$6</f>
        <v>23819.009563862925</v>
      </c>
      <c r="H62" s="308">
        <f ca="1">C62/$C$84</f>
        <v>2.5415402853710713E-2</v>
      </c>
      <c r="I62" s="98"/>
      <c r="J62" s="243">
        <f t="shared" ref="J62:J72" si="22">C62-I62</f>
        <v>2548634.023333333</v>
      </c>
      <c r="K62" s="244"/>
      <c r="L62" s="235">
        <f>C62</f>
        <v>2548634.023333333</v>
      </c>
      <c r="M62" s="36"/>
      <c r="P62" s="36">
        <f>E62-C62</f>
        <v>25486.340233333409</v>
      </c>
      <c r="Q62" s="752"/>
      <c r="R62" s="752"/>
    </row>
    <row r="63" spans="1:18" ht="16.5" customHeight="1">
      <c r="A63" s="353" t="s">
        <v>374</v>
      </c>
      <c r="B63" s="305" t="s">
        <v>375</v>
      </c>
      <c r="C63" s="306">
        <f>'31 32 Soil Stabilization'!B93</f>
        <v>1306673.9722222222</v>
      </c>
      <c r="D63" s="306">
        <f t="shared" si="6"/>
        <v>1306673.9722222222</v>
      </c>
      <c r="E63" s="306">
        <f>C63*(1+$E$8)</f>
        <v>1319740.7119444446</v>
      </c>
      <c r="F63" s="307">
        <f t="shared" si="20"/>
        <v>2.2580914491201654</v>
      </c>
      <c r="G63" s="306">
        <f t="shared" si="21"/>
        <v>12211.906282450675</v>
      </c>
      <c r="H63" s="308">
        <f ca="1">C63/$C$84</f>
        <v>1.3030370425272601E-2</v>
      </c>
      <c r="I63" s="98"/>
      <c r="J63" s="243">
        <f t="shared" si="22"/>
        <v>1306673.9722222222</v>
      </c>
      <c r="K63" s="244"/>
      <c r="L63" s="235">
        <f>C63</f>
        <v>1306673.9722222222</v>
      </c>
      <c r="P63" s="36">
        <f>E63-C63</f>
        <v>13066.739722222323</v>
      </c>
      <c r="Q63" s="752"/>
      <c r="R63" s="752"/>
    </row>
    <row r="64" spans="1:18" ht="16.5" customHeight="1">
      <c r="A64" s="304" t="s">
        <v>376</v>
      </c>
      <c r="B64" s="305" t="s">
        <v>377</v>
      </c>
      <c r="C64" s="306">
        <f>'32 14 Pavers'!B92</f>
        <v>126191.82</v>
      </c>
      <c r="D64" s="306">
        <f t="shared" si="6"/>
        <v>126191.82</v>
      </c>
      <c r="E64" s="306">
        <f>C64*(1+$E$8)</f>
        <v>127453.73820000001</v>
      </c>
      <c r="F64" s="307">
        <f t="shared" si="20"/>
        <v>0.21807480346937683</v>
      </c>
      <c r="G64" s="306">
        <f t="shared" si="21"/>
        <v>1179.3628037383178</v>
      </c>
      <c r="H64" s="308">
        <f ca="1">C64/$C$84</f>
        <v>1.2584058412389329E-3</v>
      </c>
      <c r="I64" s="98"/>
      <c r="J64" s="243">
        <f t="shared" si="22"/>
        <v>126191.82</v>
      </c>
      <c r="K64" s="244"/>
      <c r="L64" s="235">
        <f>C64</f>
        <v>126191.82</v>
      </c>
      <c r="P64" s="36">
        <f>E64-C64</f>
        <v>1261.9182000000001</v>
      </c>
      <c r="Q64" s="752"/>
      <c r="R64" s="752"/>
    </row>
    <row r="65" spans="1:19" ht="16.5" customHeight="1">
      <c r="A65" s="353" t="s">
        <v>378</v>
      </c>
      <c r="B65" s="305" t="s">
        <v>379</v>
      </c>
      <c r="C65" s="306">
        <f>'32 33 Site Furniture'!B99</f>
        <v>209676.35594999997</v>
      </c>
      <c r="D65" s="306">
        <f t="shared" si="6"/>
        <v>209676.35594999997</v>
      </c>
      <c r="E65" s="306">
        <f>C65*(1+$E$8)</f>
        <v>211773.11950949996</v>
      </c>
      <c r="F65" s="307">
        <f>C65/$F$4</f>
        <v>0.36234622906596753</v>
      </c>
      <c r="G65" s="306">
        <f>C65/$F$6</f>
        <v>1959.5921116822426</v>
      </c>
      <c r="H65" s="308">
        <f ca="1">C65/$C$84</f>
        <v>2.0909275347417416E-3</v>
      </c>
      <c r="I65" s="98"/>
      <c r="J65" s="243">
        <f>C65-I65</f>
        <v>209676.35594999997</v>
      </c>
      <c r="K65" s="244"/>
      <c r="L65" s="235">
        <f>C65</f>
        <v>209676.35594999997</v>
      </c>
      <c r="P65" s="36">
        <f>E65-C65</f>
        <v>2096.7635594999883</v>
      </c>
      <c r="Q65" s="752"/>
      <c r="R65" s="752"/>
    </row>
    <row r="66" spans="1:19" ht="16.5" customHeight="1">
      <c r="A66" s="353" t="s">
        <v>380</v>
      </c>
      <c r="B66" s="305" t="s">
        <v>381</v>
      </c>
      <c r="C66" s="306">
        <f>'32 80 Landscape'!B138</f>
        <v>461690.97</v>
      </c>
      <c r="D66" s="306">
        <f t="shared" si="6"/>
        <v>461690.97</v>
      </c>
      <c r="E66" s="306">
        <f>C66*(1+$E$8)</f>
        <v>466307.87969999999</v>
      </c>
      <c r="F66" s="307">
        <f t="shared" si="20"/>
        <v>0.79785811430832798</v>
      </c>
      <c r="G66" s="306">
        <f t="shared" si="21"/>
        <v>4314.8688785046725</v>
      </c>
      <c r="H66" s="308">
        <f ca="1">C66/$C$84</f>
        <v>4.6040592289996992E-3</v>
      </c>
      <c r="I66" s="98"/>
      <c r="J66" s="243">
        <f t="shared" si="22"/>
        <v>461690.97</v>
      </c>
      <c r="K66" s="244"/>
      <c r="L66" s="235">
        <f>C66</f>
        <v>461690.97</v>
      </c>
      <c r="P66" s="36">
        <f>E66-C66</f>
        <v>4616.9097000000183</v>
      </c>
      <c r="Q66" s="752"/>
      <c r="R66" s="752"/>
      <c r="S66" s="752"/>
    </row>
    <row r="67" spans="1:19" ht="16.5" customHeight="1">
      <c r="A67" s="353"/>
      <c r="B67" s="305" t="s">
        <v>152</v>
      </c>
      <c r="C67" s="306"/>
      <c r="D67" s="306"/>
      <c r="E67" s="306">
        <f>P67</f>
        <v>-611352.25064679235</v>
      </c>
      <c r="F67" s="307"/>
      <c r="G67" s="306"/>
      <c r="H67" s="308"/>
      <c r="I67" s="98"/>
      <c r="J67" s="243"/>
      <c r="K67" s="244"/>
      <c r="L67" s="235"/>
      <c r="N67" s="235">
        <f>SUM(D11:D66)</f>
        <v>61135225.064678885</v>
      </c>
      <c r="O67" s="235">
        <f>SUM(E11:E66)-E11-E12-E15-E17-E21-E36-E39-E42-E54-E60</f>
        <v>61746577.315325677</v>
      </c>
      <c r="P67" s="235">
        <f>N67-O67</f>
        <v>-611352.25064679235</v>
      </c>
      <c r="Q67" s="752"/>
      <c r="R67" s="752"/>
      <c r="S67" s="752"/>
    </row>
    <row r="68" spans="1:19" ht="16.5" customHeight="1">
      <c r="A68" s="353"/>
      <c r="B68" s="305"/>
      <c r="C68" s="306"/>
      <c r="D68" s="306"/>
      <c r="E68" s="306"/>
      <c r="F68" s="307"/>
      <c r="G68" s="306"/>
      <c r="H68" s="308"/>
      <c r="I68" s="104"/>
      <c r="J68" s="243">
        <f t="shared" si="22"/>
        <v>0</v>
      </c>
      <c r="K68" s="244"/>
    </row>
    <row r="69" spans="1:19" ht="16.5" hidden="1" customHeight="1">
      <c r="A69" s="310" t="s">
        <v>382</v>
      </c>
      <c r="B69" s="305" t="s">
        <v>383</v>
      </c>
      <c r="C69" s="306"/>
      <c r="D69" s="306"/>
      <c r="E69" s="306"/>
      <c r="F69" s="307">
        <f t="shared" si="20"/>
        <v>0</v>
      </c>
      <c r="G69" s="306">
        <f t="shared" si="21"/>
        <v>0</v>
      </c>
      <c r="H69" s="308">
        <f ca="1">C69/$C$84</f>
        <v>0</v>
      </c>
      <c r="I69" s="98"/>
      <c r="J69" s="243">
        <f t="shared" si="22"/>
        <v>0</v>
      </c>
      <c r="K69" s="244"/>
    </row>
    <row r="70" spans="1:19" ht="16.5" hidden="1" customHeight="1">
      <c r="A70" s="304" t="s">
        <v>384</v>
      </c>
      <c r="B70" s="305" t="s">
        <v>385</v>
      </c>
      <c r="C70" s="306"/>
      <c r="D70" s="306"/>
      <c r="E70" s="306"/>
      <c r="F70" s="307"/>
      <c r="G70" s="306"/>
      <c r="H70" s="308"/>
      <c r="I70" s="98"/>
      <c r="J70" s="243"/>
      <c r="K70" s="244"/>
    </row>
    <row r="71" spans="1:19" ht="16.5" customHeight="1">
      <c r="A71" s="311"/>
      <c r="B71" s="687" t="s">
        <v>386</v>
      </c>
      <c r="C71" s="312">
        <f>SUM(C11:C69)</f>
        <v>92313567.652925596</v>
      </c>
      <c r="D71" s="312"/>
      <c r="E71" s="312">
        <f>SUM(E11:E69)</f>
        <v>92313567.652925611</v>
      </c>
      <c r="F71" s="686">
        <f>SUM(F11:F69)</f>
        <v>156.41637819063192</v>
      </c>
      <c r="G71" s="314">
        <f>SUM(G11:G69)</f>
        <v>845910.00610210863</v>
      </c>
      <c r="H71" s="315">
        <f ca="1">SUM(H11:H69)</f>
        <v>0.90260443136508328</v>
      </c>
      <c r="I71" s="302">
        <f>SUM(I13:I69)</f>
        <v>0</v>
      </c>
      <c r="J71" s="245">
        <f t="shared" si="22"/>
        <v>92313567.652925596</v>
      </c>
      <c r="K71" s="246"/>
      <c r="L71" s="751"/>
      <c r="Q71" t="s">
        <v>387</v>
      </c>
      <c r="R71" s="235">
        <f>C71</f>
        <v>92313567.652925596</v>
      </c>
    </row>
    <row r="72" spans="1:19" ht="16.5" customHeight="1">
      <c r="A72" s="310"/>
      <c r="B72" s="305" t="s">
        <v>388</v>
      </c>
      <c r="C72" s="316">
        <f>C71*L72</f>
        <v>0</v>
      </c>
      <c r="D72" s="316"/>
      <c r="E72" s="316"/>
      <c r="F72" s="317">
        <f>C72/$F$4</f>
        <v>0</v>
      </c>
      <c r="G72" s="318">
        <f>C72/$F$6</f>
        <v>0</v>
      </c>
      <c r="H72" s="308">
        <f ca="1">C72/$C$84</f>
        <v>0</v>
      </c>
      <c r="I72" s="99"/>
      <c r="J72" s="243">
        <f t="shared" si="22"/>
        <v>0</v>
      </c>
      <c r="K72" s="244"/>
      <c r="L72" s="684">
        <v>0</v>
      </c>
      <c r="Q72" s="182" t="s">
        <v>389</v>
      </c>
      <c r="R72" s="59">
        <f>'ERUA Cost Summary'!E67</f>
        <v>92313567.652925581</v>
      </c>
    </row>
    <row r="73" spans="1:19" ht="16.5" customHeight="1">
      <c r="A73" s="310"/>
      <c r="B73" s="305" t="s">
        <v>390</v>
      </c>
      <c r="C73" s="316">
        <f>C71*L73</f>
        <v>0</v>
      </c>
      <c r="D73" s="316"/>
      <c r="E73" s="316"/>
      <c r="F73" s="317"/>
      <c r="G73" s="318"/>
      <c r="H73" s="308">
        <f ca="1">C73/$C$84</f>
        <v>0</v>
      </c>
      <c r="I73" s="242"/>
      <c r="J73" s="243">
        <f>C73-I73</f>
        <v>0</v>
      </c>
      <c r="K73" s="244"/>
      <c r="L73" s="684">
        <v>0</v>
      </c>
      <c r="Q73" s="182" t="s">
        <v>281</v>
      </c>
      <c r="R73" s="685">
        <f>R72-R71</f>
        <v>0</v>
      </c>
    </row>
    <row r="74" spans="1:19" ht="16.5" customHeight="1">
      <c r="A74" s="311"/>
      <c r="B74" s="687" t="s">
        <v>391</v>
      </c>
      <c r="C74" s="312">
        <f t="shared" ref="C74:J74" si="23">SUM(C71:C73)</f>
        <v>92313567.652925596</v>
      </c>
      <c r="D74" s="312"/>
      <c r="E74" s="312"/>
      <c r="F74" s="313">
        <f t="shared" si="23"/>
        <v>156.41637819063192</v>
      </c>
      <c r="G74" s="319">
        <f t="shared" si="23"/>
        <v>845910.00610210863</v>
      </c>
      <c r="H74" s="315">
        <f t="shared" ca="1" si="23"/>
        <v>0.90260443136508328</v>
      </c>
      <c r="I74" s="302">
        <f t="shared" si="23"/>
        <v>0</v>
      </c>
      <c r="J74" s="247">
        <f t="shared" si="23"/>
        <v>92313567.652925596</v>
      </c>
      <c r="K74" s="246"/>
      <c r="L74" s="357"/>
    </row>
    <row r="75" spans="1:19" ht="16.5" customHeight="1" thickBot="1">
      <c r="A75" s="304"/>
      <c r="B75" s="305" t="s">
        <v>392</v>
      </c>
      <c r="C75" s="809" t="s">
        <v>393</v>
      </c>
      <c r="D75" s="784"/>
      <c r="E75" s="784"/>
      <c r="F75" s="307"/>
      <c r="G75" s="306"/>
      <c r="H75" s="308"/>
      <c r="I75" s="97"/>
      <c r="J75" s="248"/>
      <c r="K75" s="249"/>
      <c r="L75" s="356"/>
      <c r="O75" s="103" t="s">
        <v>394</v>
      </c>
      <c r="P75" s="36">
        <v>0.8</v>
      </c>
    </row>
    <row r="76" spans="1:19" ht="16.5" customHeight="1" thickBot="1">
      <c r="A76" s="321"/>
      <c r="B76" s="807" t="s">
        <v>395</v>
      </c>
      <c r="C76" s="810">
        <f ca="1">L76*C84</f>
        <v>802232.89412427344</v>
      </c>
      <c r="D76" s="808"/>
      <c r="E76" s="784"/>
      <c r="F76" s="322"/>
      <c r="G76" s="323"/>
      <c r="H76" s="308"/>
      <c r="I76" s="98"/>
      <c r="J76" s="243"/>
      <c r="K76" s="244"/>
      <c r="L76" s="356">
        <v>8.0000000000000002E-3</v>
      </c>
      <c r="N76" s="59">
        <f ca="1">C84</f>
        <v>100279111.76553418</v>
      </c>
      <c r="O76" s="59">
        <f ca="1">N76/100</f>
        <v>1002791.1176553417</v>
      </c>
      <c r="P76" s="59">
        <f ca="1">O76*P75</f>
        <v>802232.89412427344</v>
      </c>
    </row>
    <row r="77" spans="1:19" ht="16.5" customHeight="1" thickBot="1">
      <c r="A77" s="321"/>
      <c r="B77" s="305" t="s">
        <v>396</v>
      </c>
      <c r="C77" s="759">
        <f>C12*L77</f>
        <v>0</v>
      </c>
      <c r="D77" s="306"/>
      <c r="E77" s="306"/>
      <c r="F77" s="322">
        <f>C77/$F$4</f>
        <v>0</v>
      </c>
      <c r="G77" s="323">
        <f>C77/$F$6</f>
        <v>0</v>
      </c>
      <c r="H77" s="308">
        <f ca="1">C77/$C$84</f>
        <v>0</v>
      </c>
      <c r="I77" s="251"/>
      <c r="J77" s="251"/>
      <c r="K77" s="252"/>
      <c r="L77" s="356">
        <v>0</v>
      </c>
    </row>
    <row r="78" spans="1:19" ht="16.5" customHeight="1">
      <c r="A78" s="304"/>
      <c r="B78" s="305" t="s">
        <v>397</v>
      </c>
      <c r="C78" s="306">
        <f>(C74-C11-C12)*L78</f>
        <v>1318120.7441335761</v>
      </c>
      <c r="D78" s="306"/>
      <c r="E78" s="306"/>
      <c r="F78" s="307">
        <f>C78/$F$4</f>
        <v>2.2778728623284641</v>
      </c>
      <c r="G78" s="306">
        <f>C78/$F$6</f>
        <v>12318.885459192299</v>
      </c>
      <c r="H78" s="308">
        <f ca="1">C78/$C$84</f>
        <v>1.3144519540774519E-2</v>
      </c>
      <c r="I78" s="98"/>
      <c r="J78" s="243">
        <f>C78-I78</f>
        <v>1318120.7441335761</v>
      </c>
      <c r="K78" s="244"/>
      <c r="L78" s="356">
        <v>1.4999999999999999E-2</v>
      </c>
    </row>
    <row r="79" spans="1:19" ht="16.5" customHeight="1">
      <c r="A79" s="321"/>
      <c r="B79" s="305" t="s">
        <v>398</v>
      </c>
      <c r="C79" s="306">
        <f>C74*L79</f>
        <v>507724.62209109077</v>
      </c>
      <c r="D79" s="306"/>
      <c r="E79" s="306"/>
      <c r="F79" s="307">
        <f t="shared" ref="F79:F80" si="24">C79/$F$4</f>
        <v>0.87740986047335112</v>
      </c>
      <c r="G79" s="306">
        <f t="shared" ref="G79:G80" si="25">C79/$F$6</f>
        <v>4745.0899260849601</v>
      </c>
      <c r="H79" s="308">
        <f t="shared" ref="H79:H80" ca="1" si="26">C79/$C$84</f>
        <v>5.0631144727150959E-3</v>
      </c>
      <c r="I79" s="354"/>
      <c r="J79" s="354"/>
      <c r="K79" s="355"/>
      <c r="L79" s="356">
        <v>5.4999999999999997E-3</v>
      </c>
    </row>
    <row r="80" spans="1:19">
      <c r="B80" t="s">
        <v>399</v>
      </c>
      <c r="C80" s="235">
        <f>C74*L80</f>
        <v>230783.91913231398</v>
      </c>
      <c r="F80" s="307">
        <f t="shared" si="24"/>
        <v>0.39882266385152321</v>
      </c>
      <c r="G80" s="306">
        <f t="shared" si="25"/>
        <v>2156.8590573113456</v>
      </c>
      <c r="H80" s="308">
        <f t="shared" ca="1" si="26"/>
        <v>2.3014156694159526E-3</v>
      </c>
      <c r="L80" s="358">
        <v>2.5000000000000001E-3</v>
      </c>
    </row>
    <row r="81" spans="1:18" ht="16.5" customHeight="1">
      <c r="A81" s="321"/>
      <c r="B81" s="305" t="s">
        <v>155</v>
      </c>
      <c r="C81" s="306">
        <f>(C78+C79+C80+C12+C11+C74)*L81</f>
        <v>1482135.7247345466</v>
      </c>
      <c r="D81" s="306"/>
      <c r="E81" s="306"/>
      <c r="F81" s="322">
        <f>C81/$F$4</f>
        <v>2.561310684689615</v>
      </c>
      <c r="G81" s="323">
        <f>C81/$F$6</f>
        <v>13851.735745182679</v>
      </c>
      <c r="H81" s="308">
        <f ca="1">C81/$C$84</f>
        <v>1.4780104237460498E-2</v>
      </c>
      <c r="I81" s="97"/>
      <c r="J81" s="248">
        <f>C81-I81</f>
        <v>1482135.7247345466</v>
      </c>
      <c r="K81" s="249"/>
      <c r="L81" s="356">
        <v>1.4999999999999999E-2</v>
      </c>
    </row>
    <row r="82" spans="1:18" ht="16.5" customHeight="1">
      <c r="A82" s="311"/>
      <c r="B82" s="687" t="s">
        <v>400</v>
      </c>
      <c r="C82" s="312">
        <f t="shared" ref="C82:J82" ca="1" si="27">SUM(C74:C81)</f>
        <v>96654565.557141379</v>
      </c>
      <c r="D82" s="312"/>
      <c r="E82" s="312"/>
      <c r="F82" s="313">
        <f t="shared" si="27"/>
        <v>162.53179426197485</v>
      </c>
      <c r="G82" s="319">
        <f t="shared" si="27"/>
        <v>878982.57628987997</v>
      </c>
      <c r="H82" s="315">
        <f t="shared" ca="1" si="27"/>
        <v>0.93789358528544942</v>
      </c>
      <c r="I82" s="303">
        <f t="shared" si="27"/>
        <v>0</v>
      </c>
      <c r="J82" s="247">
        <f t="shared" si="27"/>
        <v>95113824.121793717</v>
      </c>
      <c r="K82" s="246"/>
      <c r="L82" s="359"/>
    </row>
    <row r="83" spans="1:18" ht="16.5" customHeight="1">
      <c r="A83" s="320"/>
      <c r="B83" s="305" t="s">
        <v>401</v>
      </c>
      <c r="C83" s="316">
        <f ca="1">C82*L83</f>
        <v>3624546.2083928017</v>
      </c>
      <c r="D83" s="316"/>
      <c r="E83" s="316"/>
      <c r="F83" s="317">
        <f ca="1">C83/$F$4</f>
        <v>6.2636564086399193</v>
      </c>
      <c r="G83" s="318">
        <f ca="1">C83/$F$6</f>
        <v>33874.263629839268</v>
      </c>
      <c r="H83" s="308">
        <f ca="1">C83/$C$84</f>
        <v>3.614457831325301E-2</v>
      </c>
      <c r="I83" s="98"/>
      <c r="J83" s="243">
        <f ca="1">C83-I83</f>
        <v>3624546.2083928017</v>
      </c>
      <c r="K83" s="244"/>
      <c r="L83" s="356">
        <v>3.7499999999999999E-2</v>
      </c>
    </row>
    <row r="84" spans="1:18" s="250" customFormat="1" ht="16.5" customHeight="1">
      <c r="A84" s="311"/>
      <c r="B84" s="687" t="s">
        <v>402</v>
      </c>
      <c r="C84" s="312">
        <f t="shared" ref="C84:J84" ca="1" si="28">SUM(C82:C83)</f>
        <v>100279111.76553418</v>
      </c>
      <c r="D84" s="312"/>
      <c r="E84" s="312"/>
      <c r="F84" s="313">
        <f t="shared" ca="1" si="28"/>
        <v>168.79545067061477</v>
      </c>
      <c r="G84" s="319">
        <f t="shared" ca="1" si="28"/>
        <v>912856.83991971926</v>
      </c>
      <c r="H84" s="315">
        <f t="shared" ca="1" si="28"/>
        <v>0.97403816359870243</v>
      </c>
      <c r="I84" s="303">
        <f t="shared" si="28"/>
        <v>0</v>
      </c>
      <c r="J84" s="247">
        <f t="shared" ca="1" si="28"/>
        <v>98738370.330186516</v>
      </c>
      <c r="K84" s="246"/>
      <c r="L84" s="259"/>
      <c r="R84" s="59"/>
    </row>
    <row r="85" spans="1:18">
      <c r="A85" s="324"/>
      <c r="B85" s="325"/>
      <c r="C85" s="326"/>
      <c r="D85" s="326"/>
      <c r="E85" s="326"/>
      <c r="F85" s="327"/>
      <c r="G85" s="327"/>
      <c r="H85" s="328"/>
      <c r="I85" s="242"/>
      <c r="J85" s="242"/>
      <c r="K85" s="244"/>
      <c r="L85" s="35"/>
      <c r="R85" s="235"/>
    </row>
    <row r="86" spans="1:18">
      <c r="A86" s="100"/>
      <c r="B86" s="101"/>
      <c r="R86" s="180"/>
    </row>
    <row r="87" spans="1:18" ht="16.5" customHeight="1" thickBot="1">
      <c r="A87" s="321"/>
      <c r="B87" s="305" t="s">
        <v>403</v>
      </c>
      <c r="C87" s="306">
        <f ca="1">C84*L87</f>
        <v>1002791.1176553417</v>
      </c>
      <c r="D87" s="306"/>
      <c r="E87" s="306"/>
      <c r="F87" s="322">
        <f ca="1">C87/$F$4</f>
        <v>1.7329449397237109</v>
      </c>
      <c r="G87" s="323">
        <f ca="1">C87/$F$6</f>
        <v>9371.8796042555296</v>
      </c>
      <c r="H87" s="308">
        <f ca="1">C87/$C$84</f>
        <v>0.01</v>
      </c>
      <c r="I87" s="251"/>
      <c r="J87" s="251"/>
      <c r="K87" s="252"/>
      <c r="L87" s="664">
        <v>0.01</v>
      </c>
      <c r="P87" s="21"/>
    </row>
    <row r="88" spans="1:18">
      <c r="A88" s="182"/>
      <c r="B88" s="182"/>
      <c r="C88" s="253"/>
      <c r="D88" s="253"/>
      <c r="E88" s="253"/>
      <c r="F88" s="182"/>
    </row>
    <row r="89" spans="1:18" ht="15.75" thickBot="1">
      <c r="A89" s="182"/>
      <c r="B89" t="s">
        <v>404</v>
      </c>
      <c r="C89" s="235">
        <f ca="1">C84</f>
        <v>100279111.76553418</v>
      </c>
      <c r="F89" s="182"/>
    </row>
    <row r="90" spans="1:18" ht="15.75" thickBot="1">
      <c r="A90" s="182"/>
      <c r="B90" s="182" t="s">
        <v>389</v>
      </c>
      <c r="C90" s="253">
        <f ca="1">'ERUA Cost Summary'!E78</f>
        <v>100279111.76553418</v>
      </c>
      <c r="D90" s="253"/>
      <c r="E90" s="253"/>
      <c r="F90" s="2228" t="s">
        <v>405</v>
      </c>
      <c r="G90" s="2229"/>
      <c r="H90" s="2229"/>
      <c r="I90" s="2229"/>
      <c r="J90" s="2229"/>
      <c r="K90" s="2229"/>
      <c r="L90" s="2230"/>
    </row>
    <row r="91" spans="1:18" ht="15.75" thickBot="1">
      <c r="A91" s="182"/>
      <c r="B91" s="182" t="s">
        <v>281</v>
      </c>
      <c r="C91" s="253">
        <f ca="1">C90-C89</f>
        <v>0</v>
      </c>
      <c r="D91" s="253"/>
      <c r="E91" s="253"/>
      <c r="F91" s="820" t="s">
        <v>406</v>
      </c>
      <c r="G91" s="821" t="s">
        <v>407</v>
      </c>
      <c r="H91" s="822" t="s">
        <v>408</v>
      </c>
      <c r="I91" s="822"/>
      <c r="J91" s="823"/>
      <c r="K91" s="822" t="s">
        <v>408</v>
      </c>
      <c r="L91" s="824" t="s">
        <v>409</v>
      </c>
    </row>
    <row r="92" spans="1:18">
      <c r="A92" s="182"/>
      <c r="B92" s="182"/>
      <c r="C92" s="253"/>
      <c r="D92" s="253"/>
      <c r="E92" s="825" t="s">
        <v>410</v>
      </c>
      <c r="F92" s="815"/>
      <c r="G92" s="812"/>
      <c r="H92" s="106"/>
      <c r="I92" s="106"/>
      <c r="J92" s="813"/>
      <c r="K92" s="106"/>
      <c r="L92" s="886">
        <f>-C71*M92</f>
        <v>-923135.67652925593</v>
      </c>
      <c r="M92" s="827">
        <v>0.01</v>
      </c>
    </row>
    <row r="93" spans="1:18">
      <c r="A93" s="182"/>
      <c r="B93" s="687" t="s">
        <v>402</v>
      </c>
      <c r="C93" s="312">
        <f ca="1">C84</f>
        <v>100279111.76553418</v>
      </c>
      <c r="D93" s="253"/>
      <c r="E93" s="825" t="s">
        <v>411</v>
      </c>
      <c r="F93" s="815"/>
      <c r="G93" s="812"/>
      <c r="H93" s="106"/>
      <c r="I93" s="106"/>
      <c r="J93" s="813"/>
      <c r="K93" s="106"/>
      <c r="L93" s="887">
        <f>(E71-E56)*M93</f>
        <v>1600916.6788585121</v>
      </c>
      <c r="M93" s="827">
        <v>0.02</v>
      </c>
    </row>
    <row r="94" spans="1:18">
      <c r="A94" s="182"/>
      <c r="B94" s="325" t="s">
        <v>412</v>
      </c>
      <c r="C94" s="326">
        <f>99677000+777481</f>
        <v>100454481</v>
      </c>
      <c r="D94" s="253"/>
      <c r="E94" s="825" t="s">
        <v>413</v>
      </c>
      <c r="F94" s="815"/>
      <c r="G94" s="812"/>
      <c r="H94" s="106"/>
      <c r="I94" s="106"/>
      <c r="J94" s="813"/>
      <c r="K94" s="106"/>
      <c r="L94" s="887"/>
      <c r="M94" s="775">
        <f ca="1">L94/C84</f>
        <v>0</v>
      </c>
    </row>
    <row r="95" spans="1:18">
      <c r="A95" s="182"/>
      <c r="B95" s="182"/>
      <c r="C95" s="235">
        <f ca="1">C93-C94</f>
        <v>-175369.23446582258</v>
      </c>
      <c r="D95" s="178"/>
      <c r="E95" s="22" t="s">
        <v>414</v>
      </c>
      <c r="F95" s="816">
        <v>7.4999999999999997E-3</v>
      </c>
      <c r="G95" s="814">
        <f>F95*(C74-C11-C12)</f>
        <v>659060.37206678803</v>
      </c>
      <c r="H95" s="235">
        <f>C78</f>
        <v>1318120.7441335761</v>
      </c>
      <c r="L95" s="888">
        <f>H95-G95</f>
        <v>659060.37206678803</v>
      </c>
      <c r="M95" s="738">
        <f ca="1">L95/$C$84</f>
        <v>6.5722597703872596E-3</v>
      </c>
    </row>
    <row r="96" spans="1:18">
      <c r="A96" s="182"/>
      <c r="B96" s="182"/>
      <c r="D96" s="178"/>
      <c r="E96" s="22" t="s">
        <v>415</v>
      </c>
      <c r="F96" s="816">
        <v>8.9999999999999993E-3</v>
      </c>
      <c r="G96" s="180">
        <f ca="1">C84*F96</f>
        <v>902512.00588980748</v>
      </c>
      <c r="H96" s="235">
        <f>C81</f>
        <v>1482135.7247345466</v>
      </c>
      <c r="L96" s="888">
        <f ca="1">H96-G96</f>
        <v>579623.71884473914</v>
      </c>
      <c r="M96" s="738">
        <f ca="1">L96/$C$84</f>
        <v>5.7801042374604995E-3</v>
      </c>
    </row>
    <row r="97" spans="1:13" ht="15.75" thickBot="1">
      <c r="A97" s="182"/>
      <c r="B97" s="687" t="s">
        <v>402</v>
      </c>
      <c r="C97" s="312">
        <v>100334156</v>
      </c>
      <c r="D97" s="739"/>
      <c r="E97" s="22" t="s">
        <v>416</v>
      </c>
      <c r="F97" s="817"/>
      <c r="G97" s="818"/>
      <c r="H97" s="818"/>
      <c r="I97" s="818"/>
      <c r="J97" s="818"/>
      <c r="K97" s="819"/>
      <c r="L97" s="889">
        <f ca="1">C83</f>
        <v>3624546.2083928017</v>
      </c>
      <c r="M97" s="738">
        <f ca="1">L97/$C$84</f>
        <v>3.614457831325301E-2</v>
      </c>
    </row>
    <row r="98" spans="1:13" ht="15.75" thickBot="1">
      <c r="A98" s="182"/>
      <c r="B98" s="325" t="s">
        <v>412</v>
      </c>
      <c r="C98" s="326">
        <f>99677000+777481</f>
        <v>100454481</v>
      </c>
      <c r="D98" s="253"/>
      <c r="E98" s="253"/>
      <c r="F98" s="182"/>
      <c r="L98" s="890">
        <f ca="1">SUM(L92:L97)</f>
        <v>5541011.3016335852</v>
      </c>
      <c r="M98" s="738">
        <f ca="1">L98/C84</f>
        <v>5.5255887333637364E-2</v>
      </c>
    </row>
    <row r="99" spans="1:13">
      <c r="A99" s="182"/>
      <c r="B99" s="182"/>
      <c r="C99" s="235">
        <f>C97-C98</f>
        <v>-120325</v>
      </c>
      <c r="D99" s="253"/>
      <c r="E99" s="253"/>
      <c r="F99" s="182"/>
    </row>
    <row r="100" spans="1:13">
      <c r="A100" s="182"/>
      <c r="B100" s="182"/>
      <c r="C100" s="253"/>
      <c r="D100" s="253"/>
      <c r="E100" s="253"/>
      <c r="F100" s="182"/>
    </row>
    <row r="101" spans="1:13">
      <c r="A101" s="100"/>
      <c r="B101" s="101"/>
    </row>
    <row r="102" spans="1:13">
      <c r="C102" s="235">
        <f ca="1">C84-35000000</f>
        <v>65279111.765534177</v>
      </c>
      <c r="G102" s="21"/>
    </row>
    <row r="103" spans="1:13" ht="45.75" hidden="1" customHeight="1">
      <c r="B103" s="89" t="s">
        <v>417</v>
      </c>
      <c r="C103" s="255"/>
      <c r="D103" s="255"/>
      <c r="E103" s="255"/>
      <c r="F103" s="40"/>
      <c r="G103" s="40"/>
      <c r="H103" s="40"/>
    </row>
    <row r="104" spans="1:13">
      <c r="C104" s="235">
        <f ca="1">C102/F7</f>
        <v>154324.1412896789</v>
      </c>
    </row>
  </sheetData>
  <sortState xmlns:xlrd2="http://schemas.microsoft.com/office/spreadsheetml/2017/richdata2" ref="A42:H44">
    <sortCondition ref="A42:A44"/>
  </sortState>
  <mergeCells count="4">
    <mergeCell ref="F90:L90"/>
    <mergeCell ref="A3:B3"/>
    <mergeCell ref="A5:B5"/>
    <mergeCell ref="A6:B6"/>
  </mergeCells>
  <conditionalFormatting sqref="A11:H68 A72:H73 A75:H81 A87:H87">
    <cfRule type="expression" dxfId="658" priority="3">
      <formula>MOD(ROW(),2)=0</formula>
    </cfRule>
  </conditionalFormatting>
  <hyperlinks>
    <hyperlink ref="A13" location="'02 21 Survey '!A1" display="02 21 00" xr:uid="{8E8C6C1C-02F0-4081-8A53-A88A6D232623}"/>
    <hyperlink ref="A15" location="'02-100 Site preparation'!A1" display="02 50 10" xr:uid="{B617DEE3-BD4C-48C4-8D3B-9B2DCC9D6088}"/>
    <hyperlink ref="A50" location="'14 20 Elevators'!A1" display="14 20 00" xr:uid="{EE585A36-060D-45C6-9E25-B9233DA5D581}"/>
    <hyperlink ref="A16" location="'03 30 CIP Concrete'!A1" display="03 30 00" xr:uid="{9756DEC6-0795-497B-9184-1DC00B1C57DE}"/>
    <hyperlink ref="A20" location="'05 52 Misc. Metals'!A1" display="05 52 00" xr:uid="{18BEF301-1B59-4C05-9911-B74296AFD5E2}"/>
    <hyperlink ref="A21" location="'06 10 Rough Carpentry'!A1" display="06 10 00" xr:uid="{245256BE-820C-470E-A32C-C75FF08749FD}"/>
    <hyperlink ref="A22" location="'06 30 Finish Carpentry'!A1" display="06 20 00" xr:uid="{52666778-8260-4384-A938-091A6226208D}"/>
    <hyperlink ref="A23" location="'07 10 Waterproofing'!A1" display="07 10 00" xr:uid="{B14A5544-AF99-4DB3-8C77-B6E2701A5C1A}"/>
    <hyperlink ref="A26" location="'07 50 Roofing'!A1" display="07 50 00" xr:uid="{77261076-E384-4BC4-84A5-D12BDAFE0DCA}"/>
    <hyperlink ref="A33" location="'08 50 Storefront &amp; Windows'!A1" display="08 50 00" xr:uid="{8725BAF2-6888-4710-8C23-1A61F2912952}"/>
    <hyperlink ref="A49" location="'13 30 Fab Eng Structures'!A1" display="13 30 00" xr:uid="{30368A7F-0808-49E1-9813-7FC8EB7C719E}"/>
    <hyperlink ref="A28" location="'07 84 Firestopping'!A1" display="07 84 00" xr:uid="{15C7C31F-3C67-4256-A138-DF7DF966323D}"/>
    <hyperlink ref="A30" location="'08 10 DFH'!A1" display="08 10 70" xr:uid="{A27C7CF1-5397-4929-B1F5-782515E249DA}"/>
    <hyperlink ref="A32" location="'08 33 Overhead doors'!A1" display="08 33 23" xr:uid="{68EDEF7F-A5DA-4CDA-80BE-875E70953F19}"/>
    <hyperlink ref="A34" location="'09 29 Drywall &amp; Frame'!A1" display="09 29 50" xr:uid="{CF3834EC-F56A-4DEA-AC77-95FE43B83EB7}"/>
    <hyperlink ref="A35" location="'09 30 Tile'!A1" display="09 30 00" xr:uid="{EE5EE951-0375-4158-BF58-3BC1F1E90EDB}"/>
    <hyperlink ref="A38" location="'09 60 Flooring'!A1" display="09 60 00" xr:uid="{6C432F32-C356-49A0-A372-74F8E19F8FD4}"/>
    <hyperlink ref="A41" location="'09 90 Painting'!A1" display="09 90 00" xr:uid="{EA340A71-30F9-4761-A3A2-39A59071C627}"/>
    <hyperlink ref="A40" location="'09 96 Fluid Applied Flooring'!A1" display="09 96 00" xr:uid="{CF3023F4-4248-4272-AD08-1D09CE22FDC7}"/>
    <hyperlink ref="A42" location="'10 14 Signage'!A1" display="10 14 00" xr:uid="{4C9CBF5A-917E-4E26-8D2C-6F8B9961CB47}"/>
    <hyperlink ref="A43" location="'10 20 Toilet Partitions &amp; Bath'!A1" display="10 20 00 " xr:uid="{FE5C09F1-8F66-4A61-9B02-35B391D89D36}"/>
    <hyperlink ref="A44" location="'10 44 Fire Extinguishers'!A1" display="10 44 00 " xr:uid="{33778AD3-4825-4A35-AEAA-A3578CFC7DE5}"/>
    <hyperlink ref="A45" location="'11 30 Appliances'!A1" display="11 30 00" xr:uid="{2FF1B20D-4FF2-4174-AD9C-FE7BE76AE17E}"/>
    <hyperlink ref="A46" location="'12 20 Window Treatment'!A1" display="12 20 00" xr:uid="{F3E83802-D63B-4BBB-9565-D40A664DB1FE}"/>
    <hyperlink ref="A47" location="'12 34 Residential Casework'!A1" display="12 34 00" xr:uid="{F3E139D6-DBA0-478C-9AC8-97399E83E23A}"/>
    <hyperlink ref="A51" location="'14 91 Trash Chutes'!A1" display="14 91 00" xr:uid="{6B5BC43A-3A72-4C2C-820D-2BCABD0B4A56}"/>
    <hyperlink ref="A52" location="'21 13 Fire Protection'!A1" display="21 13 00" xr:uid="{4A8007BD-49A9-47A0-88AC-C31A90572A09}"/>
    <hyperlink ref="A53" location="'22 00 Plumbing '!A1" display="22 00 00" xr:uid="{A793DFDE-06FD-4F67-B53E-62B5C3B659AA}"/>
    <hyperlink ref="A55" location="'23 00 HVAC'!A1" display="23 00 00" xr:uid="{65E768D4-C9C3-4345-AFD0-01DC2C9D25B9}"/>
    <hyperlink ref="A56" location="'26 00 Electrical'!A1" display="26 00 00" xr:uid="{13E3050E-4BE3-4241-9993-5DD20B1B74F5}"/>
    <hyperlink ref="A59" location="'27 53 BDA'!A1" display="27 50 00" xr:uid="{037A735A-B9AE-434B-B7C9-C5AA5CD3C2F4}"/>
    <hyperlink ref="A62" location="'31 30 Site Work'!A1" display="31 30 10" xr:uid="{AE3A21CF-A649-45F2-8BDB-04241D3A4CBB}"/>
    <hyperlink ref="A66" location="'32 80 Landscape'!A1" display="32 80 00" xr:uid="{8FEA8996-F06C-4357-BD10-52A793765A39}"/>
    <hyperlink ref="A17" location="'03 41 Precast Hollow Core'!A1" display="03 41 00" xr:uid="{8F46D2D1-B96E-4224-B593-35298F692171}"/>
    <hyperlink ref="A18" location="'04 22 Concrete Unit Masonry'!A1" display="04 22 00" xr:uid="{C9AD2A97-32B6-4890-8723-EDD0EB79013D}"/>
    <hyperlink ref="A19" location="'05 10 Steel'!A1" display="05 10  00" xr:uid="{E682B9D5-737F-4703-BD38-3262DAB69A47}"/>
    <hyperlink ref="A25" location="'07 42 Metal Panel'!A1" display="07 42 00" xr:uid="{E6801F6E-602E-4680-9067-A709F9D97942}"/>
    <hyperlink ref="A24" location="'07 21 Insulation'!A1" display="07 21 00" xr:uid="{782983C3-B152-40BC-9770-76C8E2FCA1DF}"/>
    <hyperlink ref="A27" location="'07 81 Spray Fireproofing'!A1" display="07 81 00" xr:uid="{154F6922-1971-44ED-A3E8-124DED966544}"/>
    <hyperlink ref="A29" location="'07 92 Exp Joint'!A1" display="07 92 00" xr:uid="{686BAD93-4F31-4539-96F0-F604028D61DC}"/>
    <hyperlink ref="A48" location="'12 36 Solid Surface'!A1" display="12 36 62" xr:uid="{7C83F8D0-48ED-4F82-BB65-DE48D614141A}"/>
    <hyperlink ref="A58" location="'26 20 LV'!A1" display="26 20 00" xr:uid="{4D231228-6B6F-43DE-9B3A-204B6695B24E}"/>
    <hyperlink ref="A60" location="'27 00 Communications'!A1" display="28 10 00" xr:uid="{FEA52174-B415-47A5-829F-EEDA2DD945D3}"/>
    <hyperlink ref="A63" location="'31 32 Soil Stabilization'!A1" display="31 32 00" xr:uid="{DD4374C6-2B50-47C1-A9C7-38E4346EC123}"/>
    <hyperlink ref="A65" location="'32 33 Site Furniture'!A1" display="32 33 00" xr:uid="{C56C89C3-1980-4D17-A0CA-5F3370443573}"/>
    <hyperlink ref="A64" location="'32 14 Pavers'!A1" display="32 14 00" xr:uid="{99FA0C21-CB2A-48B1-854A-C036756A001E}"/>
    <hyperlink ref="A70" location="'41 22 Crane and Hoist'!A1" display="41 22 00" xr:uid="{120364DD-1494-4429-90DB-05A6304EC013}"/>
    <hyperlink ref="A31" location="'08 32 Hangar Doors'!A1" display="08 32 00" xr:uid="{8973431B-95AD-42FF-81F1-B838114134CA}"/>
    <hyperlink ref="A37" location="'09 51 ACT'!A1" display="09 51 00" xr:uid="{99638CAF-887E-4CF8-99E6-321F98260E06}"/>
  </hyperlinks>
  <pageMargins left="0.7" right="0.7" top="0.75" bottom="0.75" header="0.3" footer="0.3"/>
  <pageSetup fitToHeight="0" orientation="portrait" horizontalDpi="300" verticalDpi="300" r:id="rId1"/>
  <headerFooter>
    <oddFooter>&amp;L&amp;Z&amp;F</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70409-C4A1-460E-9F85-BD28E154D0FB}">
  <sheetPr>
    <tabColor theme="7" tint="0.39997558519241921"/>
  </sheetPr>
  <dimension ref="A1:DH188"/>
  <sheetViews>
    <sheetView tabSelected="1" topLeftCell="A111" zoomScaleNormal="100" workbookViewId="0">
      <selection activeCell="N17" sqref="N17"/>
    </sheetView>
  </sheetViews>
  <sheetFormatPr defaultColWidth="9.140625" defaultRowHeight="15"/>
  <cols>
    <col min="1" max="1" width="3.28515625" style="103" bestFit="1" customWidth="1"/>
    <col min="2" max="2" width="5.85546875" style="103" customWidth="1"/>
    <col min="3" max="3" width="44.5703125" bestFit="1" customWidth="1"/>
    <col min="4" max="4" width="8.85546875" style="168" bestFit="1" customWidth="1"/>
    <col min="5" max="5" width="5.7109375" style="103" customWidth="1"/>
    <col min="6" max="6" width="9.85546875" style="59" bestFit="1" customWidth="1"/>
    <col min="7" max="7" width="11.5703125" style="59" bestFit="1" customWidth="1"/>
    <col min="8" max="8" width="14.28515625" style="59" customWidth="1"/>
    <col min="9" max="9" width="12.85546875" style="59" customWidth="1"/>
    <col min="10" max="10" width="10.85546875" style="59" bestFit="1" customWidth="1"/>
    <col min="11" max="11" width="11.85546875" style="59" customWidth="1"/>
    <col min="12" max="12" width="12.85546875" style="164" customWidth="1"/>
    <col min="13" max="13" width="10.5703125" style="164" bestFit="1" customWidth="1"/>
    <col min="14" max="14" width="46.5703125" style="59" customWidth="1"/>
    <col min="15" max="15" width="16.42578125" style="59" customWidth="1"/>
    <col min="17" max="20" width="10.7109375" bestFit="1" customWidth="1"/>
  </cols>
  <sheetData>
    <row r="1" spans="1:20">
      <c r="A1" s="2275" t="s">
        <v>418</v>
      </c>
      <c r="B1" s="2278" t="s">
        <v>419</v>
      </c>
      <c r="C1" s="2281" t="s">
        <v>420</v>
      </c>
      <c r="D1" s="2282"/>
      <c r="E1" s="2282"/>
      <c r="F1" s="2282"/>
      <c r="G1" s="2282"/>
      <c r="H1" s="2282"/>
      <c r="I1" s="2282"/>
      <c r="J1" s="2282"/>
      <c r="K1" s="2282"/>
      <c r="L1" s="2282"/>
      <c r="M1" s="2282"/>
      <c r="N1" s="2283"/>
      <c r="O1" s="1016"/>
    </row>
    <row r="2" spans="1:20" ht="15.75" thickBot="1">
      <c r="A2" s="2276"/>
      <c r="B2" s="2279"/>
      <c r="C2" s="2284"/>
      <c r="D2" s="2285"/>
      <c r="E2" s="2285"/>
      <c r="F2" s="2285"/>
      <c r="G2" s="2285"/>
      <c r="H2" s="2285"/>
      <c r="I2" s="2285"/>
      <c r="J2" s="2285"/>
      <c r="K2" s="2285"/>
      <c r="L2" s="2285"/>
      <c r="M2" s="2285"/>
      <c r="N2" s="2286"/>
      <c r="O2" s="173"/>
    </row>
    <row r="3" spans="1:20" s="106" customFormat="1" ht="15" customHeight="1">
      <c r="A3" s="2276"/>
      <c r="B3" s="2279"/>
      <c r="C3" s="2287" t="s">
        <v>421</v>
      </c>
      <c r="D3" s="2288"/>
      <c r="E3" s="2289"/>
      <c r="F3" s="2296" t="s">
        <v>422</v>
      </c>
      <c r="G3" s="2297"/>
      <c r="H3" s="105" t="s">
        <v>423</v>
      </c>
      <c r="I3" s="105" t="s">
        <v>424</v>
      </c>
      <c r="J3" s="105" t="s">
        <v>425</v>
      </c>
      <c r="K3" s="105" t="s">
        <v>426</v>
      </c>
      <c r="L3" s="909" t="s">
        <v>427</v>
      </c>
      <c r="M3" s="2298" t="s">
        <v>428</v>
      </c>
      <c r="N3" s="2272" t="s">
        <v>429</v>
      </c>
      <c r="O3" s="171"/>
      <c r="Q3" s="797">
        <v>45915</v>
      </c>
      <c r="R3" s="797">
        <v>45932</v>
      </c>
      <c r="S3" s="797">
        <v>46629</v>
      </c>
      <c r="T3" s="797">
        <v>46628</v>
      </c>
    </row>
    <row r="4" spans="1:20" s="106" customFormat="1" ht="15" customHeight="1">
      <c r="A4" s="2276"/>
      <c r="B4" s="2279"/>
      <c r="C4" s="2290"/>
      <c r="D4" s="2291"/>
      <c r="E4" s="2292"/>
      <c r="F4" s="2301" t="s">
        <v>421</v>
      </c>
      <c r="G4" s="2302"/>
      <c r="H4" s="1017">
        <v>45931</v>
      </c>
      <c r="I4" s="1017">
        <f>H4+J4</f>
        <v>46630</v>
      </c>
      <c r="J4" s="1018">
        <v>699</v>
      </c>
      <c r="K4" s="1018">
        <f>SUM(J4/7)</f>
        <v>99.857142857142861</v>
      </c>
      <c r="L4" s="406">
        <f>SUM(J4/30)</f>
        <v>23.3</v>
      </c>
      <c r="M4" s="2299"/>
      <c r="N4" s="2273"/>
      <c r="O4" s="171"/>
      <c r="Q4" s="797">
        <v>46612</v>
      </c>
      <c r="R4" s="797">
        <f>R3+Q5</f>
        <v>46629</v>
      </c>
      <c r="S4" s="797">
        <v>46588</v>
      </c>
      <c r="T4" s="797">
        <f>T3-S5</f>
        <v>46587</v>
      </c>
    </row>
    <row r="5" spans="1:20" s="106" customFormat="1" ht="15" customHeight="1" thickBot="1">
      <c r="A5" s="2276"/>
      <c r="B5" s="2279"/>
      <c r="C5" s="2290"/>
      <c r="D5" s="2291"/>
      <c r="E5" s="2292"/>
      <c r="F5" s="2268" t="s">
        <v>430</v>
      </c>
      <c r="G5" s="2269"/>
      <c r="H5" s="1019"/>
      <c r="I5" s="1019"/>
      <c r="J5" s="1020">
        <f>L5*30.42</f>
        <v>60.84</v>
      </c>
      <c r="K5" s="1020">
        <f>L5*4.33</f>
        <v>8.66</v>
      </c>
      <c r="L5" s="1021">
        <v>2</v>
      </c>
      <c r="M5" s="2299"/>
      <c r="N5" s="2273"/>
      <c r="O5" s="171"/>
      <c r="Q5" s="106">
        <f>Q4-Q3</f>
        <v>697</v>
      </c>
      <c r="S5" s="106">
        <f>S3-S4</f>
        <v>41</v>
      </c>
    </row>
    <row r="6" spans="1:20" s="106" customFormat="1" ht="15" customHeight="1" thickBot="1">
      <c r="A6" s="2276"/>
      <c r="B6" s="2279"/>
      <c r="C6" s="2293"/>
      <c r="D6" s="2294"/>
      <c r="E6" s="2295"/>
      <c r="F6" s="2270" t="s">
        <v>283</v>
      </c>
      <c r="G6" s="2271"/>
      <c r="H6" s="2270" t="s">
        <v>431</v>
      </c>
      <c r="I6" s="2271"/>
      <c r="J6" s="2270" t="s">
        <v>432</v>
      </c>
      <c r="K6" s="2271"/>
      <c r="L6" s="2272" t="s">
        <v>50</v>
      </c>
      <c r="M6" s="2299"/>
      <c r="N6" s="2273"/>
      <c r="O6" s="171"/>
    </row>
    <row r="7" spans="1:20" s="109" customFormat="1" ht="30">
      <c r="A7" s="2276"/>
      <c r="B7" s="2279"/>
      <c r="C7" s="2303" t="s">
        <v>433</v>
      </c>
      <c r="D7" s="2305" t="s">
        <v>434</v>
      </c>
      <c r="E7" s="2307" t="s">
        <v>435</v>
      </c>
      <c r="F7" s="107" t="s">
        <v>436</v>
      </c>
      <c r="G7" s="108" t="s">
        <v>437</v>
      </c>
      <c r="H7" s="107" t="s">
        <v>436</v>
      </c>
      <c r="I7" s="108" t="s">
        <v>438</v>
      </c>
      <c r="J7" s="107" t="s">
        <v>436</v>
      </c>
      <c r="K7" s="108" t="s">
        <v>438</v>
      </c>
      <c r="L7" s="2273"/>
      <c r="M7" s="2299"/>
      <c r="N7" s="2273"/>
      <c r="O7" s="174" t="s">
        <v>439</v>
      </c>
    </row>
    <row r="8" spans="1:20" s="106" customFormat="1" ht="15" customHeight="1" thickBot="1">
      <c r="A8" s="2277"/>
      <c r="B8" s="2280"/>
      <c r="C8" s="2304"/>
      <c r="D8" s="2306"/>
      <c r="E8" s="2308"/>
      <c r="F8" s="110" t="s">
        <v>440</v>
      </c>
      <c r="G8" s="111" t="s">
        <v>441</v>
      </c>
      <c r="H8" s="110" t="s">
        <v>440</v>
      </c>
      <c r="I8" s="111" t="s">
        <v>442</v>
      </c>
      <c r="J8" s="110" t="s">
        <v>440</v>
      </c>
      <c r="K8" s="111" t="s">
        <v>442</v>
      </c>
      <c r="L8" s="2274"/>
      <c r="M8" s="2300"/>
      <c r="N8" s="2274"/>
      <c r="O8" s="172"/>
    </row>
    <row r="9" spans="1:20" s="109" customFormat="1" ht="14.1" customHeight="1" thickBot="1">
      <c r="A9" s="2266"/>
      <c r="B9" s="2267"/>
      <c r="C9" s="112" t="s">
        <v>443</v>
      </c>
      <c r="D9" s="337"/>
      <c r="E9" s="113"/>
      <c r="F9" s="113"/>
      <c r="G9" s="113"/>
      <c r="H9" s="113"/>
      <c r="I9" s="113"/>
      <c r="J9" s="113"/>
      <c r="K9" s="113"/>
      <c r="L9" s="114">
        <f>SUM(L10:L27)</f>
        <v>3717618.0543987546</v>
      </c>
      <c r="M9" s="114"/>
      <c r="N9" s="115"/>
      <c r="O9" s="115"/>
    </row>
    <row r="10" spans="1:20" ht="15" customHeight="1">
      <c r="A10" s="116">
        <v>1</v>
      </c>
      <c r="B10" s="117"/>
      <c r="C10" s="1022" t="s">
        <v>444</v>
      </c>
      <c r="D10" s="1023">
        <f>'Staffing Schedule '!AE27</f>
        <v>56.29</v>
      </c>
      <c r="E10" s="1024" t="s">
        <v>445</v>
      </c>
      <c r="F10" s="1025">
        <f>(O10*40)*M10</f>
        <v>6306.6625089319859</v>
      </c>
      <c r="G10" s="118">
        <f t="shared" ref="G10:G27" si="0">SUM(D10*F10)</f>
        <v>355002.0326277815</v>
      </c>
      <c r="H10" s="2260"/>
      <c r="I10" s="2261"/>
      <c r="J10" s="2260"/>
      <c r="K10" s="2261"/>
      <c r="L10" s="119">
        <f t="shared" ref="L10:L27" si="1">SUM(G10+I10+K10)</f>
        <v>355002.0326277815</v>
      </c>
      <c r="M10" s="1026">
        <v>1</v>
      </c>
      <c r="N10" s="1027"/>
      <c r="O10" s="1028">
        <f>'Labor Rates'!G8</f>
        <v>157.66656272329965</v>
      </c>
    </row>
    <row r="11" spans="1:20" ht="15" customHeight="1">
      <c r="A11" s="1029">
        <f>A10+1</f>
        <v>2</v>
      </c>
      <c r="B11" s="1030"/>
      <c r="C11" s="1022" t="s">
        <v>446</v>
      </c>
      <c r="D11" s="1023">
        <f>'Staffing Schedule '!AE28</f>
        <v>99.59</v>
      </c>
      <c r="E11" s="1024" t="s">
        <v>445</v>
      </c>
      <c r="F11" s="1025">
        <f>(O11*40)*M11</f>
        <v>5226.9899846548651</v>
      </c>
      <c r="G11" s="906">
        <f t="shared" si="0"/>
        <v>520555.93257177802</v>
      </c>
      <c r="H11" s="2262"/>
      <c r="I11" s="2263"/>
      <c r="J11" s="2262"/>
      <c r="K11" s="2263"/>
      <c r="L11" s="1031">
        <f t="shared" si="1"/>
        <v>520555.93257177802</v>
      </c>
      <c r="M11" s="1026">
        <v>1</v>
      </c>
      <c r="N11" s="1027"/>
      <c r="O11" s="1028">
        <f>'Labor Rates'!G9</f>
        <v>130.67474961637163</v>
      </c>
    </row>
    <row r="12" spans="1:20" ht="15" customHeight="1">
      <c r="A12" s="1029">
        <f t="shared" ref="A12:A27" si="2">A11+1</f>
        <v>3</v>
      </c>
      <c r="B12" s="1030"/>
      <c r="C12" s="1022" t="s">
        <v>447</v>
      </c>
      <c r="D12" s="1023">
        <f>'Staffing Schedule '!AE28</f>
        <v>99.59</v>
      </c>
      <c r="E12" s="1024" t="s">
        <v>445</v>
      </c>
      <c r="F12" s="1025">
        <f>(O12*40)*M12</f>
        <v>0</v>
      </c>
      <c r="G12" s="906">
        <f t="shared" si="0"/>
        <v>0</v>
      </c>
      <c r="H12" s="2262"/>
      <c r="I12" s="2263"/>
      <c r="J12" s="2262"/>
      <c r="K12" s="2263"/>
      <c r="L12" s="1031">
        <f t="shared" si="1"/>
        <v>0</v>
      </c>
      <c r="M12" s="1026">
        <v>0</v>
      </c>
      <c r="N12" s="1027"/>
      <c r="O12" s="1028">
        <f>'Labor Rates'!G10</f>
        <v>120.3413239935074</v>
      </c>
    </row>
    <row r="13" spans="1:20" ht="15" customHeight="1">
      <c r="A13" s="1029">
        <f t="shared" si="2"/>
        <v>4</v>
      </c>
      <c r="B13" s="1030"/>
      <c r="C13" s="1022" t="s">
        <v>448</v>
      </c>
      <c r="D13" s="1023">
        <f t="shared" ref="D13:D25" si="3">$K$4</f>
        <v>99.857142857142861</v>
      </c>
      <c r="E13" s="1024" t="s">
        <v>445</v>
      </c>
      <c r="F13" s="1025">
        <f t="shared" ref="F13:F27" si="4">(O13*40)*M13</f>
        <v>0</v>
      </c>
      <c r="G13" s="906">
        <f t="shared" si="0"/>
        <v>0</v>
      </c>
      <c r="H13" s="2262"/>
      <c r="I13" s="2263"/>
      <c r="J13" s="2262"/>
      <c r="K13" s="2263"/>
      <c r="L13" s="1031">
        <f t="shared" si="1"/>
        <v>0</v>
      </c>
      <c r="M13" s="1026">
        <v>0</v>
      </c>
      <c r="N13" s="1027"/>
      <c r="O13" s="1028">
        <f>'Labor Rates'!G11</f>
        <v>110.14475923076922</v>
      </c>
    </row>
    <row r="14" spans="1:20" ht="15" customHeight="1">
      <c r="A14" s="1029">
        <f t="shared" si="2"/>
        <v>5</v>
      </c>
      <c r="B14" s="1030"/>
      <c r="C14" s="1022" t="s">
        <v>449</v>
      </c>
      <c r="D14" s="1023">
        <f t="shared" si="3"/>
        <v>99.857142857142861</v>
      </c>
      <c r="E14" s="1024" t="s">
        <v>445</v>
      </c>
      <c r="F14" s="1025">
        <f t="shared" si="4"/>
        <v>3770.6241622483053</v>
      </c>
      <c r="G14" s="906">
        <f t="shared" si="0"/>
        <v>376523.75563022366</v>
      </c>
      <c r="H14" s="2262"/>
      <c r="I14" s="2263"/>
      <c r="J14" s="2262"/>
      <c r="K14" s="2263"/>
      <c r="L14" s="1031">
        <f t="shared" si="1"/>
        <v>376523.75563022366</v>
      </c>
      <c r="M14" s="1026">
        <v>1</v>
      </c>
      <c r="N14" s="1027"/>
      <c r="O14" s="1028">
        <f>'Labor Rates'!G12</f>
        <v>94.265604056207636</v>
      </c>
    </row>
    <row r="15" spans="1:20" ht="15" customHeight="1">
      <c r="A15" s="1029">
        <f t="shared" si="2"/>
        <v>6</v>
      </c>
      <c r="B15" s="1030"/>
      <c r="C15" s="1022" t="s">
        <v>450</v>
      </c>
      <c r="D15" s="1023">
        <f>'Staffing Schedule '!AE31</f>
        <v>103.92</v>
      </c>
      <c r="E15" s="1024" t="s">
        <v>445</v>
      </c>
      <c r="F15" s="120">
        <f t="shared" si="4"/>
        <v>2660.2098817776578</v>
      </c>
      <c r="G15" s="1032">
        <f t="shared" si="0"/>
        <v>276449.01091433421</v>
      </c>
      <c r="H15" s="2262"/>
      <c r="I15" s="2263"/>
      <c r="J15" s="2262"/>
      <c r="K15" s="2263"/>
      <c r="L15" s="1031">
        <f t="shared" si="1"/>
        <v>276449.01091433421</v>
      </c>
      <c r="M15" s="1026">
        <v>1</v>
      </c>
      <c r="N15" s="1027"/>
      <c r="O15" s="1028">
        <f>'Labor Rates'!G13</f>
        <v>66.505247044441447</v>
      </c>
    </row>
    <row r="16" spans="1:20" ht="15" customHeight="1">
      <c r="A16" s="1029">
        <f t="shared" si="2"/>
        <v>7</v>
      </c>
      <c r="B16" s="907"/>
      <c r="C16" s="1033" t="s">
        <v>451</v>
      </c>
      <c r="D16" s="1023">
        <f>'Staffing Schedule '!AE30</f>
        <v>56.29</v>
      </c>
      <c r="E16" s="907" t="s">
        <v>445</v>
      </c>
      <c r="F16" s="407">
        <f t="shared" si="4"/>
        <v>3432.4016074662459</v>
      </c>
      <c r="G16" s="1032">
        <f t="shared" si="0"/>
        <v>193209.88648427499</v>
      </c>
      <c r="H16" s="2262"/>
      <c r="I16" s="2263"/>
      <c r="J16" s="2262"/>
      <c r="K16" s="2263"/>
      <c r="L16" s="1031">
        <f t="shared" si="1"/>
        <v>193209.88648427499</v>
      </c>
      <c r="M16" s="408">
        <v>1</v>
      </c>
      <c r="N16" s="1034"/>
      <c r="O16" s="1028">
        <f>'Labor Rates'!G14</f>
        <v>85.810040186656153</v>
      </c>
    </row>
    <row r="17" spans="1:104" ht="15" customHeight="1">
      <c r="A17" s="1029">
        <f t="shared" si="2"/>
        <v>8</v>
      </c>
      <c r="B17" s="907"/>
      <c r="C17" s="1033" t="s">
        <v>452</v>
      </c>
      <c r="D17" s="1023">
        <f>'Staffing Schedule '!AE29</f>
        <v>103.92</v>
      </c>
      <c r="E17" s="907" t="s">
        <v>445</v>
      </c>
      <c r="F17" s="407">
        <f t="shared" si="4"/>
        <v>3309.3425408983203</v>
      </c>
      <c r="G17" s="1032">
        <f t="shared" si="0"/>
        <v>343906.87685015344</v>
      </c>
      <c r="H17" s="2262"/>
      <c r="I17" s="2263"/>
      <c r="J17" s="2262"/>
      <c r="K17" s="2263"/>
      <c r="L17" s="1035">
        <f t="shared" si="1"/>
        <v>343906.87685015344</v>
      </c>
      <c r="M17" s="408">
        <v>1</v>
      </c>
      <c r="N17" s="1034"/>
      <c r="O17" s="1028">
        <f>'Labor Rates'!G15</f>
        <v>82.733563522458013</v>
      </c>
    </row>
    <row r="18" spans="1:104" ht="15" customHeight="1">
      <c r="A18" s="1029">
        <f t="shared" si="2"/>
        <v>9</v>
      </c>
      <c r="B18" s="907"/>
      <c r="C18" s="1033" t="s">
        <v>453</v>
      </c>
      <c r="D18" s="1023">
        <f>'Staffing Schedule '!AE23</f>
        <v>99.59</v>
      </c>
      <c r="E18" s="907" t="s">
        <v>445</v>
      </c>
      <c r="F18" s="407">
        <f t="shared" si="4"/>
        <v>5270.0795340458617</v>
      </c>
      <c r="G18" s="1032">
        <f t="shared" si="0"/>
        <v>524847.22079562733</v>
      </c>
      <c r="H18" s="2262"/>
      <c r="I18" s="2263"/>
      <c r="J18" s="2262"/>
      <c r="K18" s="2263"/>
      <c r="L18" s="1035">
        <f t="shared" si="1"/>
        <v>524847.22079562733</v>
      </c>
      <c r="M18" s="408">
        <v>1</v>
      </c>
      <c r="N18" s="1027"/>
      <c r="O18" s="1028">
        <f>'Labor Rates'!G16</f>
        <v>131.75198835114654</v>
      </c>
    </row>
    <row r="19" spans="1:104" ht="15" customHeight="1">
      <c r="A19" s="1029">
        <f t="shared" si="2"/>
        <v>10</v>
      </c>
      <c r="B19" s="907"/>
      <c r="C19" s="1033" t="s">
        <v>454</v>
      </c>
      <c r="D19" s="1023">
        <f>'Staffing Schedule '!AE25</f>
        <v>82.27</v>
      </c>
      <c r="E19" s="907" t="s">
        <v>445</v>
      </c>
      <c r="F19" s="407">
        <f t="shared" si="4"/>
        <v>4423.6890949941526</v>
      </c>
      <c r="G19" s="1032">
        <f t="shared" si="0"/>
        <v>363936.9018451689</v>
      </c>
      <c r="H19" s="2262"/>
      <c r="I19" s="2263"/>
      <c r="J19" s="2262"/>
      <c r="K19" s="2263"/>
      <c r="L19" s="1035">
        <f t="shared" si="1"/>
        <v>363936.9018451689</v>
      </c>
      <c r="M19" s="408">
        <v>1</v>
      </c>
      <c r="N19" s="1027"/>
      <c r="O19" s="1028">
        <f>'Labor Rates'!G17</f>
        <v>110.59222737485382</v>
      </c>
    </row>
    <row r="20" spans="1:104" ht="15" customHeight="1">
      <c r="A20" s="1029">
        <f t="shared" si="2"/>
        <v>11</v>
      </c>
      <c r="B20" s="907"/>
      <c r="C20" s="1033" t="s">
        <v>455</v>
      </c>
      <c r="D20" s="1023">
        <v>0</v>
      </c>
      <c r="E20" s="907" t="s">
        <v>445</v>
      </c>
      <c r="F20" s="407">
        <f t="shared" si="4"/>
        <v>0</v>
      </c>
      <c r="G20" s="1032">
        <f t="shared" si="0"/>
        <v>0</v>
      </c>
      <c r="H20" s="2262"/>
      <c r="I20" s="2263"/>
      <c r="J20" s="2262"/>
      <c r="K20" s="2263"/>
      <c r="L20" s="1035">
        <f t="shared" si="1"/>
        <v>0</v>
      </c>
      <c r="M20" s="408">
        <v>0</v>
      </c>
      <c r="N20" s="1027"/>
      <c r="O20" s="1028">
        <f>'Labor Rates'!G18</f>
        <v>90.514804365319037</v>
      </c>
    </row>
    <row r="21" spans="1:104" ht="15" customHeight="1">
      <c r="A21" s="1029">
        <f t="shared" si="2"/>
        <v>12</v>
      </c>
      <c r="B21" s="907"/>
      <c r="C21" s="1033" t="s">
        <v>456</v>
      </c>
      <c r="D21" s="1023">
        <f>'Staffing Schedule '!AE24</f>
        <v>103.92</v>
      </c>
      <c r="E21" s="907" t="s">
        <v>445</v>
      </c>
      <c r="F21" s="407">
        <f t="shared" si="4"/>
        <v>2396.6186380056029</v>
      </c>
      <c r="G21" s="1032">
        <f t="shared" si="0"/>
        <v>249056.60886154225</v>
      </c>
      <c r="H21" s="2262"/>
      <c r="I21" s="2263"/>
      <c r="J21" s="2262"/>
      <c r="K21" s="2263"/>
      <c r="L21" s="1035">
        <f t="shared" si="1"/>
        <v>249056.60886154225</v>
      </c>
      <c r="M21" s="408">
        <v>1</v>
      </c>
      <c r="N21" s="1027"/>
      <c r="O21" s="1028">
        <f>'Labor Rates'!G19</f>
        <v>59.915465950140074</v>
      </c>
    </row>
    <row r="22" spans="1:104" ht="15" customHeight="1">
      <c r="A22" s="1029">
        <f>A21+1</f>
        <v>13</v>
      </c>
      <c r="B22" s="907"/>
      <c r="C22" s="409" t="s">
        <v>457</v>
      </c>
      <c r="D22" s="1023">
        <f>'Staffing Schedule '!AE26</f>
        <v>86.6</v>
      </c>
      <c r="E22" s="907" t="s">
        <v>445</v>
      </c>
      <c r="F22" s="407">
        <f>(O22*40)*M22</f>
        <v>2396.6186380056029</v>
      </c>
      <c r="G22" s="1036">
        <f>SUM(D22*F22)</f>
        <v>207547.1740512852</v>
      </c>
      <c r="H22" s="2262"/>
      <c r="I22" s="2263"/>
      <c r="J22" s="2262"/>
      <c r="K22" s="2263"/>
      <c r="L22" s="1037">
        <f>SUM(G22+I22+K22)</f>
        <v>207547.1740512852</v>
      </c>
      <c r="M22" s="408">
        <v>1</v>
      </c>
      <c r="N22" s="1027"/>
      <c r="O22" s="1028">
        <f>O21</f>
        <v>59.915465950140074</v>
      </c>
    </row>
    <row r="23" spans="1:104" ht="15" customHeight="1">
      <c r="A23" s="1029">
        <f>A22+1</f>
        <v>14</v>
      </c>
      <c r="B23" s="907"/>
      <c r="C23" s="409" t="s">
        <v>458</v>
      </c>
      <c r="D23" s="1023">
        <f t="shared" si="3"/>
        <v>99.857142857142861</v>
      </c>
      <c r="E23" s="907" t="s">
        <v>445</v>
      </c>
      <c r="F23" s="407">
        <f t="shared" si="4"/>
        <v>823.45910029585798</v>
      </c>
      <c r="G23" s="1032">
        <f>SUM(D23*F23)</f>
        <v>82228.273015257815</v>
      </c>
      <c r="H23" s="2262"/>
      <c r="I23" s="2263"/>
      <c r="J23" s="2262"/>
      <c r="K23" s="2263"/>
      <c r="L23" s="1035">
        <f>SUM(G23+I23+K23)</f>
        <v>82228.273015257815</v>
      </c>
      <c r="M23" s="408">
        <v>0.2</v>
      </c>
      <c r="N23" s="1027"/>
      <c r="O23" s="1028">
        <f>'Labor Rates'!G20</f>
        <v>102.93238753698225</v>
      </c>
    </row>
    <row r="24" spans="1:104" ht="15" customHeight="1">
      <c r="A24" s="1029">
        <f t="shared" si="2"/>
        <v>15</v>
      </c>
      <c r="B24" s="907"/>
      <c r="C24" s="409" t="s">
        <v>459</v>
      </c>
      <c r="D24" s="1023">
        <f t="shared" si="3"/>
        <v>99.857142857142861</v>
      </c>
      <c r="E24" s="121" t="s">
        <v>445</v>
      </c>
      <c r="F24" s="407">
        <f t="shared" si="4"/>
        <v>0</v>
      </c>
      <c r="G24" s="1032">
        <f>SUM(D24*F24)</f>
        <v>0</v>
      </c>
      <c r="H24" s="2262"/>
      <c r="I24" s="2263"/>
      <c r="J24" s="2262"/>
      <c r="K24" s="2263"/>
      <c r="L24" s="1031">
        <f t="shared" si="1"/>
        <v>0</v>
      </c>
      <c r="M24" s="1038">
        <v>0</v>
      </c>
      <c r="N24" s="1034"/>
      <c r="O24" s="1028">
        <f>'Labor Rates'!G21</f>
        <v>41.528452124415374</v>
      </c>
    </row>
    <row r="25" spans="1:104" s="122" customFormat="1" ht="15" customHeight="1">
      <c r="A25" s="1029">
        <f t="shared" si="2"/>
        <v>16</v>
      </c>
      <c r="B25" s="907"/>
      <c r="C25" s="409" t="s">
        <v>460</v>
      </c>
      <c r="D25" s="1023">
        <f t="shared" si="3"/>
        <v>99.857142857142861</v>
      </c>
      <c r="E25" s="907" t="s">
        <v>445</v>
      </c>
      <c r="F25" s="407">
        <f t="shared" si="4"/>
        <v>695.62706086558603</v>
      </c>
      <c r="G25" s="1032">
        <f t="shared" si="0"/>
        <v>69463.330792149238</v>
      </c>
      <c r="H25" s="2262"/>
      <c r="I25" s="2263"/>
      <c r="J25" s="2262"/>
      <c r="K25" s="2263"/>
      <c r="L25" s="1031">
        <f t="shared" si="1"/>
        <v>69463.330792149238</v>
      </c>
      <c r="M25" s="169">
        <v>0.15</v>
      </c>
      <c r="N25" s="1034"/>
      <c r="O25" s="1028">
        <f>'Labor Rates'!G22</f>
        <v>115.93784347759767</v>
      </c>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row>
    <row r="26" spans="1:104" ht="15" customHeight="1">
      <c r="A26" s="1029">
        <f t="shared" si="2"/>
        <v>17</v>
      </c>
      <c r="B26" s="907"/>
      <c r="C26" s="409" t="s">
        <v>461</v>
      </c>
      <c r="D26" s="1023">
        <v>1</v>
      </c>
      <c r="E26" s="121" t="s">
        <v>462</v>
      </c>
      <c r="F26" s="407">
        <v>91195</v>
      </c>
      <c r="G26" s="1032">
        <f t="shared" si="0"/>
        <v>91195</v>
      </c>
      <c r="H26" s="2262"/>
      <c r="I26" s="2263"/>
      <c r="J26" s="2262"/>
      <c r="K26" s="2263"/>
      <c r="L26" s="1035">
        <f t="shared" si="1"/>
        <v>91195</v>
      </c>
      <c r="M26" s="169"/>
      <c r="N26" s="1034"/>
      <c r="O26" s="1028">
        <f>'Labor Rates'!G23</f>
        <v>102.72671377106045</v>
      </c>
    </row>
    <row r="27" spans="1:104" ht="15" customHeight="1" thickBot="1">
      <c r="A27" s="1029">
        <f t="shared" si="2"/>
        <v>18</v>
      </c>
      <c r="B27" s="121"/>
      <c r="C27" s="409" t="s">
        <v>463</v>
      </c>
      <c r="D27" s="123">
        <f>K4</f>
        <v>99.857142857142861</v>
      </c>
      <c r="E27" s="170" t="s">
        <v>445</v>
      </c>
      <c r="F27" s="1039">
        <f t="shared" si="4"/>
        <v>637.87174494170438</v>
      </c>
      <c r="G27" s="1040">
        <f t="shared" si="0"/>
        <v>63696.049959178767</v>
      </c>
      <c r="H27" s="2264"/>
      <c r="I27" s="2265"/>
      <c r="J27" s="2264"/>
      <c r="K27" s="2265"/>
      <c r="L27" s="1041">
        <f t="shared" si="1"/>
        <v>63696.049959178767</v>
      </c>
      <c r="M27" s="169">
        <v>0.2</v>
      </c>
      <c r="N27" s="124"/>
      <c r="O27" s="1028">
        <f>'Labor Rates'!G24</f>
        <v>79.733968117713033</v>
      </c>
    </row>
    <row r="28" spans="1:104" s="109" customFormat="1" ht="15" customHeight="1" thickBot="1">
      <c r="A28" s="2266"/>
      <c r="B28" s="2267"/>
      <c r="C28" s="112" t="s">
        <v>464</v>
      </c>
      <c r="D28" s="337"/>
      <c r="E28" s="113"/>
      <c r="F28" s="113"/>
      <c r="G28" s="113"/>
      <c r="H28" s="113"/>
      <c r="I28" s="113"/>
      <c r="J28" s="113"/>
      <c r="K28" s="113"/>
      <c r="L28" s="114">
        <f>SUM(L29:L45)</f>
        <v>244139.02295511222</v>
      </c>
      <c r="M28" s="114"/>
      <c r="N28" s="115"/>
      <c r="O28" s="115"/>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row>
    <row r="29" spans="1:104" ht="15" customHeight="1">
      <c r="A29" s="116">
        <v>1</v>
      </c>
      <c r="B29" s="117"/>
      <c r="C29" s="1022" t="s">
        <v>444</v>
      </c>
      <c r="D29" s="126">
        <f t="shared" ref="D29:D45" si="5">$K$5</f>
        <v>8.66</v>
      </c>
      <c r="E29" s="117" t="s">
        <v>445</v>
      </c>
      <c r="F29" s="127">
        <f>(40*O29)*M29</f>
        <v>315.3331254465993</v>
      </c>
      <c r="G29" s="128">
        <f>SUM(D29*F29)</f>
        <v>2730.78486636755</v>
      </c>
      <c r="H29" s="2244"/>
      <c r="I29" s="2245"/>
      <c r="J29" s="2244"/>
      <c r="K29" s="2245"/>
      <c r="L29" s="129">
        <f t="shared" ref="L29:L44" si="6">SUM(G29+I29+K29)</f>
        <v>2730.78486636755</v>
      </c>
      <c r="M29" s="910">
        <v>0.05</v>
      </c>
      <c r="N29" s="1042"/>
      <c r="O29" s="1028">
        <f t="shared" ref="O29:O40" si="7">O10</f>
        <v>157.66656272329965</v>
      </c>
    </row>
    <row r="30" spans="1:104" ht="15" customHeight="1">
      <c r="A30" s="1029">
        <f>A29+1</f>
        <v>2</v>
      </c>
      <c r="B30" s="907"/>
      <c r="C30" s="1022" t="s">
        <v>446</v>
      </c>
      <c r="D30" s="1043">
        <f t="shared" si="5"/>
        <v>8.66</v>
      </c>
      <c r="E30" s="907" t="s">
        <v>445</v>
      </c>
      <c r="F30" s="1044">
        <f t="shared" ref="F30:F45" si="8">(40*O30)*M30</f>
        <v>5226.9899846548651</v>
      </c>
      <c r="G30" s="1036">
        <f>SUM(D30*F30)</f>
        <v>45265.733267111136</v>
      </c>
      <c r="H30" s="2246"/>
      <c r="I30" s="2247"/>
      <c r="J30" s="2246"/>
      <c r="K30" s="2247"/>
      <c r="L30" s="1037">
        <f t="shared" si="6"/>
        <v>45265.733267111136</v>
      </c>
      <c r="M30" s="1045">
        <f t="shared" ref="M30:M35" si="9">+M11</f>
        <v>1</v>
      </c>
      <c r="N30" s="1046"/>
      <c r="O30" s="1028">
        <f t="shared" si="7"/>
        <v>130.67474961637163</v>
      </c>
    </row>
    <row r="31" spans="1:104" ht="15" customHeight="1">
      <c r="A31" s="1029">
        <f t="shared" ref="A31:A45" si="10">A30+1</f>
        <v>3</v>
      </c>
      <c r="B31" s="907"/>
      <c r="C31" s="1022" t="s">
        <v>447</v>
      </c>
      <c r="D31" s="1043">
        <f t="shared" si="5"/>
        <v>8.66</v>
      </c>
      <c r="E31" s="907" t="s">
        <v>445</v>
      </c>
      <c r="F31" s="1044">
        <f t="shared" si="8"/>
        <v>0</v>
      </c>
      <c r="G31" s="1036">
        <f>SUM(D31*F31)</f>
        <v>0</v>
      </c>
      <c r="H31" s="2246"/>
      <c r="I31" s="2247"/>
      <c r="J31" s="2246"/>
      <c r="K31" s="2247"/>
      <c r="L31" s="1037">
        <f t="shared" si="6"/>
        <v>0</v>
      </c>
      <c r="M31" s="1045">
        <f t="shared" si="9"/>
        <v>0</v>
      </c>
      <c r="N31" s="1046"/>
      <c r="O31" s="1028">
        <f t="shared" si="7"/>
        <v>120.3413239935074</v>
      </c>
    </row>
    <row r="32" spans="1:104" ht="15" customHeight="1">
      <c r="A32" s="1029">
        <f t="shared" si="10"/>
        <v>4</v>
      </c>
      <c r="B32" s="907"/>
      <c r="C32" s="1022" t="s">
        <v>448</v>
      </c>
      <c r="D32" s="1043">
        <f t="shared" si="5"/>
        <v>8.66</v>
      </c>
      <c r="E32" s="907" t="s">
        <v>445</v>
      </c>
      <c r="F32" s="1044">
        <f t="shared" si="8"/>
        <v>0</v>
      </c>
      <c r="G32" s="1036">
        <f t="shared" ref="G32:G45" si="11">SUM(D32*F32)</f>
        <v>0</v>
      </c>
      <c r="H32" s="2246"/>
      <c r="I32" s="2247"/>
      <c r="J32" s="2246"/>
      <c r="K32" s="2247"/>
      <c r="L32" s="1037">
        <f t="shared" si="6"/>
        <v>0</v>
      </c>
      <c r="M32" s="1045">
        <f t="shared" si="9"/>
        <v>0</v>
      </c>
      <c r="N32" s="1046"/>
      <c r="O32" s="1028">
        <f t="shared" si="7"/>
        <v>110.14475923076922</v>
      </c>
    </row>
    <row r="33" spans="1:112" ht="15" customHeight="1">
      <c r="A33" s="1029">
        <f t="shared" si="10"/>
        <v>5</v>
      </c>
      <c r="B33" s="907"/>
      <c r="C33" s="1022" t="s">
        <v>449</v>
      </c>
      <c r="D33" s="1043">
        <f t="shared" si="5"/>
        <v>8.66</v>
      </c>
      <c r="E33" s="907" t="s">
        <v>445</v>
      </c>
      <c r="F33" s="1044">
        <f t="shared" si="8"/>
        <v>3770.6241622483053</v>
      </c>
      <c r="G33" s="1036">
        <f t="shared" si="11"/>
        <v>32653.605245070325</v>
      </c>
      <c r="H33" s="2246"/>
      <c r="I33" s="2247"/>
      <c r="J33" s="2246"/>
      <c r="K33" s="2247"/>
      <c r="L33" s="1037">
        <f t="shared" si="6"/>
        <v>32653.605245070325</v>
      </c>
      <c r="M33" s="1045">
        <f t="shared" si="9"/>
        <v>1</v>
      </c>
      <c r="N33" s="1046"/>
      <c r="O33" s="1028">
        <f t="shared" si="7"/>
        <v>94.265604056207636</v>
      </c>
    </row>
    <row r="34" spans="1:112" ht="15" customHeight="1">
      <c r="A34" s="1029">
        <f t="shared" si="10"/>
        <v>6</v>
      </c>
      <c r="B34" s="907"/>
      <c r="C34" s="1022" t="s">
        <v>450</v>
      </c>
      <c r="D34" s="1043">
        <f t="shared" si="5"/>
        <v>8.66</v>
      </c>
      <c r="E34" s="907" t="s">
        <v>445</v>
      </c>
      <c r="F34" s="1044">
        <f t="shared" si="8"/>
        <v>2660.2098817776578</v>
      </c>
      <c r="G34" s="1036">
        <f t="shared" si="11"/>
        <v>23037.417576194515</v>
      </c>
      <c r="H34" s="2246"/>
      <c r="I34" s="2247"/>
      <c r="J34" s="2246"/>
      <c r="K34" s="2247"/>
      <c r="L34" s="1037">
        <f t="shared" si="6"/>
        <v>23037.417576194515</v>
      </c>
      <c r="M34" s="1045">
        <f t="shared" si="9"/>
        <v>1</v>
      </c>
      <c r="N34" s="1042"/>
      <c r="O34" s="1028">
        <f t="shared" si="7"/>
        <v>66.505247044441447</v>
      </c>
    </row>
    <row r="35" spans="1:112" ht="15" customHeight="1">
      <c r="A35" s="1029">
        <f t="shared" si="10"/>
        <v>7</v>
      </c>
      <c r="B35" s="907"/>
      <c r="C35" s="1033" t="s">
        <v>451</v>
      </c>
      <c r="D35" s="1043">
        <f t="shared" si="5"/>
        <v>8.66</v>
      </c>
      <c r="E35" s="907" t="s">
        <v>445</v>
      </c>
      <c r="F35" s="1044">
        <f t="shared" si="8"/>
        <v>3432.4016074662459</v>
      </c>
      <c r="G35" s="1036">
        <f t="shared" si="11"/>
        <v>29724.597920657689</v>
      </c>
      <c r="H35" s="2246"/>
      <c r="I35" s="2247"/>
      <c r="J35" s="2246"/>
      <c r="K35" s="2247"/>
      <c r="L35" s="1037">
        <f t="shared" si="6"/>
        <v>29724.597920657689</v>
      </c>
      <c r="M35" s="1045">
        <f t="shared" si="9"/>
        <v>1</v>
      </c>
      <c r="N35" s="1046"/>
      <c r="O35" s="1028">
        <f t="shared" si="7"/>
        <v>85.810040186656153</v>
      </c>
    </row>
    <row r="36" spans="1:112" ht="15" customHeight="1">
      <c r="A36" s="1029">
        <f t="shared" si="10"/>
        <v>8</v>
      </c>
      <c r="B36" s="907"/>
      <c r="C36" s="1033" t="s">
        <v>452</v>
      </c>
      <c r="D36" s="1043">
        <f t="shared" si="5"/>
        <v>8.66</v>
      </c>
      <c r="E36" s="907" t="s">
        <v>445</v>
      </c>
      <c r="F36" s="1044">
        <f t="shared" si="8"/>
        <v>0</v>
      </c>
      <c r="G36" s="1036">
        <f t="shared" si="11"/>
        <v>0</v>
      </c>
      <c r="H36" s="2246"/>
      <c r="I36" s="2247"/>
      <c r="J36" s="2246"/>
      <c r="K36" s="2247"/>
      <c r="L36" s="1037">
        <f t="shared" si="6"/>
        <v>0</v>
      </c>
      <c r="M36" s="1045">
        <v>0</v>
      </c>
      <c r="N36" s="1046"/>
      <c r="O36" s="1028">
        <f t="shared" si="7"/>
        <v>82.733563522458013</v>
      </c>
    </row>
    <row r="37" spans="1:112" ht="15" customHeight="1">
      <c r="A37" s="1029">
        <f t="shared" si="10"/>
        <v>9</v>
      </c>
      <c r="B37" s="121"/>
      <c r="C37" s="1033" t="s">
        <v>453</v>
      </c>
      <c r="D37" s="1043">
        <f t="shared" si="5"/>
        <v>8.66</v>
      </c>
      <c r="E37" s="907" t="s">
        <v>445</v>
      </c>
      <c r="F37" s="1044">
        <f t="shared" si="8"/>
        <v>5270.0795340458617</v>
      </c>
      <c r="G37" s="1036">
        <f t="shared" si="11"/>
        <v>45638.88876483716</v>
      </c>
      <c r="H37" s="2246"/>
      <c r="I37" s="2247"/>
      <c r="J37" s="2246"/>
      <c r="K37" s="2247"/>
      <c r="L37" s="1037">
        <f t="shared" si="6"/>
        <v>45638.88876483716</v>
      </c>
      <c r="M37" s="1045">
        <f>+M18</f>
        <v>1</v>
      </c>
      <c r="N37" s="1046"/>
      <c r="O37" s="1028">
        <f t="shared" si="7"/>
        <v>131.75198835114654</v>
      </c>
    </row>
    <row r="38" spans="1:112" ht="15" customHeight="1">
      <c r="A38" s="1029">
        <f t="shared" si="10"/>
        <v>10</v>
      </c>
      <c r="B38" s="121"/>
      <c r="C38" s="1033" t="s">
        <v>454</v>
      </c>
      <c r="D38" s="1043">
        <f t="shared" si="5"/>
        <v>8.66</v>
      </c>
      <c r="E38" s="907" t="s">
        <v>445</v>
      </c>
      <c r="F38" s="1044">
        <f t="shared" si="8"/>
        <v>4423.6890949941526</v>
      </c>
      <c r="G38" s="1036">
        <f t="shared" si="11"/>
        <v>38309.147562649363</v>
      </c>
      <c r="H38" s="2246"/>
      <c r="I38" s="2247"/>
      <c r="J38" s="2246"/>
      <c r="K38" s="2247"/>
      <c r="L38" s="1037">
        <f t="shared" si="6"/>
        <v>38309.147562649363</v>
      </c>
      <c r="M38" s="1045">
        <f>+M19</f>
        <v>1</v>
      </c>
      <c r="N38" s="1046"/>
      <c r="O38" s="1028">
        <f t="shared" si="7"/>
        <v>110.59222737485382</v>
      </c>
    </row>
    <row r="39" spans="1:112" ht="15" customHeight="1">
      <c r="A39" s="1029">
        <f t="shared" si="10"/>
        <v>11</v>
      </c>
      <c r="B39" s="121"/>
      <c r="C39" s="1033" t="s">
        <v>455</v>
      </c>
      <c r="D39" s="1043">
        <f t="shared" si="5"/>
        <v>8.66</v>
      </c>
      <c r="E39" s="907" t="s">
        <v>445</v>
      </c>
      <c r="F39" s="1044">
        <f t="shared" si="8"/>
        <v>0</v>
      </c>
      <c r="G39" s="1036">
        <f t="shared" si="11"/>
        <v>0</v>
      </c>
      <c r="H39" s="2246"/>
      <c r="I39" s="2247"/>
      <c r="J39" s="2246"/>
      <c r="K39" s="2247"/>
      <c r="L39" s="1037">
        <f t="shared" si="6"/>
        <v>0</v>
      </c>
      <c r="M39" s="1045">
        <v>0</v>
      </c>
      <c r="N39" s="1046"/>
      <c r="O39" s="1028">
        <f t="shared" si="7"/>
        <v>90.514804365319037</v>
      </c>
    </row>
    <row r="40" spans="1:112" ht="15" customHeight="1">
      <c r="A40" s="1029">
        <f t="shared" si="10"/>
        <v>12</v>
      </c>
      <c r="B40" s="121"/>
      <c r="C40" s="1033" t="s">
        <v>465</v>
      </c>
      <c r="D40" s="1043">
        <f t="shared" si="5"/>
        <v>8.66</v>
      </c>
      <c r="E40" s="907" t="s">
        <v>445</v>
      </c>
      <c r="F40" s="1044">
        <f t="shared" si="8"/>
        <v>2396.6186380056029</v>
      </c>
      <c r="G40" s="1036">
        <f t="shared" si="11"/>
        <v>20754.717405128522</v>
      </c>
      <c r="H40" s="2246"/>
      <c r="I40" s="2247"/>
      <c r="J40" s="2246"/>
      <c r="K40" s="2247"/>
      <c r="L40" s="1037">
        <f t="shared" si="6"/>
        <v>20754.717405128522</v>
      </c>
      <c r="M40" s="1045">
        <v>1</v>
      </c>
      <c r="N40" s="1046"/>
      <c r="O40" s="1028">
        <f t="shared" si="7"/>
        <v>59.915465950140074</v>
      </c>
    </row>
    <row r="41" spans="1:112" ht="15" customHeight="1">
      <c r="A41" s="1029">
        <f t="shared" si="10"/>
        <v>13</v>
      </c>
      <c r="B41" s="121"/>
      <c r="C41" s="409" t="s">
        <v>458</v>
      </c>
      <c r="D41" s="1043">
        <f t="shared" si="5"/>
        <v>8.66</v>
      </c>
      <c r="E41" s="907" t="s">
        <v>445</v>
      </c>
      <c r="F41" s="1044">
        <f t="shared" si="8"/>
        <v>0</v>
      </c>
      <c r="G41" s="1036">
        <f t="shared" si="11"/>
        <v>0</v>
      </c>
      <c r="H41" s="2246"/>
      <c r="I41" s="2247"/>
      <c r="J41" s="2246"/>
      <c r="K41" s="2247"/>
      <c r="L41" s="1037">
        <f t="shared" si="6"/>
        <v>0</v>
      </c>
      <c r="M41" s="1045">
        <f>+M24</f>
        <v>0</v>
      </c>
      <c r="N41" s="1046"/>
      <c r="O41" s="1028">
        <f t="shared" ref="O41:O45" si="12">O23</f>
        <v>102.93238753698225</v>
      </c>
    </row>
    <row r="42" spans="1:112" ht="15" customHeight="1">
      <c r="A42" s="1029">
        <f t="shared" si="10"/>
        <v>14</v>
      </c>
      <c r="B42" s="121"/>
      <c r="C42" s="409" t="s">
        <v>459</v>
      </c>
      <c r="D42" s="1043">
        <f t="shared" si="5"/>
        <v>8.66</v>
      </c>
      <c r="E42" s="907" t="s">
        <v>445</v>
      </c>
      <c r="F42" s="1044">
        <f t="shared" ref="F42" si="13">(40*O42)*M42</f>
        <v>0</v>
      </c>
      <c r="G42" s="1036">
        <f t="shared" ref="G42" si="14">SUM(D42*F42)</f>
        <v>0</v>
      </c>
      <c r="H42" s="2246"/>
      <c r="I42" s="2247"/>
      <c r="J42" s="2246"/>
      <c r="K42" s="2247"/>
      <c r="L42" s="1037">
        <f t="shared" ref="L42" si="15">SUM(G42+I42+K42)</f>
        <v>0</v>
      </c>
      <c r="M42" s="1045">
        <v>0</v>
      </c>
      <c r="N42" s="1046"/>
      <c r="O42" s="1028">
        <f t="shared" si="12"/>
        <v>41.528452124415374</v>
      </c>
    </row>
    <row r="43" spans="1:112" ht="15" customHeight="1">
      <c r="A43" s="1029">
        <f t="shared" si="10"/>
        <v>15</v>
      </c>
      <c r="B43" s="121"/>
      <c r="C43" s="409" t="s">
        <v>460</v>
      </c>
      <c r="D43" s="1043">
        <f t="shared" si="5"/>
        <v>8.66</v>
      </c>
      <c r="E43" s="907" t="s">
        <v>445</v>
      </c>
      <c r="F43" s="1044">
        <f t="shared" si="8"/>
        <v>695.62706086558603</v>
      </c>
      <c r="G43" s="1036">
        <f t="shared" si="11"/>
        <v>6024.1303470959747</v>
      </c>
      <c r="H43" s="2246"/>
      <c r="I43" s="2247"/>
      <c r="J43" s="2246"/>
      <c r="K43" s="2247"/>
      <c r="L43" s="1037">
        <f t="shared" si="6"/>
        <v>6024.1303470959747</v>
      </c>
      <c r="M43" s="1045">
        <f>+M25</f>
        <v>0.15</v>
      </c>
      <c r="N43" s="1046"/>
      <c r="O43" s="1028">
        <f t="shared" si="12"/>
        <v>115.93784347759767</v>
      </c>
    </row>
    <row r="44" spans="1:112" ht="15" customHeight="1">
      <c r="A44" s="1029">
        <f t="shared" si="10"/>
        <v>16</v>
      </c>
      <c r="B44" s="121"/>
      <c r="C44" s="409" t="s">
        <v>461</v>
      </c>
      <c r="D44" s="1043">
        <f t="shared" si="5"/>
        <v>8.66</v>
      </c>
      <c r="E44" s="907" t="s">
        <v>445</v>
      </c>
      <c r="F44" s="1044">
        <f t="shared" si="8"/>
        <v>0</v>
      </c>
      <c r="G44" s="1036">
        <f t="shared" si="11"/>
        <v>0</v>
      </c>
      <c r="H44" s="2246"/>
      <c r="I44" s="2247"/>
      <c r="J44" s="2246"/>
      <c r="K44" s="2247"/>
      <c r="L44" s="1037">
        <f t="shared" si="6"/>
        <v>0</v>
      </c>
      <c r="M44" s="1045">
        <v>0</v>
      </c>
      <c r="N44" s="1046"/>
      <c r="O44" s="1028">
        <f t="shared" si="12"/>
        <v>102.72671377106045</v>
      </c>
    </row>
    <row r="45" spans="1:112" s="122" customFormat="1" ht="15" customHeight="1" thickBot="1">
      <c r="A45" s="1029">
        <f t="shared" si="10"/>
        <v>17</v>
      </c>
      <c r="B45" s="1047"/>
      <c r="C45" s="409" t="s">
        <v>463</v>
      </c>
      <c r="D45" s="130">
        <f t="shared" si="5"/>
        <v>8.66</v>
      </c>
      <c r="E45" s="1048" t="s">
        <v>445</v>
      </c>
      <c r="F45" s="1049">
        <f t="shared" si="8"/>
        <v>0</v>
      </c>
      <c r="G45" s="131">
        <f t="shared" si="11"/>
        <v>0</v>
      </c>
      <c r="H45" s="2248"/>
      <c r="I45" s="2249"/>
      <c r="J45" s="2248"/>
      <c r="K45" s="2249"/>
      <c r="L45" s="1050">
        <f>SUM(G45+I45+K45)</f>
        <v>0</v>
      </c>
      <c r="M45" s="1051">
        <v>0</v>
      </c>
      <c r="O45" s="1028">
        <f t="shared" si="12"/>
        <v>79.733968117713033</v>
      </c>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row>
    <row r="46" spans="1:112" ht="15" customHeight="1" thickBot="1">
      <c r="A46" s="2242"/>
      <c r="B46" s="2243"/>
      <c r="C46" s="338" t="s">
        <v>466</v>
      </c>
      <c r="D46" s="339"/>
      <c r="E46" s="132"/>
      <c r="F46" s="132"/>
      <c r="G46" s="132"/>
      <c r="H46" s="132"/>
      <c r="I46" s="132"/>
      <c r="J46" s="132"/>
      <c r="K46" s="132"/>
      <c r="L46" s="133">
        <f>SUM(L47:L67)</f>
        <v>171515</v>
      </c>
      <c r="M46" s="133"/>
      <c r="N46" s="134"/>
      <c r="O46" s="175"/>
    </row>
    <row r="47" spans="1:112" ht="15" customHeight="1">
      <c r="A47" s="1052"/>
      <c r="B47" s="907"/>
      <c r="C47" s="1022" t="s">
        <v>467</v>
      </c>
      <c r="D47" s="1043">
        <v>1</v>
      </c>
      <c r="E47" s="1030" t="s">
        <v>468</v>
      </c>
      <c r="F47" s="2244"/>
      <c r="G47" s="2245"/>
      <c r="H47" s="1053">
        <v>16000</v>
      </c>
      <c r="I47" s="1036">
        <f t="shared" ref="I47:I66" si="16">SUM(D47*H47)</f>
        <v>16000</v>
      </c>
      <c r="J47" s="2244" t="s">
        <v>469</v>
      </c>
      <c r="K47" s="2245"/>
      <c r="L47" s="1037">
        <f t="shared" ref="L47:L67" si="17">SUM(G47+I47+K47)</f>
        <v>16000</v>
      </c>
      <c r="M47" s="2250"/>
      <c r="N47" s="1042"/>
      <c r="O47" s="175"/>
    </row>
    <row r="48" spans="1:112" ht="15" customHeight="1">
      <c r="A48" s="1052"/>
      <c r="B48" s="907"/>
      <c r="C48" s="1033" t="s">
        <v>470</v>
      </c>
      <c r="D48" s="1043">
        <f>$L$4</f>
        <v>23.3</v>
      </c>
      <c r="E48" s="907" t="s">
        <v>471</v>
      </c>
      <c r="F48" s="2246"/>
      <c r="G48" s="2247"/>
      <c r="H48" s="1039">
        <v>3500</v>
      </c>
      <c r="I48" s="1036">
        <f t="shared" si="16"/>
        <v>81550</v>
      </c>
      <c r="J48" s="2246"/>
      <c r="K48" s="2247"/>
      <c r="L48" s="1037">
        <f t="shared" si="17"/>
        <v>81550</v>
      </c>
      <c r="M48" s="2251"/>
      <c r="N48" s="1034"/>
      <c r="O48" s="175"/>
    </row>
    <row r="49" spans="1:15" ht="15" customHeight="1">
      <c r="A49" s="1052"/>
      <c r="B49" s="907"/>
      <c r="C49" s="1022" t="s">
        <v>472</v>
      </c>
      <c r="D49" s="1043">
        <v>0</v>
      </c>
      <c r="E49" s="907" t="s">
        <v>468</v>
      </c>
      <c r="F49" s="2246"/>
      <c r="G49" s="2247"/>
      <c r="H49" s="1039">
        <v>15958</v>
      </c>
      <c r="I49" s="1036">
        <f t="shared" si="16"/>
        <v>0</v>
      </c>
      <c r="J49" s="2246"/>
      <c r="K49" s="2247"/>
      <c r="L49" s="1037">
        <f t="shared" si="17"/>
        <v>0</v>
      </c>
      <c r="M49" s="2251"/>
      <c r="N49" s="1034" t="s">
        <v>473</v>
      </c>
      <c r="O49" s="175"/>
    </row>
    <row r="50" spans="1:15" ht="15" customHeight="1">
      <c r="A50" s="1052"/>
      <c r="B50" s="907"/>
      <c r="C50" s="1033" t="s">
        <v>474</v>
      </c>
      <c r="D50" s="1043">
        <v>0</v>
      </c>
      <c r="E50" s="907" t="s">
        <v>471</v>
      </c>
      <c r="F50" s="2246"/>
      <c r="G50" s="2247"/>
      <c r="H50" s="1039">
        <v>1732</v>
      </c>
      <c r="I50" s="1036">
        <f t="shared" si="16"/>
        <v>0</v>
      </c>
      <c r="J50" s="2246"/>
      <c r="K50" s="2247"/>
      <c r="L50" s="1037">
        <f t="shared" si="17"/>
        <v>0</v>
      </c>
      <c r="M50" s="2251"/>
      <c r="N50" s="1034" t="s">
        <v>473</v>
      </c>
      <c r="O50" s="175"/>
    </row>
    <row r="51" spans="1:15" ht="15" customHeight="1">
      <c r="A51" s="1052"/>
      <c r="B51" s="907"/>
      <c r="C51" s="1022" t="s">
        <v>475</v>
      </c>
      <c r="D51" s="1023">
        <v>0</v>
      </c>
      <c r="E51" s="907" t="s">
        <v>468</v>
      </c>
      <c r="F51" s="2246"/>
      <c r="G51" s="2247"/>
      <c r="H51" s="1039">
        <v>1371</v>
      </c>
      <c r="I51" s="1036">
        <f t="shared" si="16"/>
        <v>0</v>
      </c>
      <c r="J51" s="2246"/>
      <c r="K51" s="2247"/>
      <c r="L51" s="1037">
        <f t="shared" si="17"/>
        <v>0</v>
      </c>
      <c r="M51" s="2251"/>
      <c r="N51" s="1034" t="s">
        <v>476</v>
      </c>
      <c r="O51" s="175"/>
    </row>
    <row r="52" spans="1:15" ht="15" customHeight="1">
      <c r="A52" s="1052"/>
      <c r="B52" s="907"/>
      <c r="C52" s="1033" t="s">
        <v>477</v>
      </c>
      <c r="D52" s="1023">
        <v>0</v>
      </c>
      <c r="E52" s="907" t="s">
        <v>471</v>
      </c>
      <c r="F52" s="2246"/>
      <c r="G52" s="2247"/>
      <c r="H52" s="1039">
        <v>573</v>
      </c>
      <c r="I52" s="1036">
        <f t="shared" si="16"/>
        <v>0</v>
      </c>
      <c r="J52" s="2246"/>
      <c r="K52" s="2247"/>
      <c r="L52" s="1037">
        <f t="shared" si="17"/>
        <v>0</v>
      </c>
      <c r="M52" s="2251"/>
      <c r="N52" s="1034" t="s">
        <v>476</v>
      </c>
      <c r="O52" s="175"/>
    </row>
    <row r="53" spans="1:15" ht="15" customHeight="1">
      <c r="A53" s="1052"/>
      <c r="B53" s="907"/>
      <c r="C53" s="1033" t="s">
        <v>478</v>
      </c>
      <c r="D53" s="1043">
        <v>1</v>
      </c>
      <c r="E53" s="907" t="s">
        <v>468</v>
      </c>
      <c r="F53" s="2246"/>
      <c r="G53" s="2247"/>
      <c r="H53" s="1053">
        <v>2000</v>
      </c>
      <c r="I53" s="1036">
        <f t="shared" si="16"/>
        <v>2000</v>
      </c>
      <c r="J53" s="2246"/>
      <c r="K53" s="2247"/>
      <c r="L53" s="1037">
        <f t="shared" si="17"/>
        <v>2000</v>
      </c>
      <c r="M53" s="2251"/>
      <c r="N53" s="1046"/>
      <c r="O53" s="175"/>
    </row>
    <row r="54" spans="1:15" ht="15" customHeight="1">
      <c r="A54" s="1052"/>
      <c r="B54" s="907"/>
      <c r="C54" s="1033" t="s">
        <v>479</v>
      </c>
      <c r="D54" s="1043">
        <f>$L$4</f>
        <v>23.3</v>
      </c>
      <c r="E54" s="907" t="s">
        <v>471</v>
      </c>
      <c r="F54" s="2246"/>
      <c r="G54" s="2247"/>
      <c r="H54" s="1039">
        <v>500</v>
      </c>
      <c r="I54" s="1036">
        <f t="shared" si="16"/>
        <v>11650</v>
      </c>
      <c r="J54" s="2246"/>
      <c r="K54" s="2247"/>
      <c r="L54" s="1037">
        <f t="shared" si="17"/>
        <v>11650</v>
      </c>
      <c r="M54" s="2251"/>
      <c r="N54" s="1046"/>
      <c r="O54" s="175"/>
    </row>
    <row r="55" spans="1:15" ht="15" customHeight="1">
      <c r="A55" s="1052"/>
      <c r="B55" s="907"/>
      <c r="C55" s="1033" t="s">
        <v>480</v>
      </c>
      <c r="D55" s="1043">
        <f>$L$4</f>
        <v>23.3</v>
      </c>
      <c r="E55" s="907" t="s">
        <v>471</v>
      </c>
      <c r="F55" s="2246"/>
      <c r="G55" s="2247"/>
      <c r="H55" s="1053">
        <v>0</v>
      </c>
      <c r="I55" s="1036">
        <f t="shared" si="16"/>
        <v>0</v>
      </c>
      <c r="J55" s="2246"/>
      <c r="K55" s="2247"/>
      <c r="L55" s="1037">
        <f t="shared" si="17"/>
        <v>0</v>
      </c>
      <c r="M55" s="2251"/>
      <c r="N55" s="1046" t="s">
        <v>481</v>
      </c>
      <c r="O55" s="175"/>
    </row>
    <row r="56" spans="1:15" ht="15" customHeight="1">
      <c r="A56" s="1052"/>
      <c r="B56" s="907"/>
      <c r="C56" s="1033" t="s">
        <v>482</v>
      </c>
      <c r="D56" s="1043">
        <v>1</v>
      </c>
      <c r="E56" s="907" t="s">
        <v>462</v>
      </c>
      <c r="F56" s="2246"/>
      <c r="G56" s="2247"/>
      <c r="H56" s="1053">
        <v>5000</v>
      </c>
      <c r="I56" s="1036">
        <f t="shared" si="16"/>
        <v>5000</v>
      </c>
      <c r="J56" s="2246"/>
      <c r="K56" s="2247"/>
      <c r="L56" s="1037">
        <f t="shared" si="17"/>
        <v>5000</v>
      </c>
      <c r="M56" s="2251"/>
      <c r="N56" s="1046"/>
      <c r="O56" s="175"/>
    </row>
    <row r="57" spans="1:15" ht="15" customHeight="1">
      <c r="A57" s="1052"/>
      <c r="B57" s="907"/>
      <c r="C57" s="1033" t="s">
        <v>483</v>
      </c>
      <c r="D57" s="1043">
        <f>$L$4</f>
        <v>23.3</v>
      </c>
      <c r="E57" s="907" t="s">
        <v>471</v>
      </c>
      <c r="F57" s="2246"/>
      <c r="G57" s="2247"/>
      <c r="H57" s="1053">
        <v>500</v>
      </c>
      <c r="I57" s="1036">
        <f t="shared" si="16"/>
        <v>11650</v>
      </c>
      <c r="J57" s="2246"/>
      <c r="K57" s="2247"/>
      <c r="L57" s="1037">
        <f t="shared" si="17"/>
        <v>11650</v>
      </c>
      <c r="M57" s="2251"/>
      <c r="N57" s="1046"/>
      <c r="O57" s="175"/>
    </row>
    <row r="58" spans="1:15" ht="15" customHeight="1">
      <c r="A58" s="1052"/>
      <c r="B58" s="907"/>
      <c r="C58" s="1033" t="s">
        <v>484</v>
      </c>
      <c r="D58" s="1043">
        <f>$L$4</f>
        <v>23.3</v>
      </c>
      <c r="E58" s="907" t="s">
        <v>471</v>
      </c>
      <c r="F58" s="2246"/>
      <c r="G58" s="2247"/>
      <c r="H58" s="1053">
        <v>200</v>
      </c>
      <c r="I58" s="1036">
        <f t="shared" si="16"/>
        <v>4660</v>
      </c>
      <c r="J58" s="2246"/>
      <c r="K58" s="2247"/>
      <c r="L58" s="1037">
        <f t="shared" si="17"/>
        <v>4660</v>
      </c>
      <c r="M58" s="2251"/>
      <c r="N58" s="1046"/>
      <c r="O58" s="175"/>
    </row>
    <row r="59" spans="1:15" ht="15" customHeight="1">
      <c r="A59" s="1052"/>
      <c r="B59" s="907"/>
      <c r="C59" s="1033" t="s">
        <v>485</v>
      </c>
      <c r="D59" s="1043">
        <f>$L$4</f>
        <v>23.3</v>
      </c>
      <c r="E59" s="907" t="s">
        <v>471</v>
      </c>
      <c r="F59" s="2246"/>
      <c r="G59" s="2247"/>
      <c r="H59" s="1053">
        <v>250</v>
      </c>
      <c r="I59" s="1036">
        <f t="shared" si="16"/>
        <v>5825</v>
      </c>
      <c r="J59" s="2246"/>
      <c r="K59" s="2247"/>
      <c r="L59" s="1037">
        <f t="shared" si="17"/>
        <v>5825</v>
      </c>
      <c r="M59" s="2251"/>
      <c r="N59" s="1046"/>
      <c r="O59" s="175"/>
    </row>
    <row r="60" spans="1:15" ht="15" customHeight="1">
      <c r="A60" s="1052"/>
      <c r="B60" s="907"/>
      <c r="C60" s="1033" t="s">
        <v>486</v>
      </c>
      <c r="D60" s="1054">
        <v>2.5000000000000001E-3</v>
      </c>
      <c r="E60" s="907" t="s">
        <v>30</v>
      </c>
      <c r="F60" s="2246"/>
      <c r="G60" s="2247"/>
      <c r="H60" s="1053">
        <v>2.4931481376435162E-91</v>
      </c>
      <c r="I60" s="1036">
        <f t="shared" si="16"/>
        <v>6.2328703441087907E-94</v>
      </c>
      <c r="J60" s="2246"/>
      <c r="K60" s="2247"/>
      <c r="L60" s="1037">
        <f t="shared" si="17"/>
        <v>6.2328703441087907E-94</v>
      </c>
      <c r="M60" s="2251"/>
      <c r="N60" s="1055" t="s">
        <v>487</v>
      </c>
      <c r="O60" s="175"/>
    </row>
    <row r="61" spans="1:15" ht="15" customHeight="1">
      <c r="A61" s="1052"/>
      <c r="B61" s="907"/>
      <c r="C61" s="1033" t="s">
        <v>488</v>
      </c>
      <c r="D61" s="1056">
        <v>1</v>
      </c>
      <c r="E61" s="907" t="s">
        <v>462</v>
      </c>
      <c r="F61" s="2246"/>
      <c r="G61" s="2247"/>
      <c r="H61" s="1053">
        <v>0</v>
      </c>
      <c r="I61" s="1036">
        <f t="shared" si="16"/>
        <v>0</v>
      </c>
      <c r="J61" s="2246"/>
      <c r="K61" s="2247"/>
      <c r="L61" s="1037">
        <f t="shared" si="17"/>
        <v>0</v>
      </c>
      <c r="M61" s="2251"/>
      <c r="N61" s="1046"/>
      <c r="O61" s="175"/>
    </row>
    <row r="62" spans="1:15" ht="15" customHeight="1">
      <c r="A62" s="1052"/>
      <c r="B62" s="907"/>
      <c r="C62" s="1033" t="s">
        <v>489</v>
      </c>
      <c r="D62" s="1056">
        <v>0</v>
      </c>
      <c r="E62" s="907" t="s">
        <v>462</v>
      </c>
      <c r="F62" s="2246"/>
      <c r="G62" s="2247"/>
      <c r="H62" s="1053">
        <v>500</v>
      </c>
      <c r="I62" s="1036">
        <f t="shared" si="16"/>
        <v>0</v>
      </c>
      <c r="J62" s="2246"/>
      <c r="K62" s="2247"/>
      <c r="L62" s="1037">
        <f t="shared" si="17"/>
        <v>0</v>
      </c>
      <c r="M62" s="2251"/>
      <c r="N62" s="1046"/>
      <c r="O62" s="175"/>
    </row>
    <row r="63" spans="1:15" ht="15" customHeight="1">
      <c r="A63" s="1052"/>
      <c r="B63" s="907"/>
      <c r="C63" s="1033" t="s">
        <v>490</v>
      </c>
      <c r="D63" s="1056">
        <v>1</v>
      </c>
      <c r="E63" s="907" t="s">
        <v>462</v>
      </c>
      <c r="F63" s="2246"/>
      <c r="G63" s="2247"/>
      <c r="H63" s="1039">
        <v>7500</v>
      </c>
      <c r="I63" s="1036">
        <f t="shared" si="16"/>
        <v>7500</v>
      </c>
      <c r="J63" s="2246"/>
      <c r="K63" s="2247"/>
      <c r="L63" s="1037">
        <f t="shared" si="17"/>
        <v>7500</v>
      </c>
      <c r="M63" s="2251"/>
      <c r="N63" s="1046"/>
      <c r="O63" s="175"/>
    </row>
    <row r="64" spans="1:15" ht="15" customHeight="1">
      <c r="A64" s="1052"/>
      <c r="B64" s="907"/>
      <c r="C64" s="1033" t="s">
        <v>491</v>
      </c>
      <c r="D64" s="1056">
        <f>$L$4</f>
        <v>23.3</v>
      </c>
      <c r="E64" s="907" t="s">
        <v>471</v>
      </c>
      <c r="F64" s="2246"/>
      <c r="G64" s="2247"/>
      <c r="H64" s="1053">
        <v>0</v>
      </c>
      <c r="I64" s="1036">
        <f t="shared" si="16"/>
        <v>0</v>
      </c>
      <c r="J64" s="2246"/>
      <c r="K64" s="2247"/>
      <c r="L64" s="1037">
        <f t="shared" si="17"/>
        <v>0</v>
      </c>
      <c r="M64" s="2251"/>
      <c r="N64" s="1046"/>
      <c r="O64" s="175"/>
    </row>
    <row r="65" spans="1:15" ht="15" customHeight="1">
      <c r="A65" s="1052"/>
      <c r="B65" s="907"/>
      <c r="C65" s="1033" t="s">
        <v>492</v>
      </c>
      <c r="D65" s="1056">
        <v>0</v>
      </c>
      <c r="E65" s="907" t="s">
        <v>462</v>
      </c>
      <c r="F65" s="2246"/>
      <c r="G65" s="2247"/>
      <c r="H65" s="1053">
        <v>250</v>
      </c>
      <c r="I65" s="1036">
        <f t="shared" si="16"/>
        <v>0</v>
      </c>
      <c r="J65" s="2246"/>
      <c r="K65" s="2247"/>
      <c r="L65" s="1037">
        <f t="shared" si="17"/>
        <v>0</v>
      </c>
      <c r="M65" s="2251"/>
      <c r="N65" s="1046"/>
      <c r="O65" s="175"/>
    </row>
    <row r="66" spans="1:15" ht="15" customHeight="1">
      <c r="A66" s="1052"/>
      <c r="B66" s="907"/>
      <c r="C66" s="1033" t="s">
        <v>493</v>
      </c>
      <c r="D66" s="1056">
        <v>2</v>
      </c>
      <c r="E66" s="907" t="s">
        <v>468</v>
      </c>
      <c r="F66" s="2246"/>
      <c r="G66" s="2247"/>
      <c r="H66" s="1025">
        <v>840</v>
      </c>
      <c r="I66" s="1036">
        <f t="shared" si="16"/>
        <v>1680</v>
      </c>
      <c r="J66" s="2246"/>
      <c r="K66" s="2247"/>
      <c r="L66" s="1057">
        <f t="shared" si="17"/>
        <v>1680</v>
      </c>
      <c r="M66" s="2251"/>
      <c r="N66" s="1034" t="s">
        <v>494</v>
      </c>
      <c r="O66" s="175"/>
    </row>
    <row r="67" spans="1:15" ht="15" customHeight="1" thickBot="1">
      <c r="A67" s="1052"/>
      <c r="B67" s="907"/>
      <c r="C67" s="1058" t="s">
        <v>495</v>
      </c>
      <c r="D67" s="135">
        <v>20</v>
      </c>
      <c r="E67" s="1047" t="s">
        <v>471</v>
      </c>
      <c r="F67" s="2248"/>
      <c r="G67" s="2249"/>
      <c r="H67" s="136">
        <v>1200</v>
      </c>
      <c r="I67" s="1036">
        <f>SUM(D67*H67)</f>
        <v>24000</v>
      </c>
      <c r="J67" s="2248"/>
      <c r="K67" s="2249"/>
      <c r="L67" s="137">
        <f t="shared" si="17"/>
        <v>24000</v>
      </c>
      <c r="M67" s="2252"/>
      <c r="N67" s="1034" t="s">
        <v>496</v>
      </c>
      <c r="O67" s="175"/>
    </row>
    <row r="68" spans="1:15" ht="15" customHeight="1" thickBot="1">
      <c r="A68" s="2242"/>
      <c r="B68" s="2243"/>
      <c r="C68" s="138" t="s">
        <v>497</v>
      </c>
      <c r="D68" s="2257"/>
      <c r="E68" s="2258"/>
      <c r="F68" s="2258"/>
      <c r="G68" s="2258"/>
      <c r="H68" s="2258"/>
      <c r="I68" s="2258"/>
      <c r="J68" s="2258"/>
      <c r="K68" s="2258"/>
      <c r="L68" s="2259"/>
      <c r="M68" s="139"/>
      <c r="N68" s="134">
        <f>SUM(L69:L83)</f>
        <v>0</v>
      </c>
      <c r="O68" s="175"/>
    </row>
    <row r="69" spans="1:15" ht="15" hidden="1" customHeight="1">
      <c r="A69" s="116"/>
      <c r="B69" s="117"/>
      <c r="C69" s="125" t="s">
        <v>498</v>
      </c>
      <c r="D69" s="126">
        <v>1</v>
      </c>
      <c r="E69" s="117" t="s">
        <v>462</v>
      </c>
      <c r="F69" s="2244"/>
      <c r="G69" s="2245"/>
      <c r="H69" s="2244"/>
      <c r="I69" s="2245"/>
      <c r="J69" s="127">
        <v>0</v>
      </c>
      <c r="K69" s="128">
        <f>SUM(D69*J69)</f>
        <v>0</v>
      </c>
      <c r="L69" s="129">
        <f t="shared" ref="L69:L83" si="18">SUM(G69+I69+K69)</f>
        <v>0</v>
      </c>
      <c r="M69" s="129"/>
      <c r="N69" s="140" t="s">
        <v>499</v>
      </c>
      <c r="O69" s="175"/>
    </row>
    <row r="70" spans="1:15" ht="15" hidden="1" customHeight="1">
      <c r="A70" s="1052"/>
      <c r="B70" s="907"/>
      <c r="C70" s="1033" t="s">
        <v>500</v>
      </c>
      <c r="D70" s="1043">
        <f>L4</f>
        <v>23.3</v>
      </c>
      <c r="E70" s="907" t="s">
        <v>471</v>
      </c>
      <c r="F70" s="2246"/>
      <c r="G70" s="2247"/>
      <c r="H70" s="2246"/>
      <c r="I70" s="2247"/>
      <c r="J70" s="1044">
        <v>0</v>
      </c>
      <c r="K70" s="1036">
        <f t="shared" ref="K70:K83" si="19">SUM(D70*J70)</f>
        <v>0</v>
      </c>
      <c r="L70" s="1037">
        <f t="shared" si="18"/>
        <v>0</v>
      </c>
      <c r="M70" s="1037"/>
      <c r="N70" s="1042" t="s">
        <v>499</v>
      </c>
      <c r="O70" s="175"/>
    </row>
    <row r="71" spans="1:15" ht="15" hidden="1" customHeight="1">
      <c r="A71" s="1052"/>
      <c r="B71" s="907"/>
      <c r="C71" s="1033" t="s">
        <v>478</v>
      </c>
      <c r="D71" s="1043">
        <v>1</v>
      </c>
      <c r="E71" s="907" t="s">
        <v>462</v>
      </c>
      <c r="F71" s="2246"/>
      <c r="G71" s="2247"/>
      <c r="H71" s="2246"/>
      <c r="I71" s="2247"/>
      <c r="J71" s="1044">
        <v>0</v>
      </c>
      <c r="K71" s="1036">
        <f t="shared" si="19"/>
        <v>0</v>
      </c>
      <c r="L71" s="1037">
        <f t="shared" si="18"/>
        <v>0</v>
      </c>
      <c r="M71" s="1037"/>
      <c r="N71" s="1042" t="s">
        <v>499</v>
      </c>
      <c r="O71" s="175"/>
    </row>
    <row r="72" spans="1:15" ht="15" hidden="1" customHeight="1">
      <c r="A72" s="1052"/>
      <c r="B72" s="907"/>
      <c r="C72" s="1033" t="s">
        <v>501</v>
      </c>
      <c r="D72" s="1043">
        <f>L4</f>
        <v>23.3</v>
      </c>
      <c r="E72" s="907" t="s">
        <v>471</v>
      </c>
      <c r="F72" s="2246"/>
      <c r="G72" s="2247"/>
      <c r="H72" s="2246"/>
      <c r="I72" s="2247"/>
      <c r="J72" s="1044">
        <v>0</v>
      </c>
      <c r="K72" s="1036">
        <f t="shared" si="19"/>
        <v>0</v>
      </c>
      <c r="L72" s="1037">
        <f t="shared" si="18"/>
        <v>0</v>
      </c>
      <c r="M72" s="1037"/>
      <c r="N72" s="1042" t="s">
        <v>499</v>
      </c>
      <c r="O72" s="175"/>
    </row>
    <row r="73" spans="1:15" ht="15" hidden="1" customHeight="1">
      <c r="A73" s="1052"/>
      <c r="B73" s="907"/>
      <c r="C73" s="1033" t="s">
        <v>480</v>
      </c>
      <c r="D73" s="1043">
        <f>L4+L5</f>
        <v>25.3</v>
      </c>
      <c r="E73" s="907" t="s">
        <v>471</v>
      </c>
      <c r="F73" s="2246"/>
      <c r="G73" s="2247"/>
      <c r="H73" s="2246"/>
      <c r="I73" s="2247"/>
      <c r="J73" s="1044">
        <v>0</v>
      </c>
      <c r="K73" s="1036">
        <f t="shared" si="19"/>
        <v>0</v>
      </c>
      <c r="L73" s="1037">
        <f t="shared" si="18"/>
        <v>0</v>
      </c>
      <c r="M73" s="1037"/>
      <c r="N73" s="1042" t="s">
        <v>499</v>
      </c>
      <c r="O73" s="175"/>
    </row>
    <row r="74" spans="1:15" ht="15" hidden="1" customHeight="1">
      <c r="A74" s="1052"/>
      <c r="B74" s="907"/>
      <c r="C74" s="1033" t="s">
        <v>482</v>
      </c>
      <c r="D74" s="1043">
        <v>1</v>
      </c>
      <c r="E74" s="907" t="s">
        <v>462</v>
      </c>
      <c r="F74" s="2246"/>
      <c r="G74" s="2247"/>
      <c r="H74" s="2246"/>
      <c r="I74" s="2247"/>
      <c r="J74" s="1044">
        <v>0</v>
      </c>
      <c r="K74" s="1036">
        <f t="shared" si="19"/>
        <v>0</v>
      </c>
      <c r="L74" s="1037">
        <f t="shared" si="18"/>
        <v>0</v>
      </c>
      <c r="M74" s="1037"/>
      <c r="N74" s="1042" t="s">
        <v>499</v>
      </c>
      <c r="O74" s="175"/>
    </row>
    <row r="75" spans="1:15" ht="15" hidden="1" customHeight="1">
      <c r="A75" s="1052"/>
      <c r="B75" s="907"/>
      <c r="C75" s="1033" t="s">
        <v>483</v>
      </c>
      <c r="D75" s="1043">
        <f>L4+L5</f>
        <v>25.3</v>
      </c>
      <c r="E75" s="907" t="s">
        <v>471</v>
      </c>
      <c r="F75" s="2246"/>
      <c r="G75" s="2247"/>
      <c r="H75" s="2246"/>
      <c r="I75" s="2247"/>
      <c r="J75" s="1044">
        <v>0</v>
      </c>
      <c r="K75" s="1036">
        <f t="shared" si="19"/>
        <v>0</v>
      </c>
      <c r="L75" s="1037">
        <f t="shared" si="18"/>
        <v>0</v>
      </c>
      <c r="M75" s="1037"/>
      <c r="N75" s="1042" t="s">
        <v>499</v>
      </c>
      <c r="O75" s="175"/>
    </row>
    <row r="76" spans="1:15" ht="15" hidden="1" customHeight="1">
      <c r="A76" s="1052"/>
      <c r="B76" s="907"/>
      <c r="C76" s="1033" t="s">
        <v>484</v>
      </c>
      <c r="D76" s="1043">
        <f>L4+L5</f>
        <v>25.3</v>
      </c>
      <c r="E76" s="907" t="s">
        <v>471</v>
      </c>
      <c r="F76" s="2246"/>
      <c r="G76" s="2247"/>
      <c r="H76" s="2246"/>
      <c r="I76" s="2247"/>
      <c r="J76" s="1044">
        <v>0</v>
      </c>
      <c r="K76" s="1036">
        <f t="shared" si="19"/>
        <v>0</v>
      </c>
      <c r="L76" s="1037">
        <f t="shared" si="18"/>
        <v>0</v>
      </c>
      <c r="M76" s="1037"/>
      <c r="N76" s="1042" t="s">
        <v>499</v>
      </c>
      <c r="O76" s="175"/>
    </row>
    <row r="77" spans="1:15" ht="15" hidden="1" customHeight="1">
      <c r="A77" s="1052"/>
      <c r="B77" s="907"/>
      <c r="C77" s="1033" t="s">
        <v>502</v>
      </c>
      <c r="D77" s="1043">
        <f>L4</f>
        <v>23.3</v>
      </c>
      <c r="E77" s="907" t="s">
        <v>471</v>
      </c>
      <c r="F77" s="2246"/>
      <c r="G77" s="2247"/>
      <c r="H77" s="2246"/>
      <c r="I77" s="2247"/>
      <c r="J77" s="1044">
        <v>0</v>
      </c>
      <c r="K77" s="1036">
        <f t="shared" si="19"/>
        <v>0</v>
      </c>
      <c r="L77" s="1037">
        <f t="shared" si="18"/>
        <v>0</v>
      </c>
      <c r="M77" s="1037"/>
      <c r="N77" s="1042" t="s">
        <v>499</v>
      </c>
      <c r="O77" s="175"/>
    </row>
    <row r="78" spans="1:15" ht="15" hidden="1" customHeight="1">
      <c r="A78" s="1052"/>
      <c r="B78" s="907"/>
      <c r="C78" s="1033" t="s">
        <v>488</v>
      </c>
      <c r="D78" s="1043">
        <v>1</v>
      </c>
      <c r="E78" s="907" t="s">
        <v>462</v>
      </c>
      <c r="F78" s="2246"/>
      <c r="G78" s="2247"/>
      <c r="H78" s="2246"/>
      <c r="I78" s="2247"/>
      <c r="J78" s="1044">
        <v>0</v>
      </c>
      <c r="K78" s="1036">
        <f t="shared" si="19"/>
        <v>0</v>
      </c>
      <c r="L78" s="1037">
        <f t="shared" si="18"/>
        <v>0</v>
      </c>
      <c r="M78" s="1037"/>
      <c r="N78" s="1042" t="s">
        <v>499</v>
      </c>
      <c r="O78" s="175"/>
    </row>
    <row r="79" spans="1:15" ht="15" hidden="1" customHeight="1">
      <c r="A79" s="1052"/>
      <c r="B79" s="907"/>
      <c r="C79" s="1033" t="s">
        <v>489</v>
      </c>
      <c r="D79" s="1043">
        <v>1</v>
      </c>
      <c r="E79" s="907" t="s">
        <v>462</v>
      </c>
      <c r="F79" s="2246"/>
      <c r="G79" s="2247"/>
      <c r="H79" s="2246"/>
      <c r="I79" s="2247"/>
      <c r="J79" s="1044">
        <v>0</v>
      </c>
      <c r="K79" s="1036">
        <f t="shared" si="19"/>
        <v>0</v>
      </c>
      <c r="L79" s="1037">
        <f t="shared" si="18"/>
        <v>0</v>
      </c>
      <c r="M79" s="1037"/>
      <c r="N79" s="1042" t="s">
        <v>499</v>
      </c>
      <c r="O79" s="175"/>
    </row>
    <row r="80" spans="1:15" ht="15" hidden="1" customHeight="1">
      <c r="A80" s="1052"/>
      <c r="B80" s="907"/>
      <c r="C80" s="1033" t="s">
        <v>490</v>
      </c>
      <c r="D80" s="1043">
        <f>L4+L5</f>
        <v>25.3</v>
      </c>
      <c r="E80" s="907" t="s">
        <v>471</v>
      </c>
      <c r="F80" s="2246"/>
      <c r="G80" s="2247"/>
      <c r="H80" s="2246"/>
      <c r="I80" s="2247"/>
      <c r="J80" s="1044">
        <v>0</v>
      </c>
      <c r="K80" s="1036">
        <f t="shared" si="19"/>
        <v>0</v>
      </c>
      <c r="L80" s="1037">
        <f t="shared" si="18"/>
        <v>0</v>
      </c>
      <c r="M80" s="1037"/>
      <c r="N80" s="1042" t="s">
        <v>499</v>
      </c>
      <c r="O80" s="175"/>
    </row>
    <row r="81" spans="1:15" ht="15" hidden="1" customHeight="1">
      <c r="A81" s="1052"/>
      <c r="B81" s="907"/>
      <c r="C81" s="1033" t="s">
        <v>503</v>
      </c>
      <c r="D81" s="1043">
        <v>1</v>
      </c>
      <c r="E81" s="907" t="s">
        <v>462</v>
      </c>
      <c r="F81" s="2246"/>
      <c r="G81" s="2247"/>
      <c r="H81" s="2246"/>
      <c r="I81" s="2247"/>
      <c r="J81" s="1044">
        <v>0</v>
      </c>
      <c r="K81" s="1036">
        <f t="shared" si="19"/>
        <v>0</v>
      </c>
      <c r="L81" s="1037">
        <f t="shared" si="18"/>
        <v>0</v>
      </c>
      <c r="M81" s="1037"/>
      <c r="N81" s="1042" t="s">
        <v>499</v>
      </c>
      <c r="O81" s="175"/>
    </row>
    <row r="82" spans="1:15" ht="15" hidden="1" customHeight="1">
      <c r="A82" s="1052"/>
      <c r="B82" s="907"/>
      <c r="C82" s="1033" t="s">
        <v>491</v>
      </c>
      <c r="D82" s="1043">
        <f>L4</f>
        <v>23.3</v>
      </c>
      <c r="E82" s="907" t="s">
        <v>471</v>
      </c>
      <c r="F82" s="2246"/>
      <c r="G82" s="2247"/>
      <c r="H82" s="2246"/>
      <c r="I82" s="2247"/>
      <c r="J82" s="1044">
        <v>0</v>
      </c>
      <c r="K82" s="1036">
        <f t="shared" si="19"/>
        <v>0</v>
      </c>
      <c r="L82" s="1057">
        <f t="shared" si="18"/>
        <v>0</v>
      </c>
      <c r="M82" s="1037"/>
      <c r="N82" s="1042" t="s">
        <v>499</v>
      </c>
      <c r="O82" s="175"/>
    </row>
    <row r="83" spans="1:15" ht="15" hidden="1" customHeight="1" thickBot="1">
      <c r="A83" s="1059"/>
      <c r="B83" s="1047"/>
      <c r="C83" s="1058" t="s">
        <v>492</v>
      </c>
      <c r="D83" s="130">
        <v>1</v>
      </c>
      <c r="E83" s="1047" t="s">
        <v>462</v>
      </c>
      <c r="F83" s="2248"/>
      <c r="G83" s="2249"/>
      <c r="H83" s="2248"/>
      <c r="I83" s="2249"/>
      <c r="J83" s="141">
        <v>0</v>
      </c>
      <c r="K83" s="131">
        <f t="shared" si="19"/>
        <v>0</v>
      </c>
      <c r="L83" s="137">
        <f t="shared" si="18"/>
        <v>0</v>
      </c>
      <c r="M83" s="137"/>
      <c r="N83" s="142" t="s">
        <v>499</v>
      </c>
      <c r="O83" s="175"/>
    </row>
    <row r="84" spans="1:15" ht="15" customHeight="1" thickBot="1">
      <c r="A84" s="2242"/>
      <c r="B84" s="2243"/>
      <c r="C84" s="138" t="s">
        <v>504</v>
      </c>
      <c r="D84" s="339"/>
      <c r="E84" s="132"/>
      <c r="F84" s="132"/>
      <c r="G84" s="132"/>
      <c r="H84" s="132"/>
      <c r="I84" s="132"/>
      <c r="J84" s="132"/>
      <c r="K84" s="132"/>
      <c r="L84" s="133">
        <f>SUM(L85:L97)</f>
        <v>136289.29999999999</v>
      </c>
      <c r="M84" s="133"/>
      <c r="N84" s="134"/>
      <c r="O84" s="175"/>
    </row>
    <row r="85" spans="1:15" ht="15" customHeight="1">
      <c r="A85" s="1052"/>
      <c r="B85" s="907"/>
      <c r="C85" s="1022" t="s">
        <v>505</v>
      </c>
      <c r="D85" s="1043">
        <v>0</v>
      </c>
      <c r="E85" s="1030" t="s">
        <v>462</v>
      </c>
      <c r="F85" s="2244"/>
      <c r="G85" s="2245"/>
      <c r="H85" s="2244"/>
      <c r="I85" s="2245"/>
      <c r="J85" s="1053">
        <v>0</v>
      </c>
      <c r="K85" s="1036">
        <f>SUM(D85*J85)</f>
        <v>0</v>
      </c>
      <c r="L85" s="1037">
        <f t="shared" ref="L85:L97" si="20">SUM(G85+I85+K85)</f>
        <v>0</v>
      </c>
      <c r="M85" s="2250"/>
      <c r="N85" s="1060" t="s">
        <v>506</v>
      </c>
      <c r="O85" s="175"/>
    </row>
    <row r="86" spans="1:15" ht="15" customHeight="1">
      <c r="A86" s="1052"/>
      <c r="B86" s="907"/>
      <c r="C86" s="1033" t="s">
        <v>507</v>
      </c>
      <c r="D86" s="1056">
        <f>$L$4</f>
        <v>23.3</v>
      </c>
      <c r="E86" s="907" t="s">
        <v>471</v>
      </c>
      <c r="F86" s="2246"/>
      <c r="G86" s="2247"/>
      <c r="H86" s="2246"/>
      <c r="I86" s="2247"/>
      <c r="J86" s="1053">
        <v>0</v>
      </c>
      <c r="K86" s="1036">
        <f t="shared" ref="K86:K97" si="21">SUM(D86*J86)</f>
        <v>0</v>
      </c>
      <c r="L86" s="1037">
        <f t="shared" si="20"/>
        <v>0</v>
      </c>
      <c r="M86" s="2251"/>
      <c r="N86" s="1055" t="s">
        <v>508</v>
      </c>
      <c r="O86" s="175"/>
    </row>
    <row r="87" spans="1:15" ht="15" customHeight="1">
      <c r="A87" s="1052"/>
      <c r="B87" s="907"/>
      <c r="C87" s="1033" t="s">
        <v>509</v>
      </c>
      <c r="D87" s="1056">
        <f>L4</f>
        <v>23.3</v>
      </c>
      <c r="E87" s="907" t="s">
        <v>471</v>
      </c>
      <c r="F87" s="2246"/>
      <c r="G87" s="2247"/>
      <c r="H87" s="2246"/>
      <c r="I87" s="2247"/>
      <c r="J87" s="1053">
        <v>0</v>
      </c>
      <c r="K87" s="1036">
        <f t="shared" si="21"/>
        <v>0</v>
      </c>
      <c r="L87" s="1037">
        <f t="shared" si="20"/>
        <v>0</v>
      </c>
      <c r="M87" s="2251"/>
      <c r="N87" s="1055" t="s">
        <v>508</v>
      </c>
      <c r="O87" s="175"/>
    </row>
    <row r="88" spans="1:15" ht="15" customHeight="1">
      <c r="A88" s="1052"/>
      <c r="B88" s="907"/>
      <c r="C88" s="1033" t="s">
        <v>510</v>
      </c>
      <c r="D88" s="1056">
        <v>0</v>
      </c>
      <c r="E88" s="907" t="s">
        <v>511</v>
      </c>
      <c r="F88" s="2246"/>
      <c r="G88" s="2247"/>
      <c r="H88" s="2246"/>
      <c r="I88" s="2247"/>
      <c r="J88" s="1053">
        <v>0</v>
      </c>
      <c r="K88" s="1036">
        <f t="shared" si="21"/>
        <v>0</v>
      </c>
      <c r="L88" s="1037">
        <f t="shared" si="20"/>
        <v>0</v>
      </c>
      <c r="M88" s="2251"/>
      <c r="N88" s="1060" t="s">
        <v>512</v>
      </c>
      <c r="O88" s="175"/>
    </row>
    <row r="89" spans="1:15" ht="15" customHeight="1">
      <c r="A89" s="1052"/>
      <c r="B89" s="907"/>
      <c r="C89" s="1033" t="s">
        <v>513</v>
      </c>
      <c r="D89" s="1056">
        <v>1</v>
      </c>
      <c r="E89" s="907" t="s">
        <v>462</v>
      </c>
      <c r="F89" s="2246"/>
      <c r="G89" s="2247"/>
      <c r="H89" s="2246"/>
      <c r="I89" s="2247"/>
      <c r="J89" s="1053">
        <v>150</v>
      </c>
      <c r="K89" s="1036">
        <f t="shared" si="21"/>
        <v>150</v>
      </c>
      <c r="L89" s="1037">
        <f t="shared" si="20"/>
        <v>150</v>
      </c>
      <c r="M89" s="2251"/>
      <c r="N89" s="1055" t="s">
        <v>508</v>
      </c>
      <c r="O89" s="175"/>
    </row>
    <row r="90" spans="1:15" ht="15" customHeight="1">
      <c r="A90" s="1052"/>
      <c r="B90" s="907"/>
      <c r="C90" s="1033" t="s">
        <v>514</v>
      </c>
      <c r="D90" s="1056">
        <f>L4</f>
        <v>23.3</v>
      </c>
      <c r="E90" s="907" t="s">
        <v>471</v>
      </c>
      <c r="F90" s="2246"/>
      <c r="G90" s="2247"/>
      <c r="H90" s="2246"/>
      <c r="I90" s="2247"/>
      <c r="J90" s="1053">
        <v>0</v>
      </c>
      <c r="K90" s="1036">
        <f t="shared" si="21"/>
        <v>0</v>
      </c>
      <c r="L90" s="1037">
        <f t="shared" si="20"/>
        <v>0</v>
      </c>
      <c r="M90" s="2251"/>
      <c r="N90" s="1055"/>
      <c r="O90" s="175"/>
    </row>
    <row r="91" spans="1:15" ht="15" customHeight="1">
      <c r="A91" s="1052"/>
      <c r="B91" s="907"/>
      <c r="C91" s="1033" t="s">
        <v>515</v>
      </c>
      <c r="D91" s="1023">
        <f>L4</f>
        <v>23.3</v>
      </c>
      <c r="E91" s="907" t="s">
        <v>471</v>
      </c>
      <c r="F91" s="2246"/>
      <c r="G91" s="2247"/>
      <c r="H91" s="2246"/>
      <c r="I91" s="2247"/>
      <c r="J91" s="1039">
        <f>407*D92</f>
        <v>4884</v>
      </c>
      <c r="K91" s="1032">
        <f>SUM(D91*J91)</f>
        <v>113797.2</v>
      </c>
      <c r="L91" s="1035">
        <f t="shared" si="20"/>
        <v>113797.2</v>
      </c>
      <c r="M91" s="2251"/>
      <c r="N91" s="1034" t="s">
        <v>516</v>
      </c>
      <c r="O91" s="175"/>
    </row>
    <row r="92" spans="1:15" ht="15" customHeight="1">
      <c r="A92" s="1052"/>
      <c r="B92" s="907"/>
      <c r="C92" s="1022" t="s">
        <v>517</v>
      </c>
      <c r="D92" s="1023">
        <v>12</v>
      </c>
      <c r="E92" s="1030" t="s">
        <v>468</v>
      </c>
      <c r="F92" s="2246"/>
      <c r="G92" s="2247"/>
      <c r="H92" s="2246"/>
      <c r="I92" s="2247"/>
      <c r="J92" s="1039">
        <v>93</v>
      </c>
      <c r="K92" s="1032">
        <f t="shared" ref="K92:K94" si="22">SUM(D92*J92)</f>
        <v>1116</v>
      </c>
      <c r="L92" s="1035">
        <f t="shared" si="20"/>
        <v>1116</v>
      </c>
      <c r="M92" s="2251"/>
      <c r="N92" s="1034" t="s">
        <v>516</v>
      </c>
      <c r="O92" s="175"/>
    </row>
    <row r="93" spans="1:15" ht="15" customHeight="1">
      <c r="A93" s="1052"/>
      <c r="B93" s="907"/>
      <c r="C93" s="1033" t="s">
        <v>518</v>
      </c>
      <c r="D93" s="1023">
        <f>L4</f>
        <v>23.3</v>
      </c>
      <c r="E93" s="907" t="s">
        <v>471</v>
      </c>
      <c r="F93" s="2246"/>
      <c r="G93" s="2247"/>
      <c r="H93" s="2246"/>
      <c r="I93" s="2247"/>
      <c r="J93" s="1039">
        <v>407</v>
      </c>
      <c r="K93" s="1032">
        <f t="shared" si="22"/>
        <v>9483.1</v>
      </c>
      <c r="L93" s="1035">
        <f t="shared" si="20"/>
        <v>9483.1</v>
      </c>
      <c r="M93" s="2251"/>
      <c r="N93" s="1034" t="s">
        <v>516</v>
      </c>
      <c r="O93" s="175"/>
    </row>
    <row r="94" spans="1:15" ht="15" customHeight="1">
      <c r="A94" s="1052"/>
      <c r="B94" s="907"/>
      <c r="C94" s="1022" t="s">
        <v>519</v>
      </c>
      <c r="D94" s="1043">
        <v>1</v>
      </c>
      <c r="E94" s="1030" t="s">
        <v>468</v>
      </c>
      <c r="F94" s="2246"/>
      <c r="G94" s="2247"/>
      <c r="H94" s="2246"/>
      <c r="I94" s="2247"/>
      <c r="J94" s="1039">
        <v>93</v>
      </c>
      <c r="K94" s="1032">
        <f t="shared" si="22"/>
        <v>93</v>
      </c>
      <c r="L94" s="1035">
        <f t="shared" si="20"/>
        <v>93</v>
      </c>
      <c r="M94" s="2251"/>
      <c r="N94" s="1034" t="s">
        <v>516</v>
      </c>
      <c r="O94" s="175"/>
    </row>
    <row r="95" spans="1:15" ht="15" customHeight="1">
      <c r="A95" s="1052"/>
      <c r="B95" s="907"/>
      <c r="C95" s="1033" t="s">
        <v>520</v>
      </c>
      <c r="D95" s="1056">
        <f>L4</f>
        <v>23.3</v>
      </c>
      <c r="E95" s="907" t="s">
        <v>471</v>
      </c>
      <c r="F95" s="2246"/>
      <c r="G95" s="2247"/>
      <c r="H95" s="2246"/>
      <c r="I95" s="2247"/>
      <c r="J95" s="1053">
        <v>500</v>
      </c>
      <c r="K95" s="1036">
        <f t="shared" si="21"/>
        <v>11650</v>
      </c>
      <c r="L95" s="1037">
        <f t="shared" si="20"/>
        <v>11650</v>
      </c>
      <c r="M95" s="2251"/>
      <c r="N95" s="1055"/>
      <c r="O95" s="175"/>
    </row>
    <row r="96" spans="1:15" ht="15" customHeight="1">
      <c r="A96" s="1052"/>
      <c r="B96" s="907"/>
      <c r="C96" s="1033" t="s">
        <v>521</v>
      </c>
      <c r="D96" s="1056">
        <v>0</v>
      </c>
      <c r="E96" s="907" t="s">
        <v>462</v>
      </c>
      <c r="F96" s="2246"/>
      <c r="G96" s="2247"/>
      <c r="H96" s="2246"/>
      <c r="I96" s="2247"/>
      <c r="J96" s="1053">
        <v>0</v>
      </c>
      <c r="K96" s="1036">
        <f t="shared" si="21"/>
        <v>0</v>
      </c>
      <c r="L96" s="1037">
        <f t="shared" si="20"/>
        <v>0</v>
      </c>
      <c r="M96" s="2251"/>
      <c r="N96" s="1055"/>
      <c r="O96" s="175"/>
    </row>
    <row r="97" spans="1:15" ht="15" customHeight="1" thickBot="1">
      <c r="A97" s="1052"/>
      <c r="B97" s="907"/>
      <c r="C97" s="1033" t="s">
        <v>522</v>
      </c>
      <c r="D97" s="1056">
        <f>L4</f>
        <v>23.3</v>
      </c>
      <c r="E97" s="907" t="s">
        <v>471</v>
      </c>
      <c r="F97" s="2246"/>
      <c r="G97" s="2247"/>
      <c r="H97" s="2246"/>
      <c r="I97" s="2247"/>
      <c r="J97" s="1044">
        <v>0</v>
      </c>
      <c r="K97" s="1036">
        <f t="shared" si="21"/>
        <v>0</v>
      </c>
      <c r="L97" s="1057">
        <f t="shared" si="20"/>
        <v>0</v>
      </c>
      <c r="M97" s="2251"/>
      <c r="N97" s="1055"/>
      <c r="O97" s="175"/>
    </row>
    <row r="98" spans="1:15" ht="15" customHeight="1" thickBot="1">
      <c r="A98" s="2242"/>
      <c r="B98" s="2243"/>
      <c r="C98" s="138" t="s">
        <v>523</v>
      </c>
      <c r="D98" s="339"/>
      <c r="E98" s="132"/>
      <c r="F98" s="132"/>
      <c r="G98" s="132"/>
      <c r="H98" s="132"/>
      <c r="I98" s="132"/>
      <c r="J98" s="132"/>
      <c r="K98" s="132"/>
      <c r="L98" s="134">
        <f>SUM(L99:L101)</f>
        <v>93200</v>
      </c>
      <c r="M98" s="134"/>
      <c r="N98" s="134"/>
      <c r="O98" s="175"/>
    </row>
    <row r="99" spans="1:15" ht="15" customHeight="1">
      <c r="A99" s="1052"/>
      <c r="B99" s="907"/>
      <c r="C99" s="125" t="s">
        <v>524</v>
      </c>
      <c r="D99" s="1043">
        <f>$L$4</f>
        <v>23.3</v>
      </c>
      <c r="E99" s="923" t="s">
        <v>471</v>
      </c>
      <c r="F99" s="2244"/>
      <c r="G99" s="2245"/>
      <c r="H99" s="2244"/>
      <c r="I99" s="2245"/>
      <c r="J99" s="127">
        <v>1500</v>
      </c>
      <c r="K99" s="128">
        <f>SUM(D99*J99)</f>
        <v>34950</v>
      </c>
      <c r="L99" s="129">
        <f>SUM(G99+I99+K99)</f>
        <v>34950</v>
      </c>
      <c r="M99" s="2250"/>
      <c r="N99" s="140"/>
      <c r="O99" s="175"/>
    </row>
    <row r="100" spans="1:15" ht="15" customHeight="1">
      <c r="A100" s="1052"/>
      <c r="B100" s="907"/>
      <c r="C100" s="143" t="s">
        <v>525</v>
      </c>
      <c r="D100" s="144">
        <f>L4</f>
        <v>23.3</v>
      </c>
      <c r="E100" s="907" t="s">
        <v>471</v>
      </c>
      <c r="F100" s="2246"/>
      <c r="G100" s="2247"/>
      <c r="H100" s="2246"/>
      <c r="I100" s="2247"/>
      <c r="J100" s="145">
        <v>2500</v>
      </c>
      <c r="K100" s="146">
        <f>SUM(D100*J100)</f>
        <v>58250</v>
      </c>
      <c r="L100" s="147">
        <f>SUM(G100+I100+K100)</f>
        <v>58250</v>
      </c>
      <c r="M100" s="2251"/>
      <c r="N100" s="148"/>
      <c r="O100" s="175"/>
    </row>
    <row r="101" spans="1:15" ht="15" customHeight="1" thickBot="1">
      <c r="A101" s="1052"/>
      <c r="B101" s="907"/>
      <c r="C101" s="1058" t="s">
        <v>526</v>
      </c>
      <c r="D101" s="1061">
        <v>0</v>
      </c>
      <c r="E101" s="1047" t="s">
        <v>462</v>
      </c>
      <c r="F101" s="2248"/>
      <c r="G101" s="2249"/>
      <c r="H101" s="2248"/>
      <c r="I101" s="2249"/>
      <c r="J101" s="1049">
        <v>1000</v>
      </c>
      <c r="K101" s="1062">
        <f>SUM(D101*J101)</f>
        <v>0</v>
      </c>
      <c r="L101" s="1050">
        <f>SUM(G101+I101+K101)</f>
        <v>0</v>
      </c>
      <c r="M101" s="2252"/>
      <c r="N101" s="1063"/>
      <c r="O101" s="175"/>
    </row>
    <row r="102" spans="1:15" ht="15" customHeight="1" thickBot="1">
      <c r="A102" s="2242"/>
      <c r="B102" s="2243"/>
      <c r="C102" s="138" t="s">
        <v>527</v>
      </c>
      <c r="D102" s="339"/>
      <c r="E102" s="132"/>
      <c r="F102" s="132"/>
      <c r="G102" s="132"/>
      <c r="H102" s="132"/>
      <c r="I102" s="132"/>
      <c r="J102" s="132"/>
      <c r="K102" s="132"/>
      <c r="L102" s="134">
        <f>SUM(L103:L120)</f>
        <v>6990</v>
      </c>
      <c r="M102" s="134"/>
      <c r="N102" s="134"/>
      <c r="O102" s="175"/>
    </row>
    <row r="103" spans="1:15" ht="15" customHeight="1">
      <c r="A103" s="1052"/>
      <c r="B103" s="907">
        <v>15000</v>
      </c>
      <c r="C103" s="1022" t="s">
        <v>528</v>
      </c>
      <c r="D103" s="1023">
        <v>0</v>
      </c>
      <c r="E103" s="1030" t="s">
        <v>529</v>
      </c>
      <c r="F103" s="2244"/>
      <c r="G103" s="2245"/>
      <c r="H103" s="2244"/>
      <c r="I103" s="2245"/>
      <c r="J103" s="1039">
        <v>8.3000000000000007</v>
      </c>
      <c r="K103" s="1032">
        <f>J103*D103</f>
        <v>0</v>
      </c>
      <c r="L103" s="1035">
        <f t="shared" ref="L103:L161" si="23">SUM(G103+I103+K103)</f>
        <v>0</v>
      </c>
      <c r="M103" s="2250"/>
      <c r="N103" s="1046" t="s">
        <v>530</v>
      </c>
      <c r="O103" s="175"/>
    </row>
    <row r="104" spans="1:15" ht="15" customHeight="1">
      <c r="A104" s="1052"/>
      <c r="B104" s="907"/>
      <c r="C104" s="1022" t="s">
        <v>531</v>
      </c>
      <c r="D104" s="1023">
        <v>0</v>
      </c>
      <c r="E104" s="1030" t="s">
        <v>529</v>
      </c>
      <c r="F104" s="2246"/>
      <c r="G104" s="2247"/>
      <c r="H104" s="2246"/>
      <c r="I104" s="2247"/>
      <c r="J104" s="1039">
        <v>9.8000000000000007</v>
      </c>
      <c r="K104" s="1032">
        <f>J104*D104</f>
        <v>0</v>
      </c>
      <c r="L104" s="1035">
        <f t="shared" si="23"/>
        <v>0</v>
      </c>
      <c r="M104" s="2251"/>
      <c r="N104" s="1046" t="s">
        <v>530</v>
      </c>
      <c r="O104" s="175"/>
    </row>
    <row r="105" spans="1:15" ht="15" customHeight="1">
      <c r="A105" s="1052"/>
      <c r="B105" s="907"/>
      <c r="C105" s="1022" t="s">
        <v>532</v>
      </c>
      <c r="D105" s="1023">
        <v>0</v>
      </c>
      <c r="E105" s="1030" t="s">
        <v>529</v>
      </c>
      <c r="F105" s="2246"/>
      <c r="G105" s="2247"/>
      <c r="H105" s="2246"/>
      <c r="I105" s="2247"/>
      <c r="J105" s="1053">
        <v>6.49</v>
      </c>
      <c r="K105" s="1036">
        <f>SUM(D105*J105)</f>
        <v>0</v>
      </c>
      <c r="L105" s="1037">
        <f t="shared" si="23"/>
        <v>0</v>
      </c>
      <c r="M105" s="2251"/>
      <c r="N105" s="1046" t="s">
        <v>530</v>
      </c>
      <c r="O105" s="175"/>
    </row>
    <row r="106" spans="1:15" ht="15" customHeight="1">
      <c r="A106" s="1052"/>
      <c r="B106" s="907"/>
      <c r="C106" s="1022" t="s">
        <v>533</v>
      </c>
      <c r="D106" s="1023">
        <v>0</v>
      </c>
      <c r="E106" s="1030" t="s">
        <v>529</v>
      </c>
      <c r="F106" s="2246"/>
      <c r="G106" s="2247"/>
      <c r="H106" s="2246"/>
      <c r="I106" s="2247"/>
      <c r="J106" s="1053">
        <v>7.49</v>
      </c>
      <c r="K106" s="1036">
        <f>SUM(D106*J106)</f>
        <v>0</v>
      </c>
      <c r="L106" s="1037">
        <f t="shared" si="23"/>
        <v>0</v>
      </c>
      <c r="M106" s="2251"/>
      <c r="N106" s="1046" t="s">
        <v>530</v>
      </c>
      <c r="O106" s="175"/>
    </row>
    <row r="107" spans="1:15" ht="15" customHeight="1">
      <c r="A107" s="1052"/>
      <c r="B107" s="907"/>
      <c r="C107" s="1022" t="s">
        <v>534</v>
      </c>
      <c r="D107" s="1056">
        <v>0</v>
      </c>
      <c r="E107" s="1030" t="s">
        <v>468</v>
      </c>
      <c r="F107" s="2246"/>
      <c r="G107" s="2247"/>
      <c r="H107" s="2246"/>
      <c r="I107" s="2247"/>
      <c r="J107" s="1053">
        <v>800</v>
      </c>
      <c r="K107" s="1036">
        <f>SUM(D107*J107)</f>
        <v>0</v>
      </c>
      <c r="L107" s="1037">
        <f t="shared" si="23"/>
        <v>0</v>
      </c>
      <c r="M107" s="2251"/>
      <c r="N107" s="1046" t="s">
        <v>530</v>
      </c>
      <c r="O107" s="175"/>
    </row>
    <row r="108" spans="1:15" ht="15" customHeight="1">
      <c r="A108" s="1052"/>
      <c r="B108" s="907">
        <v>15000</v>
      </c>
      <c r="C108" s="1033" t="s">
        <v>535</v>
      </c>
      <c r="D108" s="1056">
        <v>0</v>
      </c>
      <c r="E108" s="907" t="s">
        <v>471</v>
      </c>
      <c r="F108" s="2246"/>
      <c r="G108" s="2247"/>
      <c r="H108" s="2246"/>
      <c r="I108" s="2247"/>
      <c r="J108" s="1053">
        <v>150</v>
      </c>
      <c r="K108" s="1036">
        <f t="shared" ref="K108:K120" si="24">SUM(D108*J108)</f>
        <v>0</v>
      </c>
      <c r="L108" s="1037">
        <f t="shared" si="23"/>
        <v>0</v>
      </c>
      <c r="M108" s="2251"/>
      <c r="N108" s="1046" t="s">
        <v>530</v>
      </c>
      <c r="O108" s="175"/>
    </row>
    <row r="109" spans="1:15" ht="15" customHeight="1">
      <c r="A109" s="1052"/>
      <c r="B109" s="907"/>
      <c r="C109" s="1033" t="s">
        <v>536</v>
      </c>
      <c r="D109" s="1056">
        <f>K4</f>
        <v>99.857142857142861</v>
      </c>
      <c r="E109" s="907" t="s">
        <v>445</v>
      </c>
      <c r="F109" s="2246"/>
      <c r="G109" s="2247"/>
      <c r="H109" s="2246"/>
      <c r="I109" s="2247"/>
      <c r="J109" s="1053">
        <v>0</v>
      </c>
      <c r="K109" s="1036">
        <f t="shared" si="24"/>
        <v>0</v>
      </c>
      <c r="L109" s="1037">
        <f t="shared" si="23"/>
        <v>0</v>
      </c>
      <c r="M109" s="2251"/>
      <c r="N109" s="1055"/>
      <c r="O109" s="175"/>
    </row>
    <row r="110" spans="1:15" ht="15" customHeight="1">
      <c r="A110" s="1052"/>
      <c r="B110" s="907"/>
      <c r="C110" s="1033" t="s">
        <v>537</v>
      </c>
      <c r="D110" s="1056">
        <v>0</v>
      </c>
      <c r="E110" s="907" t="s">
        <v>462</v>
      </c>
      <c r="F110" s="2246"/>
      <c r="G110" s="2247"/>
      <c r="H110" s="2246"/>
      <c r="I110" s="2247"/>
      <c r="J110" s="1039">
        <v>10000</v>
      </c>
      <c r="K110" s="1036">
        <f t="shared" si="24"/>
        <v>0</v>
      </c>
      <c r="L110" s="1037">
        <f t="shared" si="23"/>
        <v>0</v>
      </c>
      <c r="M110" s="2251"/>
      <c r="N110" s="1046"/>
      <c r="O110" s="175"/>
    </row>
    <row r="111" spans="1:15" ht="15" customHeight="1">
      <c r="A111" s="1052"/>
      <c r="B111" s="907">
        <v>15000</v>
      </c>
      <c r="C111" s="1033" t="s">
        <v>538</v>
      </c>
      <c r="D111" s="1056">
        <v>0</v>
      </c>
      <c r="E111" s="907" t="s">
        <v>462</v>
      </c>
      <c r="F111" s="2246"/>
      <c r="G111" s="2247"/>
      <c r="H111" s="2246"/>
      <c r="I111" s="2247"/>
      <c r="J111" s="1053">
        <v>500</v>
      </c>
      <c r="K111" s="1036">
        <f t="shared" si="24"/>
        <v>0</v>
      </c>
      <c r="L111" s="1037">
        <f t="shared" si="23"/>
        <v>0</v>
      </c>
      <c r="M111" s="2251"/>
      <c r="N111" s="1046"/>
      <c r="O111" s="175"/>
    </row>
    <row r="112" spans="1:15" ht="15" customHeight="1">
      <c r="A112" s="1052"/>
      <c r="B112" s="907"/>
      <c r="C112" s="1033" t="s">
        <v>539</v>
      </c>
      <c r="D112" s="1056">
        <v>1</v>
      </c>
      <c r="E112" s="907" t="s">
        <v>462</v>
      </c>
      <c r="F112" s="2246"/>
      <c r="G112" s="2247"/>
      <c r="H112" s="2246"/>
      <c r="I112" s="2247"/>
      <c r="J112" s="1053">
        <v>0</v>
      </c>
      <c r="K112" s="1036">
        <f>J112*D112</f>
        <v>0</v>
      </c>
      <c r="L112" s="1037">
        <f t="shared" si="23"/>
        <v>0</v>
      </c>
      <c r="M112" s="2251"/>
      <c r="N112" s="1046" t="s">
        <v>530</v>
      </c>
      <c r="O112" s="175"/>
    </row>
    <row r="113" spans="1:15" ht="15" customHeight="1">
      <c r="A113" s="1052"/>
      <c r="B113" s="907"/>
      <c r="C113" s="1033" t="s">
        <v>540</v>
      </c>
      <c r="D113" s="1056">
        <v>0</v>
      </c>
      <c r="E113" s="907" t="s">
        <v>462</v>
      </c>
      <c r="F113" s="2246"/>
      <c r="G113" s="2247"/>
      <c r="H113" s="2246"/>
      <c r="I113" s="2247"/>
      <c r="J113" s="1053">
        <v>500</v>
      </c>
      <c r="K113" s="1036">
        <f>J113*D113</f>
        <v>0</v>
      </c>
      <c r="L113" s="1037">
        <f t="shared" si="23"/>
        <v>0</v>
      </c>
      <c r="M113" s="2251"/>
      <c r="N113" s="1046"/>
      <c r="O113" s="175"/>
    </row>
    <row r="114" spans="1:15" ht="15" customHeight="1">
      <c r="A114" s="1052"/>
      <c r="B114" s="907">
        <v>15000</v>
      </c>
      <c r="C114" s="1033" t="s">
        <v>541</v>
      </c>
      <c r="D114" s="1056">
        <v>0</v>
      </c>
      <c r="E114" s="907" t="s">
        <v>462</v>
      </c>
      <c r="F114" s="2246"/>
      <c r="G114" s="2247"/>
      <c r="H114" s="2246"/>
      <c r="I114" s="2247"/>
      <c r="J114" s="1053">
        <v>5000</v>
      </c>
      <c r="K114" s="1036">
        <f t="shared" si="24"/>
        <v>0</v>
      </c>
      <c r="L114" s="1037">
        <f t="shared" si="23"/>
        <v>0</v>
      </c>
      <c r="M114" s="2251"/>
      <c r="N114" s="1046"/>
      <c r="O114" s="175"/>
    </row>
    <row r="115" spans="1:15" ht="15" customHeight="1">
      <c r="A115" s="1052"/>
      <c r="B115" s="907"/>
      <c r="C115" s="1033" t="s">
        <v>542</v>
      </c>
      <c r="D115" s="1056">
        <v>0</v>
      </c>
      <c r="E115" s="907" t="s">
        <v>462</v>
      </c>
      <c r="F115" s="2246"/>
      <c r="G115" s="2247"/>
      <c r="H115" s="2246"/>
      <c r="I115" s="2247"/>
      <c r="J115" s="1053">
        <v>0</v>
      </c>
      <c r="K115" s="1036">
        <f t="shared" si="24"/>
        <v>0</v>
      </c>
      <c r="L115" s="1037">
        <f t="shared" si="23"/>
        <v>0</v>
      </c>
      <c r="M115" s="2251"/>
      <c r="N115" s="1046"/>
      <c r="O115" s="175"/>
    </row>
    <row r="116" spans="1:15" ht="15" customHeight="1">
      <c r="A116" s="1052"/>
      <c r="B116" s="907">
        <v>15000</v>
      </c>
      <c r="C116" s="1033" t="s">
        <v>543</v>
      </c>
      <c r="D116" s="1056">
        <v>0</v>
      </c>
      <c r="E116" s="907" t="s">
        <v>462</v>
      </c>
      <c r="F116" s="2246"/>
      <c r="G116" s="2247"/>
      <c r="H116" s="2246"/>
      <c r="I116" s="2247"/>
      <c r="J116" s="1053">
        <v>5000</v>
      </c>
      <c r="K116" s="1036">
        <f t="shared" si="24"/>
        <v>0</v>
      </c>
      <c r="L116" s="1037">
        <f t="shared" si="23"/>
        <v>0</v>
      </c>
      <c r="M116" s="2251"/>
      <c r="N116" s="1046"/>
      <c r="O116" s="175"/>
    </row>
    <row r="117" spans="1:15" ht="15" customHeight="1">
      <c r="A117" s="1052"/>
      <c r="B117" s="907">
        <v>15000</v>
      </c>
      <c r="C117" s="1033" t="s">
        <v>544</v>
      </c>
      <c r="D117" s="1056">
        <v>0</v>
      </c>
      <c r="E117" s="907" t="s">
        <v>462</v>
      </c>
      <c r="F117" s="2246"/>
      <c r="G117" s="2247"/>
      <c r="H117" s="2246"/>
      <c r="I117" s="2247"/>
      <c r="J117" s="1053">
        <v>5000</v>
      </c>
      <c r="K117" s="1036">
        <f t="shared" si="24"/>
        <v>0</v>
      </c>
      <c r="L117" s="1037">
        <f t="shared" si="23"/>
        <v>0</v>
      </c>
      <c r="M117" s="2251"/>
      <c r="N117" s="1046"/>
      <c r="O117" s="175"/>
    </row>
    <row r="118" spans="1:15" ht="15" customHeight="1">
      <c r="A118" s="1052"/>
      <c r="B118" s="907"/>
      <c r="C118" s="1033" t="s">
        <v>545</v>
      </c>
      <c r="D118" s="1043">
        <f>L4</f>
        <v>23.3</v>
      </c>
      <c r="E118" s="907" t="s">
        <v>471</v>
      </c>
      <c r="F118" s="2246"/>
      <c r="G118" s="2247"/>
      <c r="H118" s="2246"/>
      <c r="I118" s="2247"/>
      <c r="J118" s="1053">
        <v>250</v>
      </c>
      <c r="K118" s="1036">
        <f t="shared" si="24"/>
        <v>5825</v>
      </c>
      <c r="L118" s="1037">
        <f t="shared" si="23"/>
        <v>5825</v>
      </c>
      <c r="M118" s="2251"/>
      <c r="N118" s="1046"/>
      <c r="O118" s="175"/>
    </row>
    <row r="119" spans="1:15" ht="15" customHeight="1">
      <c r="A119" s="1052"/>
      <c r="B119" s="907"/>
      <c r="C119" s="1033" t="s">
        <v>546</v>
      </c>
      <c r="D119" s="1043">
        <f>L4</f>
        <v>23.3</v>
      </c>
      <c r="E119" s="907" t="s">
        <v>471</v>
      </c>
      <c r="F119" s="2246"/>
      <c r="G119" s="2247"/>
      <c r="H119" s="2246"/>
      <c r="I119" s="2247"/>
      <c r="J119" s="1044">
        <v>50</v>
      </c>
      <c r="K119" s="1036">
        <f t="shared" si="24"/>
        <v>1165</v>
      </c>
      <c r="L119" s="1057">
        <f t="shared" si="23"/>
        <v>1165</v>
      </c>
      <c r="M119" s="2251"/>
      <c r="N119" s="1046"/>
      <c r="O119" s="175"/>
    </row>
    <row r="120" spans="1:15" ht="15" customHeight="1" thickBot="1">
      <c r="A120" s="1052"/>
      <c r="B120" s="907"/>
      <c r="C120" s="1058" t="s">
        <v>547</v>
      </c>
      <c r="D120" s="1064">
        <v>0</v>
      </c>
      <c r="E120" s="1047" t="s">
        <v>468</v>
      </c>
      <c r="F120" s="2248"/>
      <c r="G120" s="2249"/>
      <c r="H120" s="2248"/>
      <c r="I120" s="2249"/>
      <c r="J120" s="141">
        <v>0</v>
      </c>
      <c r="K120" s="1036">
        <f t="shared" si="24"/>
        <v>0</v>
      </c>
      <c r="L120" s="137">
        <f t="shared" si="23"/>
        <v>0</v>
      </c>
      <c r="M120" s="2252"/>
      <c r="N120" s="1063"/>
      <c r="O120" s="175"/>
    </row>
    <row r="121" spans="1:15" ht="15" customHeight="1" thickBot="1">
      <c r="A121" s="2242"/>
      <c r="B121" s="2243"/>
      <c r="C121" s="138" t="s">
        <v>548</v>
      </c>
      <c r="D121" s="339"/>
      <c r="E121" s="132"/>
      <c r="F121" s="132"/>
      <c r="G121" s="132"/>
      <c r="H121" s="132"/>
      <c r="I121" s="132"/>
      <c r="J121" s="132"/>
      <c r="K121" s="132"/>
      <c r="L121" s="134">
        <f>SUM(L122:L128)</f>
        <v>0</v>
      </c>
      <c r="M121" s="134"/>
      <c r="N121" s="134"/>
      <c r="O121" s="175"/>
    </row>
    <row r="122" spans="1:15" ht="15" customHeight="1">
      <c r="A122" s="149"/>
      <c r="B122" s="923"/>
      <c r="C122" s="150" t="s">
        <v>549</v>
      </c>
      <c r="D122" s="144">
        <v>0</v>
      </c>
      <c r="E122" s="923" t="s">
        <v>445</v>
      </c>
      <c r="F122" s="2244"/>
      <c r="G122" s="2245"/>
      <c r="H122" s="2244"/>
      <c r="I122" s="2245"/>
      <c r="J122" s="151">
        <v>350</v>
      </c>
      <c r="K122" s="924">
        <f t="shared" ref="K122:K128" si="25">SUM(D122*J122)</f>
        <v>0</v>
      </c>
      <c r="L122" s="152">
        <f t="shared" si="23"/>
        <v>0</v>
      </c>
      <c r="M122" s="2250"/>
      <c r="N122" s="1046" t="s">
        <v>530</v>
      </c>
      <c r="O122" s="175"/>
    </row>
    <row r="123" spans="1:15" ht="15" customHeight="1">
      <c r="A123" s="1052"/>
      <c r="B123" s="907"/>
      <c r="C123" s="1033" t="s">
        <v>550</v>
      </c>
      <c r="D123" s="1065">
        <v>0</v>
      </c>
      <c r="E123" s="907" t="s">
        <v>445</v>
      </c>
      <c r="F123" s="2246"/>
      <c r="G123" s="2247"/>
      <c r="H123" s="2246"/>
      <c r="I123" s="2247"/>
      <c r="J123" s="1044">
        <v>400</v>
      </c>
      <c r="K123" s="908">
        <f t="shared" si="25"/>
        <v>0</v>
      </c>
      <c r="L123" s="1057">
        <f>SUM(G123+I123+K123)</f>
        <v>0</v>
      </c>
      <c r="M123" s="2251"/>
      <c r="N123" s="1046" t="s">
        <v>530</v>
      </c>
      <c r="O123" s="175"/>
    </row>
    <row r="124" spans="1:15" ht="15" customHeight="1">
      <c r="A124" s="1029"/>
      <c r="B124" s="1030"/>
      <c r="C124" s="1022" t="s">
        <v>551</v>
      </c>
      <c r="D124" s="1043">
        <f>K4</f>
        <v>99.857142857142861</v>
      </c>
      <c r="E124" s="1030" t="s">
        <v>445</v>
      </c>
      <c r="F124" s="2246"/>
      <c r="G124" s="2247"/>
      <c r="H124" s="2246"/>
      <c r="I124" s="2247"/>
      <c r="J124" s="1053">
        <v>0</v>
      </c>
      <c r="K124" s="1036">
        <f t="shared" si="25"/>
        <v>0</v>
      </c>
      <c r="L124" s="1037">
        <f>SUM(G124+I124+K124)</f>
        <v>0</v>
      </c>
      <c r="M124" s="2251"/>
      <c r="N124" s="1046" t="s">
        <v>530</v>
      </c>
      <c r="O124" s="175"/>
    </row>
    <row r="125" spans="1:15" ht="15" customHeight="1">
      <c r="A125" s="1052"/>
      <c r="B125" s="907"/>
      <c r="C125" s="1033" t="s">
        <v>552</v>
      </c>
      <c r="D125" s="1043">
        <f>K4</f>
        <v>99.857142857142861</v>
      </c>
      <c r="E125" s="907" t="s">
        <v>445</v>
      </c>
      <c r="F125" s="2246"/>
      <c r="G125" s="2247"/>
      <c r="H125" s="2246"/>
      <c r="I125" s="2247"/>
      <c r="J125" s="1044">
        <v>0</v>
      </c>
      <c r="K125" s="1036">
        <f t="shared" si="25"/>
        <v>0</v>
      </c>
      <c r="L125" s="1037">
        <f t="shared" si="23"/>
        <v>0</v>
      </c>
      <c r="M125" s="2251"/>
      <c r="N125" s="1046" t="s">
        <v>530</v>
      </c>
      <c r="O125" s="175"/>
    </row>
    <row r="126" spans="1:15" ht="15" customHeight="1">
      <c r="A126" s="1052"/>
      <c r="B126" s="907">
        <v>17300</v>
      </c>
      <c r="C126" s="1033" t="s">
        <v>553</v>
      </c>
      <c r="D126" s="1043">
        <f>K4</f>
        <v>99.857142857142861</v>
      </c>
      <c r="E126" s="907" t="s">
        <v>445</v>
      </c>
      <c r="F126" s="2246"/>
      <c r="G126" s="2247"/>
      <c r="H126" s="2246"/>
      <c r="I126" s="2247"/>
      <c r="J126" s="1044">
        <v>0</v>
      </c>
      <c r="K126" s="1036">
        <f t="shared" si="25"/>
        <v>0</v>
      </c>
      <c r="L126" s="1037">
        <f t="shared" si="23"/>
        <v>0</v>
      </c>
      <c r="M126" s="2251"/>
      <c r="N126" s="1046" t="s">
        <v>530</v>
      </c>
      <c r="O126" s="175"/>
    </row>
    <row r="127" spans="1:15" ht="15" customHeight="1">
      <c r="A127" s="1052"/>
      <c r="B127" s="907"/>
      <c r="C127" s="1033" t="s">
        <v>554</v>
      </c>
      <c r="D127" s="1066">
        <v>0</v>
      </c>
      <c r="E127" s="907" t="s">
        <v>511</v>
      </c>
      <c r="F127" s="2246"/>
      <c r="G127" s="2247"/>
      <c r="H127" s="2246"/>
      <c r="I127" s="2247"/>
      <c r="J127" s="1067">
        <v>0.5</v>
      </c>
      <c r="K127" s="908">
        <f t="shared" ref="K127" si="26">SUM(D127*J127)</f>
        <v>0</v>
      </c>
      <c r="L127" s="1057">
        <f>SUM(G127+I127+K127)</f>
        <v>0</v>
      </c>
      <c r="M127" s="2251"/>
      <c r="N127" s="1046" t="s">
        <v>530</v>
      </c>
      <c r="O127" s="175"/>
    </row>
    <row r="128" spans="1:15" ht="15" customHeight="1" thickBot="1">
      <c r="A128" s="678"/>
      <c r="B128" s="679"/>
      <c r="C128" s="680" t="s">
        <v>554</v>
      </c>
      <c r="D128" s="135">
        <v>0</v>
      </c>
      <c r="E128" s="679" t="s">
        <v>511</v>
      </c>
      <c r="F128" s="2248"/>
      <c r="G128" s="2249"/>
      <c r="H128" s="2248"/>
      <c r="I128" s="2249"/>
      <c r="J128" s="681">
        <v>0.5</v>
      </c>
      <c r="K128" s="131">
        <f t="shared" si="25"/>
        <v>0</v>
      </c>
      <c r="L128" s="137">
        <f>SUM(G128+I128+K128)</f>
        <v>0</v>
      </c>
      <c r="M128" s="2252"/>
      <c r="N128" s="1046" t="s">
        <v>530</v>
      </c>
      <c r="O128" s="175"/>
    </row>
    <row r="129" spans="1:15" ht="15" customHeight="1" thickBot="1">
      <c r="A129" s="2242"/>
      <c r="B129" s="2243"/>
      <c r="C129" s="138" t="s">
        <v>555</v>
      </c>
      <c r="D129" s="339"/>
      <c r="E129" s="132"/>
      <c r="F129" s="132"/>
      <c r="G129" s="132"/>
      <c r="H129" s="132"/>
      <c r="I129" s="132"/>
      <c r="J129" s="132"/>
      <c r="K129" s="132"/>
      <c r="L129" s="134">
        <f>SUM(L130:L137)</f>
        <v>53105</v>
      </c>
      <c r="M129" s="134"/>
      <c r="N129" s="134"/>
      <c r="O129" s="175"/>
    </row>
    <row r="130" spans="1:15" ht="15" customHeight="1">
      <c r="A130" s="1052"/>
      <c r="B130" s="907">
        <v>13200</v>
      </c>
      <c r="C130" s="1033" t="s">
        <v>556</v>
      </c>
      <c r="D130" s="1023">
        <v>1</v>
      </c>
      <c r="E130" s="907" t="s">
        <v>462</v>
      </c>
      <c r="F130" s="2246"/>
      <c r="G130" s="2247"/>
      <c r="H130" s="2246"/>
      <c r="I130" s="2247"/>
      <c r="J130" s="1025">
        <v>10000</v>
      </c>
      <c r="K130" s="1032">
        <f t="shared" ref="K130:K137" si="27">SUM(D130*J130)</f>
        <v>10000</v>
      </c>
      <c r="L130" s="1035">
        <f>SUM(G130+I130+K130)</f>
        <v>10000</v>
      </c>
      <c r="M130" s="2251"/>
      <c r="N130" s="1068" t="s">
        <v>557</v>
      </c>
      <c r="O130" s="175"/>
    </row>
    <row r="131" spans="1:15" ht="15" customHeight="1">
      <c r="A131" s="1052"/>
      <c r="B131" s="907">
        <v>13200</v>
      </c>
      <c r="C131" s="1033" t="s">
        <v>558</v>
      </c>
      <c r="D131" s="1023">
        <f>L4</f>
        <v>23.3</v>
      </c>
      <c r="E131" s="907" t="s">
        <v>471</v>
      </c>
      <c r="F131" s="2246"/>
      <c r="G131" s="2247"/>
      <c r="H131" s="2246"/>
      <c r="I131" s="2247"/>
      <c r="J131" s="1025">
        <v>1650</v>
      </c>
      <c r="K131" s="1069">
        <f t="shared" si="27"/>
        <v>38445</v>
      </c>
      <c r="L131" s="1035">
        <f>SUM(G131+I131+K131)</f>
        <v>38445</v>
      </c>
      <c r="M131" s="2251"/>
      <c r="N131" s="1068" t="s">
        <v>559</v>
      </c>
      <c r="O131" s="175"/>
    </row>
    <row r="132" spans="1:15" ht="15" customHeight="1">
      <c r="A132" s="1052"/>
      <c r="B132" s="907">
        <v>13200</v>
      </c>
      <c r="C132" s="1033" t="s">
        <v>560</v>
      </c>
      <c r="D132" s="1023">
        <f>L7</f>
        <v>0</v>
      </c>
      <c r="E132" s="907" t="s">
        <v>471</v>
      </c>
      <c r="F132" s="2246"/>
      <c r="G132" s="2247"/>
      <c r="H132" s="2246"/>
      <c r="I132" s="2247"/>
      <c r="J132" s="1025">
        <v>300</v>
      </c>
      <c r="K132" s="1032">
        <f t="shared" si="27"/>
        <v>0</v>
      </c>
      <c r="L132" s="1035">
        <f>SUM(G132+I132+K132)</f>
        <v>0</v>
      </c>
      <c r="M132" s="2251"/>
      <c r="N132" s="1068" t="s">
        <v>561</v>
      </c>
      <c r="O132" s="175"/>
    </row>
    <row r="133" spans="1:15" ht="15" customHeight="1">
      <c r="A133" s="1052"/>
      <c r="B133" s="907">
        <v>13233</v>
      </c>
      <c r="C133" s="1033" t="s">
        <v>562</v>
      </c>
      <c r="D133" s="1043">
        <f>L4</f>
        <v>23.3</v>
      </c>
      <c r="E133" s="907" t="s">
        <v>471</v>
      </c>
      <c r="F133" s="2246"/>
      <c r="G133" s="2247"/>
      <c r="H133" s="2246"/>
      <c r="I133" s="2247"/>
      <c r="J133" s="1044">
        <v>100</v>
      </c>
      <c r="K133" s="1036">
        <f t="shared" si="27"/>
        <v>2330</v>
      </c>
      <c r="L133" s="1037">
        <f t="shared" si="23"/>
        <v>2330</v>
      </c>
      <c r="M133" s="2251"/>
      <c r="N133" s="1055"/>
      <c r="O133" s="175"/>
    </row>
    <row r="134" spans="1:15" ht="15" customHeight="1">
      <c r="A134" s="1052"/>
      <c r="B134" s="907">
        <v>13233</v>
      </c>
      <c r="C134" s="1033" t="s">
        <v>563</v>
      </c>
      <c r="D134" s="1043">
        <f>L4</f>
        <v>23.3</v>
      </c>
      <c r="E134" s="907" t="s">
        <v>471</v>
      </c>
      <c r="F134" s="2246"/>
      <c r="G134" s="2247"/>
      <c r="H134" s="2246"/>
      <c r="I134" s="2247"/>
      <c r="J134" s="1044">
        <v>100</v>
      </c>
      <c r="K134" s="1036">
        <f t="shared" si="27"/>
        <v>2330</v>
      </c>
      <c r="L134" s="1057">
        <f t="shared" si="23"/>
        <v>2330</v>
      </c>
      <c r="M134" s="2251"/>
      <c r="N134" s="1055"/>
      <c r="O134" s="175"/>
    </row>
    <row r="135" spans="1:15" ht="15" customHeight="1">
      <c r="A135" s="1052"/>
      <c r="B135" s="907"/>
      <c r="C135" s="1033" t="s">
        <v>564</v>
      </c>
      <c r="D135" s="1065">
        <v>0</v>
      </c>
      <c r="E135" s="907" t="s">
        <v>462</v>
      </c>
      <c r="F135" s="2246"/>
      <c r="G135" s="2247"/>
      <c r="H135" s="2246"/>
      <c r="I135" s="2247"/>
      <c r="J135" s="1053">
        <v>2500</v>
      </c>
      <c r="K135" s="1036">
        <f t="shared" si="27"/>
        <v>0</v>
      </c>
      <c r="L135" s="1037">
        <f t="shared" si="23"/>
        <v>0</v>
      </c>
      <c r="M135" s="2251"/>
      <c r="N135" s="410"/>
      <c r="O135" s="175"/>
    </row>
    <row r="136" spans="1:15" ht="15" customHeight="1">
      <c r="A136" s="1052"/>
      <c r="B136" s="907">
        <v>13233</v>
      </c>
      <c r="C136" s="1022" t="s">
        <v>565</v>
      </c>
      <c r="D136" s="1043">
        <v>0</v>
      </c>
      <c r="E136" s="1030" t="s">
        <v>462</v>
      </c>
      <c r="F136" s="2246"/>
      <c r="G136" s="2247"/>
      <c r="H136" s="2246"/>
      <c r="I136" s="2247"/>
      <c r="J136" s="1044">
        <v>500</v>
      </c>
      <c r="K136" s="1036">
        <f t="shared" si="27"/>
        <v>0</v>
      </c>
      <c r="L136" s="1057">
        <f t="shared" si="23"/>
        <v>0</v>
      </c>
      <c r="M136" s="2251"/>
      <c r="N136" s="410"/>
      <c r="O136" s="175"/>
    </row>
    <row r="137" spans="1:15" ht="15" customHeight="1" thickBot="1">
      <c r="A137" s="1052"/>
      <c r="B137" s="907"/>
      <c r="C137" s="409" t="s">
        <v>566</v>
      </c>
      <c r="D137" s="144">
        <v>0</v>
      </c>
      <c r="E137" s="121" t="s">
        <v>462</v>
      </c>
      <c r="F137" s="2248"/>
      <c r="G137" s="2249"/>
      <c r="H137" s="2248"/>
      <c r="I137" s="2249"/>
      <c r="J137" s="145">
        <v>0</v>
      </c>
      <c r="K137" s="1036">
        <f t="shared" si="27"/>
        <v>0</v>
      </c>
      <c r="L137" s="147">
        <f t="shared" si="23"/>
        <v>0</v>
      </c>
      <c r="M137" s="2252"/>
      <c r="N137" s="410"/>
      <c r="O137" s="175"/>
    </row>
    <row r="138" spans="1:15" ht="15" customHeight="1" thickBot="1">
      <c r="A138" s="2242"/>
      <c r="B138" s="2243"/>
      <c r="C138" s="138" t="s">
        <v>567</v>
      </c>
      <c r="D138" s="339"/>
      <c r="E138" s="132"/>
      <c r="F138" s="132"/>
      <c r="G138" s="132"/>
      <c r="H138" s="132"/>
      <c r="I138" s="132"/>
      <c r="J138" s="132"/>
      <c r="K138" s="132"/>
      <c r="L138" s="134">
        <f>SUM(L139:L143)</f>
        <v>10995</v>
      </c>
      <c r="M138" s="134"/>
      <c r="N138" s="134"/>
      <c r="O138" s="175"/>
    </row>
    <row r="139" spans="1:15" ht="15" customHeight="1">
      <c r="A139" s="1052"/>
      <c r="B139" s="907"/>
      <c r="C139" s="1022" t="s">
        <v>568</v>
      </c>
      <c r="D139" s="1043">
        <v>0</v>
      </c>
      <c r="E139" s="1030" t="s">
        <v>462</v>
      </c>
      <c r="F139" s="2244"/>
      <c r="G139" s="2245"/>
      <c r="H139" s="2244"/>
      <c r="I139" s="2245"/>
      <c r="J139" s="1044">
        <v>1000</v>
      </c>
      <c r="K139" s="1036">
        <f>SUM(D139*J139)</f>
        <v>0</v>
      </c>
      <c r="L139" s="1037">
        <f t="shared" si="23"/>
        <v>0</v>
      </c>
      <c r="M139" s="2250"/>
      <c r="N139" s="1042"/>
      <c r="O139" s="175"/>
    </row>
    <row r="140" spans="1:15" ht="15" customHeight="1">
      <c r="A140" s="1052"/>
      <c r="B140" s="907">
        <v>10550</v>
      </c>
      <c r="C140" s="1033" t="s">
        <v>569</v>
      </c>
      <c r="D140" s="1043">
        <v>0</v>
      </c>
      <c r="E140" s="907" t="s">
        <v>462</v>
      </c>
      <c r="F140" s="2246"/>
      <c r="G140" s="2247"/>
      <c r="H140" s="2253"/>
      <c r="I140" s="2254"/>
      <c r="J140" s="1044">
        <v>500</v>
      </c>
      <c r="K140" s="1036">
        <f>SUM(D140*J140)</f>
        <v>0</v>
      </c>
      <c r="L140" s="1037">
        <f t="shared" si="23"/>
        <v>0</v>
      </c>
      <c r="M140" s="2251"/>
      <c r="N140" s="1046"/>
      <c r="O140" s="175"/>
    </row>
    <row r="141" spans="1:15" ht="15" customHeight="1">
      <c r="A141" s="1052"/>
      <c r="B141" s="907"/>
      <c r="C141" s="1033" t="s">
        <v>570</v>
      </c>
      <c r="D141" s="1043">
        <v>1</v>
      </c>
      <c r="E141" s="907" t="s">
        <v>462</v>
      </c>
      <c r="F141" s="2246"/>
      <c r="G141" s="2247"/>
      <c r="H141" s="1044">
        <v>7500</v>
      </c>
      <c r="I141" s="1036">
        <f>SUM(D141*H141)</f>
        <v>7500</v>
      </c>
      <c r="J141" s="2255"/>
      <c r="K141" s="2256"/>
      <c r="L141" s="1037">
        <f t="shared" si="23"/>
        <v>7500</v>
      </c>
      <c r="M141" s="2251"/>
      <c r="N141" s="1046"/>
      <c r="O141" s="175"/>
    </row>
    <row r="142" spans="1:15" ht="15" customHeight="1">
      <c r="A142" s="1052"/>
      <c r="B142" s="907"/>
      <c r="C142" s="1033" t="s">
        <v>571</v>
      </c>
      <c r="D142" s="1043">
        <f>$L$4</f>
        <v>23.3</v>
      </c>
      <c r="E142" s="907" t="s">
        <v>471</v>
      </c>
      <c r="F142" s="2246"/>
      <c r="G142" s="2247"/>
      <c r="H142" s="1044">
        <v>75</v>
      </c>
      <c r="I142" s="1036">
        <f>SUM(D142*H142)</f>
        <v>1747.5</v>
      </c>
      <c r="J142" s="2246"/>
      <c r="K142" s="2247"/>
      <c r="L142" s="1057">
        <f t="shared" si="23"/>
        <v>1747.5</v>
      </c>
      <c r="M142" s="2251"/>
      <c r="N142" s="1046"/>
      <c r="O142" s="175"/>
    </row>
    <row r="143" spans="1:15" ht="15" customHeight="1" thickBot="1">
      <c r="A143" s="1052"/>
      <c r="B143" s="907"/>
      <c r="C143" s="409" t="s">
        <v>572</v>
      </c>
      <c r="D143" s="1043">
        <f>$L$4</f>
        <v>23.3</v>
      </c>
      <c r="E143" s="121" t="s">
        <v>471</v>
      </c>
      <c r="F143" s="2248"/>
      <c r="G143" s="2249"/>
      <c r="H143" s="145">
        <v>75</v>
      </c>
      <c r="I143" s="1036">
        <f>SUM(D143*H143)</f>
        <v>1747.5</v>
      </c>
      <c r="J143" s="2248"/>
      <c r="K143" s="2249"/>
      <c r="L143" s="147">
        <f t="shared" si="23"/>
        <v>1747.5</v>
      </c>
      <c r="M143" s="2252"/>
      <c r="N143" s="411"/>
      <c r="O143" s="175"/>
    </row>
    <row r="144" spans="1:15" ht="15" customHeight="1" thickBot="1">
      <c r="A144" s="2242"/>
      <c r="B144" s="2243"/>
      <c r="C144" s="138" t="s">
        <v>573</v>
      </c>
      <c r="D144" s="339"/>
      <c r="E144" s="132"/>
      <c r="F144" s="132"/>
      <c r="G144" s="132"/>
      <c r="H144" s="132"/>
      <c r="I144" s="132"/>
      <c r="J144" s="132"/>
      <c r="K144" s="132"/>
      <c r="L144" s="134">
        <f>SUM(L145:L147)</f>
        <v>0</v>
      </c>
      <c r="M144" s="134"/>
      <c r="N144" s="134"/>
      <c r="O144" s="175"/>
    </row>
    <row r="145" spans="1:15" ht="15" customHeight="1">
      <c r="A145" s="1052"/>
      <c r="B145" s="907"/>
      <c r="C145" s="1033" t="s">
        <v>574</v>
      </c>
      <c r="D145" s="1056">
        <v>0</v>
      </c>
      <c r="E145" s="907" t="s">
        <v>462</v>
      </c>
      <c r="F145" s="2246"/>
      <c r="G145" s="2247"/>
      <c r="H145" s="2246"/>
      <c r="I145" s="2247"/>
      <c r="J145" s="1044">
        <v>0</v>
      </c>
      <c r="K145" s="1036">
        <f>SUM(D145*J145)</f>
        <v>0</v>
      </c>
      <c r="L145" s="1037">
        <f t="shared" si="23"/>
        <v>0</v>
      </c>
      <c r="M145" s="2250"/>
      <c r="N145" s="1055" t="s">
        <v>575</v>
      </c>
      <c r="O145" s="175"/>
    </row>
    <row r="146" spans="1:15" ht="15" customHeight="1">
      <c r="A146" s="1052"/>
      <c r="B146" s="907"/>
      <c r="C146" s="1033" t="s">
        <v>576</v>
      </c>
      <c r="D146" s="1066">
        <v>0</v>
      </c>
      <c r="E146" s="907" t="s">
        <v>468</v>
      </c>
      <c r="F146" s="2246"/>
      <c r="G146" s="2247"/>
      <c r="H146" s="2246"/>
      <c r="I146" s="2247"/>
      <c r="J146" s="1044">
        <v>0</v>
      </c>
      <c r="K146" s="1036">
        <f>SUM(D146*J146)</f>
        <v>0</v>
      </c>
      <c r="L146" s="1057">
        <f t="shared" si="23"/>
        <v>0</v>
      </c>
      <c r="M146" s="2251"/>
      <c r="N146" s="1055" t="s">
        <v>575</v>
      </c>
      <c r="O146" s="175"/>
    </row>
    <row r="147" spans="1:15" ht="15" customHeight="1" thickBot="1">
      <c r="A147" s="1052"/>
      <c r="B147" s="907"/>
      <c r="C147" s="409" t="s">
        <v>577</v>
      </c>
      <c r="D147" s="153">
        <v>0</v>
      </c>
      <c r="E147" s="154" t="s">
        <v>462</v>
      </c>
      <c r="F147" s="2248"/>
      <c r="G147" s="2249"/>
      <c r="H147" s="2248"/>
      <c r="I147" s="2249"/>
      <c r="J147" s="145">
        <v>0</v>
      </c>
      <c r="K147" s="1036">
        <f>SUM(D147*J147)</f>
        <v>0</v>
      </c>
      <c r="L147" s="147">
        <f t="shared" si="23"/>
        <v>0</v>
      </c>
      <c r="M147" s="2252"/>
      <c r="N147" s="1055" t="s">
        <v>575</v>
      </c>
      <c r="O147" s="175"/>
    </row>
    <row r="148" spans="1:15" ht="15" customHeight="1" thickBot="1">
      <c r="A148" s="2242"/>
      <c r="B148" s="2243"/>
      <c r="C148" s="138" t="s">
        <v>578</v>
      </c>
      <c r="D148" s="339"/>
      <c r="E148" s="132"/>
      <c r="F148" s="132"/>
      <c r="G148" s="132"/>
      <c r="H148" s="132"/>
      <c r="I148" s="132"/>
      <c r="J148" s="132"/>
      <c r="K148" s="132"/>
      <c r="L148" s="134">
        <f>SUM(L149:L152)</f>
        <v>0</v>
      </c>
      <c r="M148" s="134"/>
      <c r="N148" s="134"/>
      <c r="O148" s="175"/>
    </row>
    <row r="149" spans="1:15" ht="15" customHeight="1">
      <c r="A149" s="116"/>
      <c r="B149" s="117"/>
      <c r="C149" s="125" t="s">
        <v>579</v>
      </c>
      <c r="D149" s="155">
        <v>0</v>
      </c>
      <c r="E149" s="117" t="s">
        <v>462</v>
      </c>
      <c r="F149" s="2244"/>
      <c r="G149" s="2245"/>
      <c r="H149" s="2244"/>
      <c r="I149" s="2245"/>
      <c r="J149" s="127">
        <v>0</v>
      </c>
      <c r="K149" s="128">
        <f>SUM(D149*J149)</f>
        <v>0</v>
      </c>
      <c r="L149" s="129">
        <f t="shared" si="23"/>
        <v>0</v>
      </c>
      <c r="M149" s="2250"/>
      <c r="N149" s="156" t="s">
        <v>575</v>
      </c>
      <c r="O149" s="175"/>
    </row>
    <row r="150" spans="1:15" ht="15" customHeight="1">
      <c r="A150" s="1052"/>
      <c r="B150" s="907"/>
      <c r="C150" s="1033" t="s">
        <v>580</v>
      </c>
      <c r="D150" s="1056">
        <v>0</v>
      </c>
      <c r="E150" s="907" t="s">
        <v>462</v>
      </c>
      <c r="F150" s="2246"/>
      <c r="G150" s="2247"/>
      <c r="H150" s="2246"/>
      <c r="I150" s="2247"/>
      <c r="J150" s="1044">
        <v>0</v>
      </c>
      <c r="K150" s="1036">
        <f>SUM(D150*J150)</f>
        <v>0</v>
      </c>
      <c r="L150" s="1037">
        <f t="shared" si="23"/>
        <v>0</v>
      </c>
      <c r="M150" s="2251"/>
      <c r="N150" s="1055" t="s">
        <v>575</v>
      </c>
      <c r="O150" s="175"/>
    </row>
    <row r="151" spans="1:15" ht="15" customHeight="1">
      <c r="A151" s="1052"/>
      <c r="B151" s="907"/>
      <c r="C151" s="1033" t="s">
        <v>581</v>
      </c>
      <c r="D151" s="1056">
        <v>0</v>
      </c>
      <c r="E151" s="907" t="s">
        <v>468</v>
      </c>
      <c r="F151" s="2246"/>
      <c r="G151" s="2247"/>
      <c r="H151" s="2246"/>
      <c r="I151" s="2247"/>
      <c r="J151" s="412">
        <v>0</v>
      </c>
      <c r="K151" s="1036">
        <f>SUM(D151*J151)</f>
        <v>0</v>
      </c>
      <c r="L151" s="1057">
        <f t="shared" si="23"/>
        <v>0</v>
      </c>
      <c r="M151" s="2251"/>
      <c r="N151" s="1055" t="s">
        <v>575</v>
      </c>
      <c r="O151" s="175"/>
    </row>
    <row r="152" spans="1:15" ht="15" customHeight="1" thickBot="1">
      <c r="A152" s="1059"/>
      <c r="B152" s="1047"/>
      <c r="C152" s="1058" t="s">
        <v>582</v>
      </c>
      <c r="D152" s="135">
        <v>0</v>
      </c>
      <c r="E152" s="1047" t="s">
        <v>462</v>
      </c>
      <c r="F152" s="2248"/>
      <c r="G152" s="2249"/>
      <c r="H152" s="2248"/>
      <c r="I152" s="2249"/>
      <c r="J152" s="1049">
        <v>0</v>
      </c>
      <c r="K152" s="131">
        <f>SUM(D152*J152)</f>
        <v>0</v>
      </c>
      <c r="L152" s="137">
        <f t="shared" si="23"/>
        <v>0</v>
      </c>
      <c r="M152" s="2252"/>
      <c r="N152" s="1070" t="s">
        <v>575</v>
      </c>
      <c r="O152" s="175"/>
    </row>
    <row r="153" spans="1:15" ht="15" customHeight="1" thickBot="1">
      <c r="A153" s="2242"/>
      <c r="B153" s="2243"/>
      <c r="C153" s="138" t="s">
        <v>583</v>
      </c>
      <c r="D153" s="339"/>
      <c r="E153" s="132"/>
      <c r="F153" s="132"/>
      <c r="G153" s="132"/>
      <c r="H153" s="132"/>
      <c r="I153" s="132"/>
      <c r="J153" s="132"/>
      <c r="K153" s="132"/>
      <c r="L153" s="134">
        <f>SUM(L154:L157)</f>
        <v>0</v>
      </c>
      <c r="M153" s="134"/>
      <c r="N153" s="134"/>
      <c r="O153" s="175"/>
    </row>
    <row r="154" spans="1:15" ht="15" customHeight="1">
      <c r="A154" s="116"/>
      <c r="B154" s="117"/>
      <c r="C154" s="125" t="s">
        <v>584</v>
      </c>
      <c r="D154" s="155">
        <v>0</v>
      </c>
      <c r="E154" s="117" t="s">
        <v>471</v>
      </c>
      <c r="F154" s="2244"/>
      <c r="G154" s="2245"/>
      <c r="H154" s="2244"/>
      <c r="I154" s="2245"/>
      <c r="J154" s="127">
        <v>0</v>
      </c>
      <c r="K154" s="128">
        <f>SUM(D154*J154)</f>
        <v>0</v>
      </c>
      <c r="L154" s="129">
        <f>SUM(G154+I154+K154)</f>
        <v>0</v>
      </c>
      <c r="M154" s="2250"/>
      <c r="N154" s="156"/>
      <c r="O154" s="175"/>
    </row>
    <row r="155" spans="1:15" ht="15" customHeight="1">
      <c r="A155" s="1052"/>
      <c r="B155" s="907"/>
      <c r="C155" s="1033" t="s">
        <v>585</v>
      </c>
      <c r="D155" s="1056">
        <v>0</v>
      </c>
      <c r="E155" s="907" t="s">
        <v>471</v>
      </c>
      <c r="F155" s="2246"/>
      <c r="G155" s="2247"/>
      <c r="H155" s="2246"/>
      <c r="I155" s="2247"/>
      <c r="J155" s="1044">
        <v>0</v>
      </c>
      <c r="K155" s="1036">
        <f>SUM(D155*J155)</f>
        <v>0</v>
      </c>
      <c r="L155" s="1037">
        <f>SUM(G155+I155+K155)</f>
        <v>0</v>
      </c>
      <c r="M155" s="2251"/>
      <c r="N155" s="1055"/>
      <c r="O155" s="175"/>
    </row>
    <row r="156" spans="1:15" ht="15" customHeight="1">
      <c r="A156" s="1052"/>
      <c r="B156" s="907"/>
      <c r="C156" s="1033" t="s">
        <v>586</v>
      </c>
      <c r="D156" s="1056">
        <v>0</v>
      </c>
      <c r="E156" s="907" t="s">
        <v>471</v>
      </c>
      <c r="F156" s="2246"/>
      <c r="G156" s="2247"/>
      <c r="H156" s="2246"/>
      <c r="I156" s="2247"/>
      <c r="J156" s="412">
        <v>2600</v>
      </c>
      <c r="K156" s="1036">
        <f>SUM(D156*J156)</f>
        <v>0</v>
      </c>
      <c r="L156" s="1057">
        <f>SUM(G156+I156+K156)</f>
        <v>0</v>
      </c>
      <c r="M156" s="2251"/>
      <c r="N156" s="1055"/>
      <c r="O156" s="175"/>
    </row>
    <row r="157" spans="1:15" ht="15" customHeight="1" thickBot="1">
      <c r="A157" s="1059"/>
      <c r="B157" s="1047"/>
      <c r="C157" s="1058" t="s">
        <v>587</v>
      </c>
      <c r="D157" s="135">
        <v>0</v>
      </c>
      <c r="E157" s="907" t="s">
        <v>471</v>
      </c>
      <c r="F157" s="2248"/>
      <c r="G157" s="2249"/>
      <c r="H157" s="2248"/>
      <c r="I157" s="2249"/>
      <c r="J157" s="1049">
        <v>0</v>
      </c>
      <c r="K157" s="131">
        <f>SUM(D157*J157)</f>
        <v>0</v>
      </c>
      <c r="L157" s="137">
        <f>SUM(G157+I157+K157)</f>
        <v>0</v>
      </c>
      <c r="M157" s="2252"/>
      <c r="N157" s="1070"/>
      <c r="O157" s="175"/>
    </row>
    <row r="158" spans="1:15" ht="15" customHeight="1" thickBot="1">
      <c r="A158" s="2242"/>
      <c r="B158" s="2243"/>
      <c r="C158" s="138" t="s">
        <v>587</v>
      </c>
      <c r="D158" s="339"/>
      <c r="E158" s="132"/>
      <c r="F158" s="132"/>
      <c r="G158" s="132"/>
      <c r="H158" s="132"/>
      <c r="I158" s="132"/>
      <c r="J158" s="132"/>
      <c r="K158" s="132"/>
      <c r="L158" s="134">
        <f>SUM(L159:L161)</f>
        <v>5000</v>
      </c>
      <c r="M158" s="134"/>
      <c r="N158" s="134"/>
      <c r="O158" s="175"/>
    </row>
    <row r="159" spans="1:15" ht="15" customHeight="1">
      <c r="A159" s="1052"/>
      <c r="B159" s="907"/>
      <c r="C159" s="1022" t="s">
        <v>588</v>
      </c>
      <c r="D159" s="1043">
        <v>2</v>
      </c>
      <c r="E159" s="1030" t="s">
        <v>468</v>
      </c>
      <c r="F159" s="2244"/>
      <c r="G159" s="2245"/>
      <c r="H159" s="2244"/>
      <c r="I159" s="2245"/>
      <c r="J159" s="1053">
        <v>2500</v>
      </c>
      <c r="K159" s="1036">
        <f>SUM(D159*J159)</f>
        <v>5000</v>
      </c>
      <c r="L159" s="1037">
        <f t="shared" si="23"/>
        <v>5000</v>
      </c>
      <c r="M159" s="2250"/>
      <c r="N159" s="1060"/>
      <c r="O159" s="175"/>
    </row>
    <row r="160" spans="1:15" ht="15" customHeight="1">
      <c r="A160" s="1052"/>
      <c r="B160" s="907"/>
      <c r="C160" s="1033" t="s">
        <v>589</v>
      </c>
      <c r="D160" s="1043">
        <v>0</v>
      </c>
      <c r="E160" s="907" t="s">
        <v>462</v>
      </c>
      <c r="F160" s="2246"/>
      <c r="G160" s="2247"/>
      <c r="H160" s="2246"/>
      <c r="I160" s="2247"/>
      <c r="J160" s="1044">
        <v>0</v>
      </c>
      <c r="K160" s="1036">
        <f>SUM(D160*J160)</f>
        <v>0</v>
      </c>
      <c r="L160" s="1037">
        <f t="shared" si="23"/>
        <v>0</v>
      </c>
      <c r="M160" s="2251"/>
      <c r="N160" s="1055"/>
      <c r="O160" s="175"/>
    </row>
    <row r="161" spans="1:112" ht="15" customHeight="1" thickBot="1">
      <c r="A161" s="1052"/>
      <c r="B161" s="907"/>
      <c r="C161" s="1058" t="s">
        <v>590</v>
      </c>
      <c r="D161" s="1043">
        <v>0</v>
      </c>
      <c r="E161" s="907" t="s">
        <v>468</v>
      </c>
      <c r="F161" s="2246"/>
      <c r="G161" s="2247"/>
      <c r="H161" s="2246"/>
      <c r="I161" s="2247"/>
      <c r="J161" s="1044">
        <v>0</v>
      </c>
      <c r="K161" s="146">
        <f>SUM(D161*J161)</f>
        <v>0</v>
      </c>
      <c r="L161" s="147">
        <f t="shared" si="23"/>
        <v>0</v>
      </c>
      <c r="M161" s="2251"/>
      <c r="N161" s="1055"/>
      <c r="O161" s="175"/>
    </row>
    <row r="162" spans="1:112" s="109" customFormat="1" ht="15" customHeight="1" thickBot="1">
      <c r="A162" s="2234"/>
      <c r="B162" s="2235"/>
      <c r="C162" s="157" t="s">
        <v>50</v>
      </c>
      <c r="D162" s="158"/>
      <c r="E162" s="159"/>
      <c r="F162" s="160"/>
      <c r="G162" s="161">
        <f>SUM(G10:G161)</f>
        <v>3961757.0773538672</v>
      </c>
      <c r="H162" s="160"/>
      <c r="I162" s="161">
        <f>SUM(I10:I161)</f>
        <v>182510</v>
      </c>
      <c r="J162" s="160"/>
      <c r="K162" s="161">
        <f>SUM(K10:K161)</f>
        <v>294584.3</v>
      </c>
      <c r="L162" s="161">
        <f>SUM(L9:L161)/2</f>
        <v>4438851.3773538666</v>
      </c>
      <c r="M162" s="162"/>
      <c r="N162" s="162"/>
      <c r="O162" s="175"/>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row>
    <row r="163" spans="1:112" s="109" customFormat="1" ht="15.75" thickBot="1">
      <c r="A163" s="103"/>
      <c r="B163" s="103"/>
      <c r="C163" s="22"/>
      <c r="D163" s="163"/>
      <c r="E163" s="106"/>
      <c r="F163" s="164"/>
      <c r="G163" s="164"/>
      <c r="H163" s="164"/>
      <c r="I163" s="164"/>
      <c r="J163" s="164"/>
      <c r="K163" s="164"/>
      <c r="L163" s="164"/>
      <c r="M163" s="164"/>
      <c r="N163" s="59"/>
      <c r="O163" s="59"/>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row>
    <row r="164" spans="1:112" s="109" customFormat="1" ht="15.75" customHeight="1" thickBot="1">
      <c r="A164" s="103"/>
      <c r="B164" s="103"/>
      <c r="C164" s="22"/>
      <c r="D164" s="163"/>
      <c r="E164" s="106"/>
      <c r="F164" s="164"/>
      <c r="G164" s="164"/>
      <c r="H164" s="164"/>
      <c r="I164" s="164"/>
      <c r="J164" s="2236" t="s">
        <v>591</v>
      </c>
      <c r="K164" s="2237"/>
      <c r="L164" s="165">
        <f>G162</f>
        <v>3961757.0773538672</v>
      </c>
      <c r="M164" s="59">
        <f>L164/L4</f>
        <v>170032.49259029471</v>
      </c>
    </row>
    <row r="165" spans="1:112" s="109" customFormat="1" ht="15.75" customHeight="1" thickBot="1">
      <c r="A165" s="103"/>
      <c r="B165" s="103"/>
      <c r="D165" s="163"/>
      <c r="E165" s="106"/>
      <c r="F165" s="164"/>
      <c r="G165" s="164"/>
      <c r="H165" s="164"/>
      <c r="I165" s="164"/>
      <c r="J165" s="2238" t="s">
        <v>592</v>
      </c>
      <c r="K165" s="2239"/>
      <c r="L165" s="166">
        <f>I162+K162</f>
        <v>477094.3</v>
      </c>
      <c r="M165" s="59">
        <f>L165/L4</f>
        <v>20476.150214592275</v>
      </c>
    </row>
    <row r="166" spans="1:112" s="109" customFormat="1" ht="15" customHeight="1" thickBot="1">
      <c r="A166" s="103"/>
      <c r="B166" s="103"/>
      <c r="D166" s="163"/>
      <c r="E166" s="106"/>
      <c r="F166" s="164"/>
      <c r="G166" s="164"/>
      <c r="H166" s="164"/>
      <c r="I166" s="164"/>
      <c r="J166" s="2240" t="s">
        <v>593</v>
      </c>
      <c r="K166" s="2241"/>
      <c r="L166" s="167">
        <f>SUM(L164:L165)</f>
        <v>4438851.3773538675</v>
      </c>
      <c r="M166" s="59">
        <f>L166/L4</f>
        <v>190508.642804887</v>
      </c>
      <c r="N166" t="s">
        <v>594</v>
      </c>
      <c r="O166"/>
    </row>
    <row r="167" spans="1:112" s="109" customFormat="1">
      <c r="A167" s="103"/>
      <c r="B167" s="103"/>
      <c r="D167" s="163"/>
      <c r="E167" s="106"/>
      <c r="F167" s="164"/>
      <c r="G167" s="164"/>
      <c r="H167" s="164"/>
      <c r="I167" s="164"/>
      <c r="J167" s="164"/>
      <c r="K167" s="164"/>
      <c r="L167" s="164">
        <f>L162-L166</f>
        <v>0</v>
      </c>
      <c r="M167" s="59"/>
      <c r="N167" s="59"/>
      <c r="O167" s="59"/>
    </row>
    <row r="168" spans="1:112" s="109" customFormat="1">
      <c r="A168" s="103"/>
      <c r="B168" s="103"/>
      <c r="D168" s="163"/>
      <c r="E168" s="106"/>
      <c r="F168" s="164"/>
      <c r="G168" s="164"/>
      <c r="H168" s="164"/>
      <c r="I168" s="164"/>
      <c r="J168" s="164"/>
      <c r="K168" s="164"/>
      <c r="L168" s="164"/>
      <c r="M168" s="164"/>
      <c r="N168" s="59"/>
      <c r="O168" s="59"/>
    </row>
    <row r="169" spans="1:112" s="109" customFormat="1">
      <c r="A169" s="103"/>
      <c r="B169" s="103"/>
      <c r="D169" s="163"/>
      <c r="E169" s="106"/>
      <c r="F169" s="164"/>
      <c r="G169" s="164"/>
      <c r="H169" s="164"/>
      <c r="I169" s="164"/>
      <c r="J169" s="164"/>
      <c r="K169" s="164"/>
      <c r="L169" s="164"/>
      <c r="M169" s="164"/>
      <c r="N169" s="59"/>
      <c r="O169" s="59"/>
    </row>
    <row r="170" spans="1:112" s="109" customFormat="1">
      <c r="A170" s="103"/>
      <c r="B170" s="103"/>
      <c r="D170" s="163"/>
      <c r="E170" s="106"/>
      <c r="F170" s="164"/>
      <c r="G170" s="164"/>
      <c r="H170" s="164"/>
      <c r="I170" s="164"/>
      <c r="J170" s="164"/>
      <c r="K170" s="164"/>
      <c r="L170" s="164"/>
      <c r="M170" s="164"/>
      <c r="N170" s="59"/>
      <c r="O170" s="59"/>
    </row>
    <row r="171" spans="1:112" s="109" customFormat="1">
      <c r="A171" s="103"/>
      <c r="B171" s="103"/>
      <c r="D171" s="163"/>
      <c r="E171" s="106"/>
      <c r="F171" s="164"/>
      <c r="G171" s="164"/>
      <c r="H171" s="164"/>
      <c r="I171" s="164"/>
      <c r="J171" s="164"/>
      <c r="K171" s="164"/>
      <c r="L171" s="164"/>
      <c r="M171" s="164"/>
      <c r="N171" s="59"/>
      <c r="O171" s="59"/>
    </row>
    <row r="172" spans="1:112" s="109" customFormat="1">
      <c r="A172" s="103"/>
      <c r="B172" s="103"/>
      <c r="D172" s="163"/>
      <c r="E172" s="106"/>
      <c r="F172" s="164"/>
      <c r="G172" s="164"/>
      <c r="H172" s="164"/>
      <c r="I172" s="164"/>
      <c r="J172" s="164"/>
      <c r="K172" s="164"/>
      <c r="L172" s="164"/>
      <c r="M172" s="164"/>
      <c r="N172" s="59"/>
      <c r="O172" s="59"/>
    </row>
    <row r="173" spans="1:112" s="109" customFormat="1">
      <c r="A173" s="103"/>
      <c r="B173" s="103"/>
      <c r="D173" s="163"/>
      <c r="E173" s="106"/>
      <c r="F173" s="164"/>
      <c r="G173" s="164"/>
      <c r="H173" s="164"/>
      <c r="I173" s="164"/>
      <c r="J173" s="164"/>
      <c r="K173" s="164"/>
      <c r="L173" s="164"/>
      <c r="M173" s="164"/>
      <c r="N173" s="59"/>
      <c r="O173" s="59"/>
    </row>
    <row r="174" spans="1:112" s="109" customFormat="1">
      <c r="A174" s="103"/>
      <c r="B174" s="103"/>
      <c r="D174" s="163"/>
      <c r="E174" s="106"/>
      <c r="F174" s="164"/>
      <c r="G174" s="164"/>
      <c r="H174" s="164"/>
      <c r="I174" s="164"/>
      <c r="J174" s="164"/>
      <c r="K174" s="164"/>
      <c r="L174" s="164"/>
      <c r="M174" s="164"/>
      <c r="N174" s="59"/>
      <c r="O174" s="59"/>
    </row>
    <row r="175" spans="1:112" s="109" customFormat="1">
      <c r="A175" s="103"/>
      <c r="B175" s="103"/>
      <c r="D175" s="163"/>
      <c r="E175" s="106"/>
      <c r="F175" s="164"/>
      <c r="G175" s="164"/>
      <c r="H175" s="164"/>
      <c r="I175" s="164"/>
      <c r="J175" s="164"/>
      <c r="K175" s="164"/>
      <c r="L175" s="164"/>
      <c r="M175" s="164"/>
      <c r="N175" s="59"/>
      <c r="O175" s="59"/>
    </row>
    <row r="176" spans="1:112" s="109" customFormat="1">
      <c r="A176" s="103"/>
      <c r="B176" s="103"/>
      <c r="D176" s="163"/>
      <c r="E176" s="106"/>
      <c r="F176" s="164"/>
      <c r="G176" s="164"/>
      <c r="H176" s="164"/>
      <c r="I176" s="164"/>
      <c r="J176" s="164"/>
      <c r="K176" s="164"/>
      <c r="L176" s="164"/>
      <c r="M176" s="164"/>
      <c r="N176" s="59"/>
      <c r="O176" s="59"/>
    </row>
    <row r="177" spans="1:15" s="109" customFormat="1">
      <c r="A177" s="103"/>
      <c r="B177" s="103"/>
      <c r="D177" s="163"/>
      <c r="E177" s="106"/>
      <c r="F177" s="164"/>
      <c r="G177" s="164"/>
      <c r="H177" s="164"/>
      <c r="I177" s="164"/>
      <c r="J177" s="164"/>
      <c r="K177" s="164"/>
      <c r="L177" s="164"/>
      <c r="M177" s="164"/>
      <c r="N177" s="59"/>
      <c r="O177" s="59"/>
    </row>
    <row r="178" spans="1:15" s="109" customFormat="1">
      <c r="A178" s="103"/>
      <c r="B178" s="103"/>
      <c r="D178" s="163"/>
      <c r="E178" s="106"/>
      <c r="F178" s="164"/>
      <c r="G178" s="164"/>
      <c r="H178" s="164"/>
      <c r="I178" s="164"/>
      <c r="J178" s="164"/>
      <c r="K178" s="164"/>
      <c r="L178" s="164"/>
      <c r="M178" s="164"/>
      <c r="N178" s="59"/>
      <c r="O178" s="59"/>
    </row>
    <row r="179" spans="1:15" s="109" customFormat="1">
      <c r="A179" s="103"/>
      <c r="B179" s="103"/>
      <c r="D179" s="163"/>
      <c r="E179" s="106"/>
      <c r="F179" s="164"/>
      <c r="G179" s="164"/>
      <c r="H179" s="164"/>
      <c r="I179" s="164"/>
      <c r="J179" s="164"/>
      <c r="K179" s="164"/>
      <c r="L179" s="164"/>
      <c r="M179" s="164"/>
      <c r="N179" s="59"/>
      <c r="O179" s="59"/>
    </row>
    <row r="180" spans="1:15" s="109" customFormat="1">
      <c r="A180" s="103"/>
      <c r="B180" s="103"/>
      <c r="D180" s="163"/>
      <c r="E180" s="106"/>
      <c r="F180" s="164"/>
      <c r="G180" s="164"/>
      <c r="H180" s="164"/>
      <c r="I180" s="164"/>
      <c r="J180" s="164"/>
      <c r="K180" s="164"/>
      <c r="L180" s="164"/>
      <c r="M180" s="164"/>
      <c r="N180" s="59"/>
      <c r="O180" s="59"/>
    </row>
    <row r="181" spans="1:15" s="109" customFormat="1">
      <c r="A181" s="103"/>
      <c r="B181" s="103"/>
      <c r="D181" s="163"/>
      <c r="E181" s="106"/>
      <c r="F181" s="164"/>
      <c r="G181" s="164"/>
      <c r="H181" s="164"/>
      <c r="I181" s="164"/>
      <c r="J181" s="164"/>
      <c r="K181" s="164"/>
      <c r="L181" s="164"/>
      <c r="M181" s="164"/>
      <c r="N181" s="59"/>
      <c r="O181" s="59"/>
    </row>
    <row r="182" spans="1:15" s="109" customFormat="1">
      <c r="A182" s="103"/>
      <c r="B182" s="103"/>
      <c r="D182" s="163"/>
      <c r="E182" s="106"/>
      <c r="F182" s="164"/>
      <c r="G182" s="164"/>
      <c r="H182" s="164"/>
      <c r="I182" s="164"/>
      <c r="J182" s="164"/>
      <c r="K182" s="164"/>
      <c r="L182" s="164"/>
      <c r="M182" s="164"/>
      <c r="N182" s="59"/>
      <c r="O182" s="59"/>
    </row>
    <row r="183" spans="1:15" s="109" customFormat="1">
      <c r="A183" s="103"/>
      <c r="B183" s="103"/>
      <c r="D183" s="163"/>
      <c r="E183" s="106"/>
      <c r="F183" s="164"/>
      <c r="G183" s="164"/>
      <c r="H183" s="164"/>
      <c r="I183" s="164"/>
      <c r="J183" s="164"/>
      <c r="K183" s="164"/>
      <c r="L183" s="164"/>
      <c r="M183" s="164"/>
      <c r="N183" s="59"/>
      <c r="O183" s="59"/>
    </row>
    <row r="184" spans="1:15" s="109" customFormat="1">
      <c r="A184" s="103"/>
      <c r="B184" s="103"/>
      <c r="D184" s="163"/>
      <c r="E184" s="106"/>
      <c r="F184" s="164"/>
      <c r="G184" s="164"/>
      <c r="H184" s="164"/>
      <c r="I184" s="164"/>
      <c r="J184" s="164"/>
      <c r="K184" s="164"/>
      <c r="L184" s="164"/>
      <c r="M184" s="164"/>
      <c r="N184" s="59"/>
      <c r="O184" s="59"/>
    </row>
    <row r="185" spans="1:15" s="109" customFormat="1">
      <c r="A185" s="103"/>
      <c r="B185" s="103"/>
      <c r="D185" s="163"/>
      <c r="E185" s="106"/>
      <c r="F185" s="164"/>
      <c r="G185" s="164"/>
      <c r="H185" s="164"/>
      <c r="I185" s="164"/>
      <c r="J185" s="164"/>
      <c r="K185" s="164"/>
      <c r="L185" s="164"/>
      <c r="M185" s="164"/>
      <c r="N185" s="59"/>
      <c r="O185" s="59"/>
    </row>
    <row r="186" spans="1:15" s="109" customFormat="1">
      <c r="A186" s="103"/>
      <c r="B186" s="103"/>
      <c r="D186" s="163"/>
      <c r="E186" s="106"/>
      <c r="F186" s="164"/>
      <c r="G186" s="164"/>
      <c r="H186" s="164"/>
      <c r="I186" s="164"/>
      <c r="J186" s="164"/>
      <c r="K186" s="164"/>
      <c r="L186" s="164"/>
      <c r="M186" s="164"/>
      <c r="N186" s="59"/>
      <c r="O186" s="59"/>
    </row>
    <row r="187" spans="1:15" s="109" customFormat="1">
      <c r="A187" s="103"/>
      <c r="B187" s="103"/>
      <c r="D187" s="163"/>
      <c r="E187" s="106"/>
      <c r="F187" s="164"/>
      <c r="G187" s="164"/>
      <c r="H187" s="164"/>
      <c r="I187" s="164"/>
      <c r="J187" s="164"/>
      <c r="K187" s="164"/>
      <c r="L187" s="164"/>
      <c r="M187" s="164"/>
      <c r="N187" s="59"/>
      <c r="O187" s="59"/>
    </row>
    <row r="188" spans="1:15" s="109" customFormat="1">
      <c r="A188" s="103"/>
      <c r="B188" s="103"/>
      <c r="D188" s="163"/>
      <c r="E188" s="106"/>
      <c r="F188" s="59"/>
      <c r="G188" s="59"/>
      <c r="H188" s="59"/>
      <c r="I188" s="59"/>
      <c r="J188" s="59"/>
      <c r="K188" s="59"/>
      <c r="L188" s="164"/>
      <c r="M188" s="164"/>
      <c r="N188" s="59"/>
      <c r="O188" s="59"/>
    </row>
  </sheetData>
  <mergeCells count="75">
    <mergeCell ref="J6:K6"/>
    <mergeCell ref="L6:L8"/>
    <mergeCell ref="A1:A8"/>
    <mergeCell ref="B1:B8"/>
    <mergeCell ref="C1:N2"/>
    <mergeCell ref="C3:E6"/>
    <mergeCell ref="F3:G3"/>
    <mergeCell ref="M3:M8"/>
    <mergeCell ref="N3:N8"/>
    <mergeCell ref="F4:G4"/>
    <mergeCell ref="C7:C8"/>
    <mergeCell ref="D7:D8"/>
    <mergeCell ref="E7:E8"/>
    <mergeCell ref="A9:B9"/>
    <mergeCell ref="F5:G5"/>
    <mergeCell ref="F6:G6"/>
    <mergeCell ref="F69:G83"/>
    <mergeCell ref="H69:I83"/>
    <mergeCell ref="H10:I27"/>
    <mergeCell ref="F47:G67"/>
    <mergeCell ref="H6:I6"/>
    <mergeCell ref="J10:K27"/>
    <mergeCell ref="A28:B28"/>
    <mergeCell ref="H29:I45"/>
    <mergeCell ref="J29:K45"/>
    <mergeCell ref="A46:B46"/>
    <mergeCell ref="J47:K67"/>
    <mergeCell ref="M47:M67"/>
    <mergeCell ref="A68:B68"/>
    <mergeCell ref="D68:L68"/>
    <mergeCell ref="F122:G128"/>
    <mergeCell ref="H122:I128"/>
    <mergeCell ref="M122:M128"/>
    <mergeCell ref="A84:B84"/>
    <mergeCell ref="F85:G97"/>
    <mergeCell ref="H85:I97"/>
    <mergeCell ref="M85:M97"/>
    <mergeCell ref="A98:B98"/>
    <mergeCell ref="F99:G101"/>
    <mergeCell ref="H99:I101"/>
    <mergeCell ref="M99:M101"/>
    <mergeCell ref="A102:B102"/>
    <mergeCell ref="F103:G120"/>
    <mergeCell ref="H103:I120"/>
    <mergeCell ref="M103:M120"/>
    <mergeCell ref="A121:B121"/>
    <mergeCell ref="F149:G152"/>
    <mergeCell ref="H149:I152"/>
    <mergeCell ref="M149:M152"/>
    <mergeCell ref="A129:B129"/>
    <mergeCell ref="F130:G137"/>
    <mergeCell ref="H130:I137"/>
    <mergeCell ref="M130:M137"/>
    <mergeCell ref="A138:B138"/>
    <mergeCell ref="F139:G143"/>
    <mergeCell ref="H139:I140"/>
    <mergeCell ref="M139:M143"/>
    <mergeCell ref="J141:K143"/>
    <mergeCell ref="A144:B144"/>
    <mergeCell ref="F145:G147"/>
    <mergeCell ref="H145:I147"/>
    <mergeCell ref="M145:M147"/>
    <mergeCell ref="A148:B148"/>
    <mergeCell ref="M154:M157"/>
    <mergeCell ref="A158:B158"/>
    <mergeCell ref="F159:G161"/>
    <mergeCell ref="H159:I161"/>
    <mergeCell ref="M159:M161"/>
    <mergeCell ref="A162:B162"/>
    <mergeCell ref="J164:K164"/>
    <mergeCell ref="J165:K165"/>
    <mergeCell ref="J166:K166"/>
    <mergeCell ref="A153:B153"/>
    <mergeCell ref="F154:G157"/>
    <mergeCell ref="H154:I157"/>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D95F-3358-42B8-991C-C7C64A787180}">
  <sheetPr>
    <tabColor rgb="FF92D050"/>
  </sheetPr>
  <dimension ref="A1:H38"/>
  <sheetViews>
    <sheetView workbookViewId="0">
      <selection activeCell="F6" sqref="F6"/>
    </sheetView>
  </sheetViews>
  <sheetFormatPr defaultRowHeight="15"/>
  <cols>
    <col min="3" max="3" width="13.85546875" customWidth="1"/>
    <col min="5" max="5" width="14" customWidth="1"/>
  </cols>
  <sheetData>
    <row r="1" spans="1:8">
      <c r="A1" t="str">
        <f>'Area Calculations'!B4</f>
        <v>ERAU Residential Hall &amp; Garage Building</v>
      </c>
      <c r="E1" s="36"/>
    </row>
    <row r="2" spans="1:8">
      <c r="E2" s="36"/>
    </row>
    <row r="3" spans="1:8">
      <c r="A3" s="109" t="s">
        <v>595</v>
      </c>
      <c r="E3" s="36"/>
    </row>
    <row r="4" spans="1:8">
      <c r="A4" t="s">
        <v>596</v>
      </c>
      <c r="B4" s="176"/>
      <c r="C4" s="176"/>
      <c r="D4" s="176"/>
      <c r="E4" s="177"/>
      <c r="F4" s="176"/>
      <c r="G4" s="176"/>
      <c r="H4" s="176"/>
    </row>
    <row r="5" spans="1:8" ht="15.75" thickBot="1">
      <c r="A5" s="176"/>
      <c r="E5" s="36"/>
    </row>
    <row r="6" spans="1:8" ht="15.75" thickBot="1">
      <c r="C6" s="2309" t="s">
        <v>597</v>
      </c>
      <c r="D6" s="2309"/>
      <c r="E6" s="2309"/>
      <c r="F6" s="179">
        <v>0</v>
      </c>
    </row>
    <row r="7" spans="1:8" ht="30">
      <c r="A7" s="103"/>
      <c r="B7" s="103"/>
      <c r="C7" s="103"/>
      <c r="D7" s="103"/>
      <c r="E7" s="785" t="s">
        <v>598</v>
      </c>
      <c r="F7" s="1071" t="s">
        <v>599</v>
      </c>
      <c r="G7" s="785" t="s">
        <v>50</v>
      </c>
      <c r="H7" s="103"/>
    </row>
    <row r="8" spans="1:8">
      <c r="B8" s="413">
        <v>1</v>
      </c>
      <c r="C8" t="s">
        <v>600</v>
      </c>
      <c r="E8" s="36">
        <v>157.66656272329965</v>
      </c>
      <c r="F8" s="180">
        <f t="shared" ref="F8:F38" si="0">E8*$F$6</f>
        <v>0</v>
      </c>
      <c r="G8" s="414">
        <f t="shared" ref="G8:G38" si="1">SUM(E8:F8)</f>
        <v>157.66656272329965</v>
      </c>
    </row>
    <row r="9" spans="1:8">
      <c r="B9" s="413">
        <v>2</v>
      </c>
      <c r="C9" t="s">
        <v>601</v>
      </c>
      <c r="E9" s="36">
        <v>130.67474961637163</v>
      </c>
      <c r="F9" s="180">
        <f t="shared" si="0"/>
        <v>0</v>
      </c>
      <c r="G9" s="414">
        <f t="shared" si="1"/>
        <v>130.67474961637163</v>
      </c>
    </row>
    <row r="10" spans="1:8">
      <c r="B10" s="413">
        <v>3</v>
      </c>
      <c r="C10" t="s">
        <v>602</v>
      </c>
      <c r="E10" s="36">
        <v>120.3413239935074</v>
      </c>
      <c r="F10" s="180">
        <f t="shared" si="0"/>
        <v>0</v>
      </c>
      <c r="G10" s="414">
        <f t="shared" si="1"/>
        <v>120.3413239935074</v>
      </c>
    </row>
    <row r="11" spans="1:8">
      <c r="B11" s="413">
        <v>4</v>
      </c>
      <c r="C11" t="s">
        <v>603</v>
      </c>
      <c r="E11" s="36">
        <v>110.14475923076922</v>
      </c>
      <c r="F11" s="180">
        <f t="shared" si="0"/>
        <v>0</v>
      </c>
      <c r="G11" s="414">
        <f t="shared" si="1"/>
        <v>110.14475923076922</v>
      </c>
    </row>
    <row r="12" spans="1:8">
      <c r="B12" s="413">
        <v>5</v>
      </c>
      <c r="C12" t="s">
        <v>604</v>
      </c>
      <c r="E12" s="36">
        <v>94.265604056207636</v>
      </c>
      <c r="F12" s="180">
        <f t="shared" si="0"/>
        <v>0</v>
      </c>
      <c r="G12" s="414">
        <f t="shared" si="1"/>
        <v>94.265604056207636</v>
      </c>
    </row>
    <row r="13" spans="1:8">
      <c r="B13" s="413">
        <v>6</v>
      </c>
      <c r="C13" t="s">
        <v>605</v>
      </c>
      <c r="E13" s="36">
        <v>66.505247044441447</v>
      </c>
      <c r="F13" s="180">
        <f t="shared" si="0"/>
        <v>0</v>
      </c>
      <c r="G13" s="414">
        <f t="shared" si="1"/>
        <v>66.505247044441447</v>
      </c>
    </row>
    <row r="14" spans="1:8">
      <c r="B14" s="413">
        <v>7</v>
      </c>
      <c r="C14" t="s">
        <v>606</v>
      </c>
      <c r="E14" s="36">
        <v>85.810040186656153</v>
      </c>
      <c r="F14" s="180">
        <f t="shared" si="0"/>
        <v>0</v>
      </c>
      <c r="G14" s="414">
        <f t="shared" si="1"/>
        <v>85.810040186656153</v>
      </c>
    </row>
    <row r="15" spans="1:8">
      <c r="B15" s="413">
        <v>8</v>
      </c>
      <c r="C15" t="s">
        <v>607</v>
      </c>
      <c r="E15" s="36">
        <v>82.733563522458013</v>
      </c>
      <c r="F15" s="180">
        <f t="shared" si="0"/>
        <v>0</v>
      </c>
      <c r="G15" s="414">
        <f t="shared" si="1"/>
        <v>82.733563522458013</v>
      </c>
    </row>
    <row r="16" spans="1:8">
      <c r="B16" s="413">
        <v>9</v>
      </c>
      <c r="C16" t="s">
        <v>608</v>
      </c>
      <c r="E16" s="36">
        <v>131.75198835114654</v>
      </c>
      <c r="F16" s="180">
        <f t="shared" si="0"/>
        <v>0</v>
      </c>
      <c r="G16" s="414">
        <f t="shared" si="1"/>
        <v>131.75198835114654</v>
      </c>
    </row>
    <row r="17" spans="2:7">
      <c r="B17" s="413">
        <v>10</v>
      </c>
      <c r="C17" t="s">
        <v>609</v>
      </c>
      <c r="E17" s="36">
        <v>110.59222737485382</v>
      </c>
      <c r="F17" s="180">
        <f t="shared" si="0"/>
        <v>0</v>
      </c>
      <c r="G17" s="414">
        <f t="shared" si="1"/>
        <v>110.59222737485382</v>
      </c>
    </row>
    <row r="18" spans="2:7">
      <c r="B18" s="413">
        <v>11</v>
      </c>
      <c r="C18" t="s">
        <v>610</v>
      </c>
      <c r="E18" s="36">
        <v>90.514804365319037</v>
      </c>
      <c r="F18" s="180">
        <f t="shared" si="0"/>
        <v>0</v>
      </c>
      <c r="G18" s="414">
        <f t="shared" si="1"/>
        <v>90.514804365319037</v>
      </c>
    </row>
    <row r="19" spans="2:7">
      <c r="B19" s="413">
        <v>12</v>
      </c>
      <c r="C19" t="s">
        <v>611</v>
      </c>
      <c r="E19" s="36">
        <v>59.915465950140074</v>
      </c>
      <c r="F19" s="180">
        <f t="shared" si="0"/>
        <v>0</v>
      </c>
      <c r="G19" s="414">
        <f t="shared" si="1"/>
        <v>59.915465950140074</v>
      </c>
    </row>
    <row r="20" spans="2:7">
      <c r="B20" s="413">
        <v>13</v>
      </c>
      <c r="C20" t="s">
        <v>612</v>
      </c>
      <c r="E20" s="36">
        <v>102.93238753698225</v>
      </c>
      <c r="F20" s="180">
        <f t="shared" si="0"/>
        <v>0</v>
      </c>
      <c r="G20" s="414">
        <f t="shared" si="1"/>
        <v>102.93238753698225</v>
      </c>
    </row>
    <row r="21" spans="2:7">
      <c r="B21" s="413">
        <v>14</v>
      </c>
      <c r="C21" t="s">
        <v>459</v>
      </c>
      <c r="E21" s="36">
        <v>41.528452124415374</v>
      </c>
      <c r="F21" s="180">
        <f t="shared" si="0"/>
        <v>0</v>
      </c>
      <c r="G21" s="414">
        <f t="shared" si="1"/>
        <v>41.528452124415374</v>
      </c>
    </row>
    <row r="22" spans="2:7">
      <c r="B22" s="413">
        <v>15</v>
      </c>
      <c r="C22" t="s">
        <v>613</v>
      </c>
      <c r="E22" s="36">
        <v>115.93784347759767</v>
      </c>
      <c r="F22" s="180">
        <f t="shared" si="0"/>
        <v>0</v>
      </c>
      <c r="G22" s="414">
        <f t="shared" si="1"/>
        <v>115.93784347759767</v>
      </c>
    </row>
    <row r="23" spans="2:7">
      <c r="B23" s="413">
        <v>16</v>
      </c>
      <c r="C23" t="s">
        <v>614</v>
      </c>
      <c r="E23" s="36">
        <v>102.72671377106045</v>
      </c>
      <c r="F23" s="180">
        <f t="shared" si="0"/>
        <v>0</v>
      </c>
      <c r="G23" s="414">
        <f t="shared" si="1"/>
        <v>102.72671377106045</v>
      </c>
    </row>
    <row r="24" spans="2:7">
      <c r="B24" s="413">
        <v>17</v>
      </c>
      <c r="C24" t="s">
        <v>615</v>
      </c>
      <c r="E24" s="36">
        <v>79.733968117713033</v>
      </c>
      <c r="F24" s="180">
        <f t="shared" si="0"/>
        <v>0</v>
      </c>
      <c r="G24" s="414">
        <f t="shared" si="1"/>
        <v>79.733968117713033</v>
      </c>
    </row>
    <row r="25" spans="2:7">
      <c r="B25" s="413"/>
      <c r="C25" t="s">
        <v>616</v>
      </c>
      <c r="E25" s="36">
        <v>32.408055728281447</v>
      </c>
      <c r="F25" s="180">
        <f t="shared" si="0"/>
        <v>0</v>
      </c>
      <c r="G25" s="180">
        <f t="shared" si="1"/>
        <v>32.408055728281447</v>
      </c>
    </row>
    <row r="26" spans="2:7">
      <c r="C26" t="s">
        <v>617</v>
      </c>
      <c r="E26" s="36">
        <v>32.97821066136202</v>
      </c>
      <c r="F26" s="180">
        <f t="shared" si="0"/>
        <v>0</v>
      </c>
      <c r="G26" s="180">
        <f t="shared" si="1"/>
        <v>32.97821066136202</v>
      </c>
    </row>
    <row r="27" spans="2:7">
      <c r="C27" t="s">
        <v>618</v>
      </c>
      <c r="E27" s="36">
        <v>45.013251208111193</v>
      </c>
      <c r="F27" s="180">
        <f t="shared" si="0"/>
        <v>0</v>
      </c>
      <c r="G27" s="180">
        <f t="shared" si="1"/>
        <v>45.013251208111193</v>
      </c>
    </row>
    <row r="28" spans="2:7">
      <c r="C28" t="s">
        <v>619</v>
      </c>
      <c r="E28" s="36">
        <v>35.486876153846154</v>
      </c>
      <c r="F28" s="180">
        <f t="shared" si="0"/>
        <v>0</v>
      </c>
      <c r="G28" s="180">
        <f t="shared" si="1"/>
        <v>35.486876153846154</v>
      </c>
    </row>
    <row r="29" spans="2:7">
      <c r="C29" t="s">
        <v>620</v>
      </c>
      <c r="E29" s="36">
        <v>46.605242298570992</v>
      </c>
      <c r="F29" s="180">
        <f t="shared" si="0"/>
        <v>0</v>
      </c>
      <c r="G29" s="180">
        <f t="shared" si="1"/>
        <v>46.605242298570992</v>
      </c>
    </row>
    <row r="30" spans="2:7">
      <c r="C30" t="s">
        <v>621</v>
      </c>
      <c r="E30" s="36">
        <v>0</v>
      </c>
      <c r="F30" s="180">
        <f t="shared" si="0"/>
        <v>0</v>
      </c>
      <c r="G30" s="180">
        <f t="shared" si="1"/>
        <v>0</v>
      </c>
    </row>
    <row r="31" spans="2:7">
      <c r="C31" t="s">
        <v>622</v>
      </c>
      <c r="E31" s="36">
        <v>130.41080393860946</v>
      </c>
      <c r="F31" s="180">
        <f t="shared" si="0"/>
        <v>0</v>
      </c>
      <c r="G31" s="180">
        <f t="shared" si="1"/>
        <v>130.41080393860946</v>
      </c>
    </row>
    <row r="32" spans="2:7">
      <c r="C32" t="s">
        <v>623</v>
      </c>
      <c r="E32" s="36">
        <v>135.45803657819172</v>
      </c>
      <c r="F32" s="180">
        <f t="shared" si="0"/>
        <v>0</v>
      </c>
      <c r="G32" s="180">
        <f t="shared" si="1"/>
        <v>135.45803657819172</v>
      </c>
    </row>
    <row r="33" spans="3:7">
      <c r="C33" t="s">
        <v>624</v>
      </c>
      <c r="E33" s="36">
        <v>0</v>
      </c>
      <c r="F33" s="180">
        <f t="shared" si="0"/>
        <v>0</v>
      </c>
      <c r="G33" s="180">
        <f t="shared" si="1"/>
        <v>0</v>
      </c>
    </row>
    <row r="34" spans="3:7">
      <c r="C34" t="s">
        <v>625</v>
      </c>
      <c r="E34" s="36">
        <v>85.413090209579266</v>
      </c>
      <c r="F34" s="180">
        <f t="shared" si="0"/>
        <v>0</v>
      </c>
      <c r="G34" s="180">
        <f t="shared" si="1"/>
        <v>85.413090209579266</v>
      </c>
    </row>
    <row r="35" spans="3:7">
      <c r="C35" t="s">
        <v>626</v>
      </c>
      <c r="E35" s="36">
        <v>121.55328932355434</v>
      </c>
      <c r="F35" s="180">
        <f t="shared" si="0"/>
        <v>0</v>
      </c>
      <c r="G35" s="180">
        <f t="shared" si="1"/>
        <v>121.55328932355434</v>
      </c>
    </row>
    <row r="36" spans="3:7">
      <c r="C36" t="s">
        <v>627</v>
      </c>
      <c r="E36" s="36">
        <v>140.91980313910551</v>
      </c>
      <c r="F36" s="180">
        <f t="shared" si="0"/>
        <v>0</v>
      </c>
      <c r="G36" s="180">
        <f t="shared" si="1"/>
        <v>140.91980313910551</v>
      </c>
    </row>
    <row r="37" spans="3:7">
      <c r="C37" t="s">
        <v>628</v>
      </c>
      <c r="E37" s="36">
        <v>52.717120320380801</v>
      </c>
      <c r="F37" s="180">
        <f t="shared" si="0"/>
        <v>0</v>
      </c>
      <c r="G37" s="180">
        <f t="shared" si="1"/>
        <v>52.717120320380801</v>
      </c>
    </row>
    <row r="38" spans="3:7">
      <c r="C38" t="s">
        <v>629</v>
      </c>
      <c r="E38" s="36">
        <v>69.670191498836502</v>
      </c>
      <c r="F38" s="180">
        <f t="shared" si="0"/>
        <v>0</v>
      </c>
      <c r="G38" s="180">
        <f t="shared" si="1"/>
        <v>69.670191498836502</v>
      </c>
    </row>
  </sheetData>
  <mergeCells count="1">
    <mergeCell ref="C6:E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484B1-45E6-45A5-B88D-94F2CC8DB74E}">
  <dimension ref="A1:AE36"/>
  <sheetViews>
    <sheetView topLeftCell="A6" workbookViewId="0">
      <pane xSplit="1" topLeftCell="B1" activePane="topRight" state="frozen"/>
      <selection pane="topRight" activeCell="AE27" sqref="AE27"/>
    </sheetView>
  </sheetViews>
  <sheetFormatPr defaultRowHeight="15"/>
  <cols>
    <col min="1" max="1" width="37.5703125" customWidth="1"/>
  </cols>
  <sheetData>
    <row r="1" spans="1:31">
      <c r="A1" s="695" t="s">
        <v>630</v>
      </c>
      <c r="B1" s="696"/>
      <c r="C1" s="696"/>
      <c r="D1" s="696"/>
      <c r="E1" s="696"/>
      <c r="F1" s="696"/>
      <c r="G1" s="696"/>
      <c r="H1" s="696"/>
      <c r="I1" s="696"/>
      <c r="J1" s="696"/>
      <c r="K1" s="696"/>
      <c r="L1" s="696"/>
      <c r="M1" s="696"/>
      <c r="N1" s="696"/>
      <c r="O1" s="696"/>
      <c r="P1" s="696"/>
      <c r="Q1" s="696"/>
      <c r="R1" s="696"/>
      <c r="S1" s="696"/>
      <c r="T1" s="696"/>
      <c r="U1" s="696"/>
      <c r="V1" s="696"/>
      <c r="W1" s="696"/>
      <c r="X1" s="696"/>
      <c r="Y1" s="696"/>
      <c r="Z1" s="696"/>
      <c r="AA1" s="696"/>
      <c r="AB1" s="696"/>
      <c r="AC1" s="696"/>
      <c r="AD1" s="696"/>
      <c r="AE1" s="696"/>
    </row>
    <row r="2" spans="1:31" ht="15.75" thickBot="1">
      <c r="A2" s="695" t="s">
        <v>631</v>
      </c>
      <c r="B2" s="696"/>
      <c r="C2" s="696"/>
      <c r="D2" s="696"/>
      <c r="E2" s="696"/>
      <c r="F2" s="696"/>
      <c r="G2" s="696"/>
      <c r="H2" s="696"/>
      <c r="I2" s="696"/>
      <c r="J2" s="696"/>
      <c r="K2" s="696"/>
      <c r="L2" s="696"/>
      <c r="M2" s="696"/>
      <c r="N2" s="696"/>
      <c r="O2" s="696"/>
      <c r="P2" s="696"/>
      <c r="Q2" s="696"/>
      <c r="R2" s="696"/>
      <c r="S2" s="696"/>
      <c r="T2" s="696"/>
      <c r="U2" s="696"/>
      <c r="V2" s="696"/>
      <c r="W2" s="696"/>
      <c r="X2" s="696"/>
      <c r="Y2" s="696"/>
      <c r="Z2" s="696"/>
      <c r="AA2" s="696"/>
      <c r="AB2" s="696"/>
      <c r="AC2" s="696"/>
      <c r="AD2" s="696"/>
      <c r="AE2" s="696"/>
    </row>
    <row r="3" spans="1:31" ht="15.75" thickBot="1">
      <c r="A3" s="696"/>
      <c r="B3" s="2310" t="s">
        <v>632</v>
      </c>
      <c r="C3" s="2311"/>
      <c r="D3" s="2311"/>
      <c r="E3" s="2311"/>
      <c r="F3" s="2311"/>
      <c r="G3" s="2311"/>
      <c r="H3" s="2311"/>
      <c r="I3" s="2311"/>
      <c r="J3" s="2311"/>
      <c r="K3" s="2311"/>
      <c r="L3" s="2311"/>
      <c r="M3" s="2311"/>
      <c r="N3" s="2311"/>
      <c r="O3" s="2311"/>
      <c r="P3" s="2311"/>
      <c r="Q3" s="2311"/>
      <c r="R3" s="2311"/>
      <c r="S3" s="2311"/>
      <c r="T3" s="2311"/>
      <c r="U3" s="2311"/>
      <c r="V3" s="2311"/>
      <c r="W3" s="2311"/>
      <c r="X3" s="2311"/>
      <c r="Y3" s="2311"/>
      <c r="Z3" s="2311"/>
      <c r="AA3" s="2311"/>
      <c r="AB3" s="2311"/>
      <c r="AC3" s="2312"/>
      <c r="AD3" s="696"/>
      <c r="AE3" s="696"/>
    </row>
    <row r="4" spans="1:31" ht="15.75" thickBot="1">
      <c r="A4" s="697" t="s">
        <v>633</v>
      </c>
      <c r="B4" s="698">
        <v>2025</v>
      </c>
      <c r="C4" s="699" t="s">
        <v>634</v>
      </c>
      <c r="D4" s="699">
        <v>2027</v>
      </c>
      <c r="E4" s="699" t="s">
        <v>635</v>
      </c>
      <c r="F4" s="699" t="s">
        <v>635</v>
      </c>
      <c r="G4" s="699" t="s">
        <v>635</v>
      </c>
      <c r="H4" s="699" t="s">
        <v>635</v>
      </c>
      <c r="I4" s="699" t="s">
        <v>635</v>
      </c>
      <c r="J4" s="699" t="s">
        <v>635</v>
      </c>
      <c r="K4" s="699" t="s">
        <v>635</v>
      </c>
      <c r="L4" s="700" t="s">
        <v>635</v>
      </c>
      <c r="M4" s="699" t="s">
        <v>635</v>
      </c>
      <c r="N4" s="699" t="s">
        <v>635</v>
      </c>
      <c r="O4" s="699" t="s">
        <v>635</v>
      </c>
      <c r="P4" s="699" t="s">
        <v>635</v>
      </c>
      <c r="Q4" s="699" t="s">
        <v>635</v>
      </c>
      <c r="R4" s="699" t="s">
        <v>635</v>
      </c>
      <c r="S4" s="699" t="s">
        <v>635</v>
      </c>
      <c r="T4" s="699" t="s">
        <v>635</v>
      </c>
      <c r="U4" s="699" t="s">
        <v>635</v>
      </c>
      <c r="V4" s="699" t="s">
        <v>635</v>
      </c>
      <c r="W4" s="699" t="s">
        <v>635</v>
      </c>
      <c r="X4" s="700" t="s">
        <v>635</v>
      </c>
      <c r="Y4" s="699" t="s">
        <v>635</v>
      </c>
      <c r="Z4" s="699" t="s">
        <v>635</v>
      </c>
      <c r="AA4" s="699" t="s">
        <v>635</v>
      </c>
      <c r="AB4" s="699" t="s">
        <v>635</v>
      </c>
      <c r="AC4" s="701" t="s">
        <v>635</v>
      </c>
      <c r="AD4" s="696"/>
      <c r="AE4" s="696"/>
    </row>
    <row r="5" spans="1:31">
      <c r="A5" s="697" t="s">
        <v>636</v>
      </c>
      <c r="B5" s="702" t="s">
        <v>637</v>
      </c>
      <c r="C5" s="703" t="s">
        <v>638</v>
      </c>
      <c r="D5" s="703" t="s">
        <v>639</v>
      </c>
      <c r="E5" s="703" t="s">
        <v>640</v>
      </c>
      <c r="F5" s="703" t="s">
        <v>641</v>
      </c>
      <c r="G5" s="703" t="s">
        <v>642</v>
      </c>
      <c r="H5" s="703" t="s">
        <v>643</v>
      </c>
      <c r="I5" s="703" t="s">
        <v>644</v>
      </c>
      <c r="J5" s="703" t="s">
        <v>645</v>
      </c>
      <c r="K5" s="703" t="s">
        <v>646</v>
      </c>
      <c r="L5" s="703" t="s">
        <v>647</v>
      </c>
      <c r="M5" s="703" t="s">
        <v>648</v>
      </c>
      <c r="N5" s="703" t="s">
        <v>637</v>
      </c>
      <c r="O5" s="703" t="s">
        <v>638</v>
      </c>
      <c r="P5" s="703" t="s">
        <v>639</v>
      </c>
      <c r="Q5" s="703" t="s">
        <v>640</v>
      </c>
      <c r="R5" s="703" t="s">
        <v>641</v>
      </c>
      <c r="S5" s="703" t="s">
        <v>642</v>
      </c>
      <c r="T5" s="703" t="s">
        <v>643</v>
      </c>
      <c r="U5" s="703" t="s">
        <v>644</v>
      </c>
      <c r="V5" s="703" t="s">
        <v>645</v>
      </c>
      <c r="W5" s="703" t="s">
        <v>646</v>
      </c>
      <c r="X5" s="703" t="s">
        <v>647</v>
      </c>
      <c r="Y5" s="703" t="s">
        <v>648</v>
      </c>
      <c r="Z5" s="703" t="s">
        <v>635</v>
      </c>
      <c r="AA5" s="703" t="s">
        <v>635</v>
      </c>
      <c r="AB5" s="703" t="s">
        <v>635</v>
      </c>
      <c r="AC5" s="703" t="s">
        <v>635</v>
      </c>
      <c r="AD5" s="696"/>
      <c r="AE5" s="696"/>
    </row>
    <row r="6" spans="1:31">
      <c r="A6" s="704" t="s">
        <v>649</v>
      </c>
      <c r="B6" s="705">
        <v>1</v>
      </c>
      <c r="C6" s="706">
        <v>2</v>
      </c>
      <c r="D6" s="706">
        <v>3</v>
      </c>
      <c r="E6" s="706">
        <v>4</v>
      </c>
      <c r="F6" s="706">
        <v>5</v>
      </c>
      <c r="G6" s="706">
        <v>6</v>
      </c>
      <c r="H6" s="706">
        <v>7</v>
      </c>
      <c r="I6" s="706">
        <v>8</v>
      </c>
      <c r="J6" s="706">
        <v>9</v>
      </c>
      <c r="K6" s="706">
        <v>10</v>
      </c>
      <c r="L6" s="706">
        <v>11</v>
      </c>
      <c r="M6" s="706">
        <v>12</v>
      </c>
      <c r="N6" s="706">
        <v>13</v>
      </c>
      <c r="O6" s="706">
        <v>14</v>
      </c>
      <c r="P6" s="706">
        <v>15</v>
      </c>
      <c r="Q6" s="706">
        <v>16</v>
      </c>
      <c r="R6" s="706">
        <v>17</v>
      </c>
      <c r="S6" s="706">
        <v>18</v>
      </c>
      <c r="T6" s="706">
        <v>19</v>
      </c>
      <c r="U6" s="706">
        <v>20</v>
      </c>
      <c r="V6" s="706">
        <v>21</v>
      </c>
      <c r="W6" s="706">
        <v>22</v>
      </c>
      <c r="X6" s="706">
        <v>23</v>
      </c>
      <c r="Y6" s="706">
        <v>24</v>
      </c>
      <c r="Z6" s="706" t="s">
        <v>635</v>
      </c>
      <c r="AA6" s="707" t="s">
        <v>635</v>
      </c>
      <c r="AB6" s="707" t="s">
        <v>635</v>
      </c>
      <c r="AC6" s="707" t="s">
        <v>635</v>
      </c>
      <c r="AD6" s="696" t="s">
        <v>650</v>
      </c>
      <c r="AE6" s="708">
        <v>45896</v>
      </c>
    </row>
    <row r="7" spans="1:31" ht="15.75" thickBot="1">
      <c r="A7" s="709" t="s">
        <v>651</v>
      </c>
      <c r="B7" s="710" t="s">
        <v>635</v>
      </c>
      <c r="C7" s="710" t="s">
        <v>635</v>
      </c>
      <c r="D7" s="711" t="s">
        <v>635</v>
      </c>
      <c r="E7" s="711" t="s">
        <v>635</v>
      </c>
      <c r="F7" s="711" t="s">
        <v>635</v>
      </c>
      <c r="G7" s="712" t="s">
        <v>635</v>
      </c>
      <c r="H7" s="712" t="s">
        <v>635</v>
      </c>
      <c r="I7" s="712" t="s">
        <v>635</v>
      </c>
      <c r="J7" s="712" t="s">
        <v>635</v>
      </c>
      <c r="K7" s="712" t="s">
        <v>635</v>
      </c>
      <c r="L7" s="712" t="s">
        <v>635</v>
      </c>
      <c r="M7" s="712" t="s">
        <v>635</v>
      </c>
      <c r="N7" s="712" t="s">
        <v>635</v>
      </c>
      <c r="O7" s="712" t="s">
        <v>635</v>
      </c>
      <c r="P7" s="712" t="s">
        <v>635</v>
      </c>
      <c r="Q7" s="712" t="s">
        <v>635</v>
      </c>
      <c r="R7" s="712" t="s">
        <v>635</v>
      </c>
      <c r="S7" s="712" t="s">
        <v>635</v>
      </c>
      <c r="T7" s="712" t="s">
        <v>635</v>
      </c>
      <c r="U7" s="712" t="s">
        <v>635</v>
      </c>
      <c r="V7" s="712" t="s">
        <v>635</v>
      </c>
      <c r="W7" s="712" t="s">
        <v>635</v>
      </c>
      <c r="X7" s="712" t="s">
        <v>635</v>
      </c>
      <c r="Y7" s="712" t="s">
        <v>635</v>
      </c>
      <c r="Z7" s="712" t="s">
        <v>635</v>
      </c>
      <c r="AA7" s="712" t="s">
        <v>635</v>
      </c>
      <c r="AB7" s="712" t="s">
        <v>635</v>
      </c>
      <c r="AC7" s="712" t="s">
        <v>635</v>
      </c>
      <c r="AD7" s="696"/>
      <c r="AE7" s="696"/>
    </row>
    <row r="8" spans="1:31" ht="15.75" thickBot="1">
      <c r="A8" s="713" t="s">
        <v>652</v>
      </c>
      <c r="B8" s="714" t="s">
        <v>635</v>
      </c>
      <c r="C8" s="714" t="s">
        <v>635</v>
      </c>
      <c r="D8" s="715" t="s">
        <v>635</v>
      </c>
      <c r="E8" s="716" t="s">
        <v>635</v>
      </c>
      <c r="F8" s="717" t="s">
        <v>635</v>
      </c>
      <c r="G8" s="717" t="s">
        <v>635</v>
      </c>
      <c r="H8" s="714" t="s">
        <v>635</v>
      </c>
      <c r="I8" s="714" t="s">
        <v>635</v>
      </c>
      <c r="J8" s="714" t="s">
        <v>635</v>
      </c>
      <c r="K8" s="714" t="s">
        <v>635</v>
      </c>
      <c r="L8" s="714" t="s">
        <v>635</v>
      </c>
      <c r="M8" s="714" t="s">
        <v>635</v>
      </c>
      <c r="N8" s="714" t="s">
        <v>635</v>
      </c>
      <c r="O8" s="714" t="s">
        <v>635</v>
      </c>
      <c r="P8" s="714" t="s">
        <v>635</v>
      </c>
      <c r="Q8" s="714" t="s">
        <v>635</v>
      </c>
      <c r="R8" s="714" t="s">
        <v>635</v>
      </c>
      <c r="S8" s="714" t="s">
        <v>635</v>
      </c>
      <c r="T8" s="714" t="s">
        <v>635</v>
      </c>
      <c r="U8" s="714" t="s">
        <v>635</v>
      </c>
      <c r="V8" s="714" t="s">
        <v>635</v>
      </c>
      <c r="W8" s="714" t="s">
        <v>635</v>
      </c>
      <c r="X8" s="714" t="s">
        <v>635</v>
      </c>
      <c r="Y8" s="714" t="s">
        <v>635</v>
      </c>
      <c r="Z8" s="714" t="s">
        <v>635</v>
      </c>
      <c r="AA8" s="714" t="s">
        <v>635</v>
      </c>
      <c r="AB8" s="714" t="s">
        <v>635</v>
      </c>
      <c r="AC8" s="714" t="s">
        <v>635</v>
      </c>
      <c r="AD8" s="696"/>
      <c r="AE8" s="696"/>
    </row>
    <row r="9" spans="1:31" ht="15.75" thickBot="1">
      <c r="A9" s="718" t="s">
        <v>653</v>
      </c>
      <c r="B9" s="719" t="s">
        <v>635</v>
      </c>
      <c r="C9" s="719" t="s">
        <v>635</v>
      </c>
      <c r="D9" s="714" t="s">
        <v>635</v>
      </c>
      <c r="E9" s="720" t="s">
        <v>635</v>
      </c>
      <c r="F9" s="720" t="s">
        <v>635</v>
      </c>
      <c r="G9" s="720" t="s">
        <v>635</v>
      </c>
      <c r="H9" s="720" t="s">
        <v>635</v>
      </c>
      <c r="I9" s="719" t="s">
        <v>635</v>
      </c>
      <c r="J9" s="719" t="s">
        <v>635</v>
      </c>
      <c r="K9" s="719" t="s">
        <v>635</v>
      </c>
      <c r="L9" s="719" t="s">
        <v>635</v>
      </c>
      <c r="M9" s="719" t="s">
        <v>635</v>
      </c>
      <c r="N9" s="719" t="s">
        <v>635</v>
      </c>
      <c r="O9" s="719" t="s">
        <v>635</v>
      </c>
      <c r="P9" s="719" t="s">
        <v>635</v>
      </c>
      <c r="Q9" s="719" t="s">
        <v>635</v>
      </c>
      <c r="R9" s="719" t="s">
        <v>635</v>
      </c>
      <c r="S9" s="719" t="s">
        <v>635</v>
      </c>
      <c r="T9" s="719" t="s">
        <v>635</v>
      </c>
      <c r="U9" s="719" t="s">
        <v>635</v>
      </c>
      <c r="V9" s="719" t="s">
        <v>635</v>
      </c>
      <c r="W9" s="719" t="s">
        <v>635</v>
      </c>
      <c r="X9" s="719" t="s">
        <v>635</v>
      </c>
      <c r="Y9" s="719" t="s">
        <v>635</v>
      </c>
      <c r="Z9" s="719" t="s">
        <v>635</v>
      </c>
      <c r="AA9" s="719" t="s">
        <v>635</v>
      </c>
      <c r="AB9" s="719" t="s">
        <v>635</v>
      </c>
      <c r="AC9" s="719" t="s">
        <v>635</v>
      </c>
      <c r="AD9" s="696"/>
      <c r="AE9" s="696"/>
    </row>
    <row r="10" spans="1:31" ht="15.75" thickBot="1">
      <c r="A10" s="718" t="s">
        <v>654</v>
      </c>
      <c r="B10" s="719" t="s">
        <v>635</v>
      </c>
      <c r="C10" s="719" t="s">
        <v>635</v>
      </c>
      <c r="D10" s="719" t="s">
        <v>635</v>
      </c>
      <c r="E10" s="719" t="s">
        <v>635</v>
      </c>
      <c r="F10" s="719" t="s">
        <v>635</v>
      </c>
      <c r="G10" s="719" t="s">
        <v>635</v>
      </c>
      <c r="H10" s="719" t="s">
        <v>635</v>
      </c>
      <c r="I10" s="720" t="s">
        <v>635</v>
      </c>
      <c r="J10" s="720" t="s">
        <v>635</v>
      </c>
      <c r="K10" s="720" t="s">
        <v>635</v>
      </c>
      <c r="L10" s="720" t="s">
        <v>635</v>
      </c>
      <c r="M10" s="719" t="s">
        <v>635</v>
      </c>
      <c r="N10" s="719" t="s">
        <v>635</v>
      </c>
      <c r="O10" s="719" t="s">
        <v>635</v>
      </c>
      <c r="P10" s="719" t="s">
        <v>635</v>
      </c>
      <c r="Q10" s="719" t="s">
        <v>635</v>
      </c>
      <c r="R10" s="719" t="s">
        <v>635</v>
      </c>
      <c r="S10" s="719" t="s">
        <v>635</v>
      </c>
      <c r="T10" s="719" t="s">
        <v>635</v>
      </c>
      <c r="U10" s="719" t="s">
        <v>635</v>
      </c>
      <c r="V10" s="719" t="s">
        <v>635</v>
      </c>
      <c r="W10" s="719" t="s">
        <v>635</v>
      </c>
      <c r="X10" s="719" t="s">
        <v>635</v>
      </c>
      <c r="Y10" s="719" t="s">
        <v>635</v>
      </c>
      <c r="Z10" s="719" t="s">
        <v>635</v>
      </c>
      <c r="AA10" s="719" t="s">
        <v>635</v>
      </c>
      <c r="AB10" s="719" t="s">
        <v>635</v>
      </c>
      <c r="AC10" s="719" t="s">
        <v>635</v>
      </c>
      <c r="AD10" s="696"/>
      <c r="AE10" s="696"/>
    </row>
    <row r="11" spans="1:31" ht="15.75" thickBot="1">
      <c r="A11" s="718" t="s">
        <v>655</v>
      </c>
      <c r="B11" s="719" t="s">
        <v>635</v>
      </c>
      <c r="C11" s="719" t="s">
        <v>635</v>
      </c>
      <c r="D11" s="719" t="s">
        <v>635</v>
      </c>
      <c r="E11" s="719" t="s">
        <v>635</v>
      </c>
      <c r="F11" s="719" t="s">
        <v>635</v>
      </c>
      <c r="G11" s="719" t="s">
        <v>635</v>
      </c>
      <c r="H11" s="719" t="s">
        <v>635</v>
      </c>
      <c r="I11" s="719" t="s">
        <v>635</v>
      </c>
      <c r="J11" s="719" t="s">
        <v>635</v>
      </c>
      <c r="K11" s="719" t="s">
        <v>635</v>
      </c>
      <c r="L11" s="720" t="s">
        <v>635</v>
      </c>
      <c r="M11" s="720" t="s">
        <v>635</v>
      </c>
      <c r="N11" s="720" t="s">
        <v>635</v>
      </c>
      <c r="O11" s="719" t="s">
        <v>635</v>
      </c>
      <c r="P11" s="719" t="s">
        <v>635</v>
      </c>
      <c r="Q11" s="719" t="s">
        <v>635</v>
      </c>
      <c r="R11" s="719" t="s">
        <v>635</v>
      </c>
      <c r="S11" s="719" t="s">
        <v>635</v>
      </c>
      <c r="T11" s="719" t="s">
        <v>635</v>
      </c>
      <c r="U11" s="719" t="s">
        <v>635</v>
      </c>
      <c r="V11" s="719" t="s">
        <v>635</v>
      </c>
      <c r="W11" s="719" t="s">
        <v>635</v>
      </c>
      <c r="X11" s="719" t="s">
        <v>635</v>
      </c>
      <c r="Y11" s="719" t="s">
        <v>635</v>
      </c>
      <c r="Z11" s="719" t="s">
        <v>635</v>
      </c>
      <c r="AA11" s="719" t="s">
        <v>635</v>
      </c>
      <c r="AB11" s="719" t="s">
        <v>635</v>
      </c>
      <c r="AC11" s="719" t="s">
        <v>635</v>
      </c>
      <c r="AD11" s="696"/>
      <c r="AE11" s="696"/>
    </row>
    <row r="12" spans="1:31" ht="15.75" thickBot="1">
      <c r="A12" s="718" t="s">
        <v>656</v>
      </c>
      <c r="B12" s="719" t="s">
        <v>635</v>
      </c>
      <c r="C12" s="719" t="s">
        <v>635</v>
      </c>
      <c r="D12" s="719" t="s">
        <v>635</v>
      </c>
      <c r="E12" s="719" t="s">
        <v>635</v>
      </c>
      <c r="F12" s="719" t="s">
        <v>635</v>
      </c>
      <c r="G12" s="719" t="s">
        <v>635</v>
      </c>
      <c r="H12" s="719" t="s">
        <v>635</v>
      </c>
      <c r="I12" s="719" t="s">
        <v>635</v>
      </c>
      <c r="J12" s="720" t="s">
        <v>635</v>
      </c>
      <c r="K12" s="720" t="s">
        <v>635</v>
      </c>
      <c r="L12" s="720" t="s">
        <v>635</v>
      </c>
      <c r="M12" s="719" t="s">
        <v>635</v>
      </c>
      <c r="N12" s="719" t="s">
        <v>635</v>
      </c>
      <c r="O12" s="719" t="s">
        <v>635</v>
      </c>
      <c r="P12" s="719" t="s">
        <v>635</v>
      </c>
      <c r="Q12" s="719" t="s">
        <v>635</v>
      </c>
      <c r="R12" s="719" t="s">
        <v>635</v>
      </c>
      <c r="S12" s="719" t="s">
        <v>635</v>
      </c>
      <c r="T12" s="719" t="s">
        <v>635</v>
      </c>
      <c r="U12" s="719" t="s">
        <v>635</v>
      </c>
      <c r="V12" s="719" t="s">
        <v>635</v>
      </c>
      <c r="W12" s="719" t="s">
        <v>635</v>
      </c>
      <c r="X12" s="719" t="s">
        <v>635</v>
      </c>
      <c r="Y12" s="719" t="s">
        <v>635</v>
      </c>
      <c r="Z12" s="719" t="s">
        <v>635</v>
      </c>
      <c r="AA12" s="719" t="s">
        <v>635</v>
      </c>
      <c r="AB12" s="719" t="s">
        <v>635</v>
      </c>
      <c r="AC12" s="719" t="s">
        <v>635</v>
      </c>
      <c r="AD12" s="696"/>
      <c r="AE12" s="696"/>
    </row>
    <row r="13" spans="1:31" ht="15.75" thickBot="1">
      <c r="A13" s="718" t="s">
        <v>657</v>
      </c>
      <c r="B13" s="719" t="s">
        <v>635</v>
      </c>
      <c r="C13" s="719" t="s">
        <v>635</v>
      </c>
      <c r="D13" s="719" t="s">
        <v>635</v>
      </c>
      <c r="E13" s="719" t="s">
        <v>635</v>
      </c>
      <c r="F13" s="719" t="s">
        <v>635</v>
      </c>
      <c r="G13" s="719" t="s">
        <v>635</v>
      </c>
      <c r="H13" s="719" t="s">
        <v>635</v>
      </c>
      <c r="I13" s="719" t="s">
        <v>635</v>
      </c>
      <c r="J13" s="719" t="s">
        <v>635</v>
      </c>
      <c r="K13" s="719" t="s">
        <v>635</v>
      </c>
      <c r="L13" s="720" t="s">
        <v>635</v>
      </c>
      <c r="M13" s="720" t="s">
        <v>635</v>
      </c>
      <c r="N13" s="720" t="s">
        <v>635</v>
      </c>
      <c r="O13" s="720" t="s">
        <v>635</v>
      </c>
      <c r="P13" s="719" t="s">
        <v>635</v>
      </c>
      <c r="Q13" s="719" t="s">
        <v>635</v>
      </c>
      <c r="R13" s="719" t="s">
        <v>635</v>
      </c>
      <c r="S13" s="719" t="s">
        <v>635</v>
      </c>
      <c r="T13" s="719" t="s">
        <v>635</v>
      </c>
      <c r="U13" s="719" t="s">
        <v>635</v>
      </c>
      <c r="V13" s="719" t="s">
        <v>635</v>
      </c>
      <c r="W13" s="719" t="s">
        <v>635</v>
      </c>
      <c r="X13" s="719" t="s">
        <v>635</v>
      </c>
      <c r="Y13" s="719" t="s">
        <v>635</v>
      </c>
      <c r="Z13" s="719" t="s">
        <v>635</v>
      </c>
      <c r="AA13" s="719" t="s">
        <v>635</v>
      </c>
      <c r="AB13" s="719" t="s">
        <v>635</v>
      </c>
      <c r="AC13" s="719" t="s">
        <v>635</v>
      </c>
      <c r="AD13" s="696"/>
      <c r="AE13" s="696"/>
    </row>
    <row r="14" spans="1:31" ht="15.75" thickBot="1">
      <c r="A14" s="718" t="s">
        <v>658</v>
      </c>
      <c r="B14" s="719" t="s">
        <v>635</v>
      </c>
      <c r="C14" s="719" t="s">
        <v>635</v>
      </c>
      <c r="D14" s="719" t="s">
        <v>635</v>
      </c>
      <c r="E14" s="719" t="s">
        <v>635</v>
      </c>
      <c r="F14" s="719" t="s">
        <v>635</v>
      </c>
      <c r="G14" s="719" t="s">
        <v>635</v>
      </c>
      <c r="H14" s="719" t="s">
        <v>635</v>
      </c>
      <c r="I14" s="719" t="s">
        <v>635</v>
      </c>
      <c r="J14" s="719" t="s">
        <v>635</v>
      </c>
      <c r="K14" s="719" t="s">
        <v>635</v>
      </c>
      <c r="L14" s="720" t="s">
        <v>635</v>
      </c>
      <c r="M14" s="720" t="s">
        <v>635</v>
      </c>
      <c r="N14" s="720" t="s">
        <v>635</v>
      </c>
      <c r="O14" s="720" t="s">
        <v>635</v>
      </c>
      <c r="P14" s="720" t="s">
        <v>635</v>
      </c>
      <c r="Q14" s="720" t="s">
        <v>635</v>
      </c>
      <c r="R14" s="720" t="s">
        <v>635</v>
      </c>
      <c r="S14" s="720" t="s">
        <v>635</v>
      </c>
      <c r="T14" s="720" t="s">
        <v>635</v>
      </c>
      <c r="U14" s="720" t="s">
        <v>635</v>
      </c>
      <c r="V14" s="720" t="s">
        <v>635</v>
      </c>
      <c r="W14" s="719" t="s">
        <v>635</v>
      </c>
      <c r="X14" s="719" t="s">
        <v>635</v>
      </c>
      <c r="Y14" s="719" t="s">
        <v>635</v>
      </c>
      <c r="Z14" s="719" t="s">
        <v>635</v>
      </c>
      <c r="AA14" s="719" t="s">
        <v>635</v>
      </c>
      <c r="AB14" s="719" t="s">
        <v>635</v>
      </c>
      <c r="AC14" s="719" t="s">
        <v>635</v>
      </c>
      <c r="AD14" s="696"/>
      <c r="AE14" s="696"/>
    </row>
    <row r="15" spans="1:31" ht="15.75" thickBot="1">
      <c r="A15" s="718" t="s">
        <v>659</v>
      </c>
      <c r="B15" s="719" t="s">
        <v>635</v>
      </c>
      <c r="C15" s="719" t="s">
        <v>635</v>
      </c>
      <c r="D15" s="719" t="s">
        <v>635</v>
      </c>
      <c r="E15" s="719" t="s">
        <v>635</v>
      </c>
      <c r="F15" s="719" t="s">
        <v>635</v>
      </c>
      <c r="G15" s="719" t="s">
        <v>635</v>
      </c>
      <c r="H15" s="719" t="s">
        <v>635</v>
      </c>
      <c r="I15" s="719" t="s">
        <v>635</v>
      </c>
      <c r="J15" s="719" t="s">
        <v>635</v>
      </c>
      <c r="K15" s="719" t="s">
        <v>635</v>
      </c>
      <c r="L15" s="720" t="s">
        <v>635</v>
      </c>
      <c r="M15" s="720" t="s">
        <v>635</v>
      </c>
      <c r="N15" s="720" t="s">
        <v>635</v>
      </c>
      <c r="O15" s="720" t="s">
        <v>635</v>
      </c>
      <c r="P15" s="719" t="s">
        <v>635</v>
      </c>
      <c r="Q15" s="719" t="s">
        <v>635</v>
      </c>
      <c r="R15" s="719" t="s">
        <v>635</v>
      </c>
      <c r="S15" s="719" t="s">
        <v>635</v>
      </c>
      <c r="T15" s="719" t="s">
        <v>635</v>
      </c>
      <c r="U15" s="719" t="s">
        <v>635</v>
      </c>
      <c r="V15" s="719" t="s">
        <v>635</v>
      </c>
      <c r="W15" s="719" t="s">
        <v>635</v>
      </c>
      <c r="X15" s="719" t="s">
        <v>635</v>
      </c>
      <c r="Y15" s="719" t="s">
        <v>635</v>
      </c>
      <c r="Z15" s="719" t="s">
        <v>635</v>
      </c>
      <c r="AA15" s="719" t="s">
        <v>635</v>
      </c>
      <c r="AB15" s="719" t="s">
        <v>635</v>
      </c>
      <c r="AC15" s="719" t="s">
        <v>635</v>
      </c>
      <c r="AD15" s="696"/>
      <c r="AE15" s="696"/>
    </row>
    <row r="16" spans="1:31" ht="15.75" thickBot="1">
      <c r="A16" s="718" t="s">
        <v>660</v>
      </c>
      <c r="B16" s="719" t="s">
        <v>635</v>
      </c>
      <c r="C16" s="719" t="s">
        <v>635</v>
      </c>
      <c r="D16" s="719" t="s">
        <v>635</v>
      </c>
      <c r="E16" s="719" t="s">
        <v>635</v>
      </c>
      <c r="F16" s="719" t="s">
        <v>635</v>
      </c>
      <c r="G16" s="719" t="s">
        <v>635</v>
      </c>
      <c r="H16" s="719" t="s">
        <v>635</v>
      </c>
      <c r="I16" s="719" t="s">
        <v>635</v>
      </c>
      <c r="J16" s="719" t="s">
        <v>635</v>
      </c>
      <c r="K16" s="719" t="s">
        <v>635</v>
      </c>
      <c r="L16" s="719" t="s">
        <v>635</v>
      </c>
      <c r="M16" s="720" t="s">
        <v>635</v>
      </c>
      <c r="N16" s="720" t="s">
        <v>635</v>
      </c>
      <c r="O16" s="720" t="s">
        <v>635</v>
      </c>
      <c r="P16" s="720" t="s">
        <v>635</v>
      </c>
      <c r="Q16" s="720" t="s">
        <v>635</v>
      </c>
      <c r="R16" s="720" t="s">
        <v>635</v>
      </c>
      <c r="S16" s="720" t="s">
        <v>635</v>
      </c>
      <c r="T16" s="720" t="s">
        <v>635</v>
      </c>
      <c r="U16" s="720" t="s">
        <v>635</v>
      </c>
      <c r="V16" s="720" t="s">
        <v>635</v>
      </c>
      <c r="W16" s="719" t="s">
        <v>635</v>
      </c>
      <c r="X16" s="719" t="s">
        <v>635</v>
      </c>
      <c r="Y16" s="719" t="s">
        <v>635</v>
      </c>
      <c r="Z16" s="719" t="s">
        <v>635</v>
      </c>
      <c r="AA16" s="719" t="s">
        <v>635</v>
      </c>
      <c r="AB16" s="719" t="s">
        <v>635</v>
      </c>
      <c r="AC16" s="719" t="s">
        <v>635</v>
      </c>
      <c r="AD16" s="696"/>
      <c r="AE16" s="696"/>
    </row>
    <row r="17" spans="1:31" ht="15.75" thickBot="1">
      <c r="A17" s="718" t="s">
        <v>661</v>
      </c>
      <c r="B17" s="719" t="s">
        <v>635</v>
      </c>
      <c r="C17" s="719" t="s">
        <v>635</v>
      </c>
      <c r="D17" s="719" t="s">
        <v>635</v>
      </c>
      <c r="E17" s="719" t="s">
        <v>635</v>
      </c>
      <c r="F17" s="719" t="s">
        <v>635</v>
      </c>
      <c r="G17" s="719" t="s">
        <v>635</v>
      </c>
      <c r="H17" s="719" t="s">
        <v>635</v>
      </c>
      <c r="I17" s="719" t="s">
        <v>635</v>
      </c>
      <c r="J17" s="719" t="s">
        <v>635</v>
      </c>
      <c r="K17" s="719" t="s">
        <v>635</v>
      </c>
      <c r="L17" s="719" t="s">
        <v>635</v>
      </c>
      <c r="M17" s="719" t="s">
        <v>635</v>
      </c>
      <c r="N17" s="719" t="s">
        <v>635</v>
      </c>
      <c r="O17" s="720" t="s">
        <v>635</v>
      </c>
      <c r="P17" s="720" t="s">
        <v>635</v>
      </c>
      <c r="Q17" s="720" t="s">
        <v>635</v>
      </c>
      <c r="R17" s="719" t="s">
        <v>635</v>
      </c>
      <c r="S17" s="719" t="s">
        <v>635</v>
      </c>
      <c r="T17" s="719" t="s">
        <v>635</v>
      </c>
      <c r="U17" s="719" t="s">
        <v>635</v>
      </c>
      <c r="V17" s="719" t="s">
        <v>635</v>
      </c>
      <c r="W17" s="719" t="s">
        <v>635</v>
      </c>
      <c r="X17" s="719" t="s">
        <v>635</v>
      </c>
      <c r="Y17" s="719" t="s">
        <v>635</v>
      </c>
      <c r="Z17" s="719" t="s">
        <v>635</v>
      </c>
      <c r="AA17" s="719" t="s">
        <v>635</v>
      </c>
      <c r="AB17" s="719" t="s">
        <v>635</v>
      </c>
      <c r="AC17" s="719" t="s">
        <v>635</v>
      </c>
      <c r="AD17" s="721" t="s">
        <v>635</v>
      </c>
      <c r="AE17" s="721" t="s">
        <v>635</v>
      </c>
    </row>
    <row r="18" spans="1:31" ht="15.75" thickBot="1">
      <c r="A18" s="718" t="s">
        <v>662</v>
      </c>
      <c r="B18" s="719" t="s">
        <v>635</v>
      </c>
      <c r="C18" s="719" t="s">
        <v>635</v>
      </c>
      <c r="D18" s="719" t="s">
        <v>635</v>
      </c>
      <c r="E18" s="719" t="s">
        <v>635</v>
      </c>
      <c r="F18" s="719" t="s">
        <v>635</v>
      </c>
      <c r="G18" s="719" t="s">
        <v>635</v>
      </c>
      <c r="H18" s="719" t="s">
        <v>635</v>
      </c>
      <c r="I18" s="719" t="s">
        <v>635</v>
      </c>
      <c r="J18" s="719" t="s">
        <v>663</v>
      </c>
      <c r="K18" s="719" t="s">
        <v>635</v>
      </c>
      <c r="L18" s="719" t="s">
        <v>635</v>
      </c>
      <c r="M18" s="719" t="s">
        <v>635</v>
      </c>
      <c r="N18" s="720" t="s">
        <v>635</v>
      </c>
      <c r="O18" s="720" t="s">
        <v>635</v>
      </c>
      <c r="P18" s="720" t="s">
        <v>635</v>
      </c>
      <c r="Q18" s="720" t="s">
        <v>635</v>
      </c>
      <c r="R18" s="720" t="s">
        <v>635</v>
      </c>
      <c r="S18" s="720" t="s">
        <v>635</v>
      </c>
      <c r="T18" s="720" t="s">
        <v>635</v>
      </c>
      <c r="U18" s="720" t="s">
        <v>635</v>
      </c>
      <c r="V18" s="720" t="s">
        <v>635</v>
      </c>
      <c r="W18" s="719" t="s">
        <v>635</v>
      </c>
      <c r="X18" s="719" t="s">
        <v>635</v>
      </c>
      <c r="Y18" s="719" t="s">
        <v>635</v>
      </c>
      <c r="Z18" s="719" t="s">
        <v>635</v>
      </c>
      <c r="AA18" s="719" t="s">
        <v>635</v>
      </c>
      <c r="AB18" s="719" t="s">
        <v>635</v>
      </c>
      <c r="AC18" s="719" t="s">
        <v>635</v>
      </c>
      <c r="AD18" s="696"/>
      <c r="AE18" s="696"/>
    </row>
    <row r="19" spans="1:31" ht="15.75" thickBot="1">
      <c r="A19" s="718" t="s">
        <v>664</v>
      </c>
      <c r="B19" s="719" t="s">
        <v>635</v>
      </c>
      <c r="C19" s="719" t="s">
        <v>635</v>
      </c>
      <c r="D19" s="719" t="s">
        <v>635</v>
      </c>
      <c r="E19" s="719" t="s">
        <v>635</v>
      </c>
      <c r="F19" s="719" t="s">
        <v>635</v>
      </c>
      <c r="G19" s="719" t="s">
        <v>635</v>
      </c>
      <c r="H19" s="719" t="s">
        <v>635</v>
      </c>
      <c r="I19" s="719" t="s">
        <v>635</v>
      </c>
      <c r="J19" s="719" t="s">
        <v>635</v>
      </c>
      <c r="K19" s="719" t="s">
        <v>635</v>
      </c>
      <c r="L19" s="719" t="s">
        <v>635</v>
      </c>
      <c r="M19" s="720" t="s">
        <v>635</v>
      </c>
      <c r="N19" s="720" t="s">
        <v>635</v>
      </c>
      <c r="O19" s="720" t="s">
        <v>635</v>
      </c>
      <c r="P19" s="720" t="s">
        <v>635</v>
      </c>
      <c r="Q19" s="719" t="s">
        <v>635</v>
      </c>
      <c r="R19" s="719" t="s">
        <v>635</v>
      </c>
      <c r="S19" s="719" t="s">
        <v>635</v>
      </c>
      <c r="T19" s="719" t="s">
        <v>635</v>
      </c>
      <c r="U19" s="719" t="s">
        <v>635</v>
      </c>
      <c r="V19" s="719" t="s">
        <v>635</v>
      </c>
      <c r="W19" s="719" t="s">
        <v>635</v>
      </c>
      <c r="X19" s="719" t="s">
        <v>635</v>
      </c>
      <c r="Y19" s="719" t="s">
        <v>635</v>
      </c>
      <c r="Z19" s="719" t="s">
        <v>635</v>
      </c>
      <c r="AA19" s="719" t="s">
        <v>635</v>
      </c>
      <c r="AB19" s="719" t="s">
        <v>635</v>
      </c>
      <c r="AC19" s="719" t="s">
        <v>635</v>
      </c>
      <c r="AD19" s="721" t="s">
        <v>635</v>
      </c>
      <c r="AE19" s="721" t="s">
        <v>635</v>
      </c>
    </row>
    <row r="20" spans="1:31" ht="15.75" thickBot="1">
      <c r="A20" s="718" t="s">
        <v>665</v>
      </c>
      <c r="B20" s="719" t="s">
        <v>635</v>
      </c>
      <c r="C20" s="719" t="s">
        <v>635</v>
      </c>
      <c r="D20" s="719" t="s">
        <v>635</v>
      </c>
      <c r="E20" s="719" t="s">
        <v>635</v>
      </c>
      <c r="F20" s="719" t="s">
        <v>635</v>
      </c>
      <c r="G20" s="719" t="s">
        <v>635</v>
      </c>
      <c r="H20" s="719" t="s">
        <v>635</v>
      </c>
      <c r="I20" s="719" t="s">
        <v>635</v>
      </c>
      <c r="J20" s="719" t="s">
        <v>635</v>
      </c>
      <c r="K20" s="719" t="s">
        <v>635</v>
      </c>
      <c r="L20" s="719" t="s">
        <v>635</v>
      </c>
      <c r="M20" s="720" t="s">
        <v>635</v>
      </c>
      <c r="N20" s="720" t="s">
        <v>635</v>
      </c>
      <c r="O20" s="720" t="s">
        <v>635</v>
      </c>
      <c r="P20" s="720" t="s">
        <v>635</v>
      </c>
      <c r="Q20" s="720" t="s">
        <v>635</v>
      </c>
      <c r="R20" s="720" t="s">
        <v>635</v>
      </c>
      <c r="S20" s="720" t="s">
        <v>635</v>
      </c>
      <c r="T20" s="720" t="s">
        <v>635</v>
      </c>
      <c r="U20" s="720" t="s">
        <v>635</v>
      </c>
      <c r="V20" s="720" t="s">
        <v>635</v>
      </c>
      <c r="W20" s="720" t="s">
        <v>635</v>
      </c>
      <c r="X20" s="720" t="s">
        <v>635</v>
      </c>
      <c r="Y20" s="719" t="s">
        <v>635</v>
      </c>
      <c r="Z20" s="719" t="s">
        <v>635</v>
      </c>
      <c r="AA20" s="719" t="s">
        <v>635</v>
      </c>
      <c r="AB20" s="719" t="s">
        <v>635</v>
      </c>
      <c r="AC20" s="719" t="s">
        <v>635</v>
      </c>
      <c r="AD20" s="696"/>
      <c r="AE20" s="696"/>
    </row>
    <row r="21" spans="1:31" ht="15.75" thickBot="1">
      <c r="A21" s="718" t="s">
        <v>666</v>
      </c>
      <c r="B21" s="719" t="s">
        <v>635</v>
      </c>
      <c r="C21" s="719" t="s">
        <v>635</v>
      </c>
      <c r="D21" s="719" t="s">
        <v>635</v>
      </c>
      <c r="E21" s="719" t="s">
        <v>635</v>
      </c>
      <c r="F21" s="719" t="s">
        <v>635</v>
      </c>
      <c r="G21" s="719" t="s">
        <v>635</v>
      </c>
      <c r="H21" s="719" t="s">
        <v>635</v>
      </c>
      <c r="I21" s="719" t="s">
        <v>635</v>
      </c>
      <c r="J21" s="719" t="s">
        <v>635</v>
      </c>
      <c r="K21" s="719" t="s">
        <v>635</v>
      </c>
      <c r="L21" s="719" t="s">
        <v>635</v>
      </c>
      <c r="M21" s="719" t="s">
        <v>635</v>
      </c>
      <c r="N21" s="719" t="s">
        <v>635</v>
      </c>
      <c r="O21" s="719" t="s">
        <v>635</v>
      </c>
      <c r="P21" s="720" t="s">
        <v>635</v>
      </c>
      <c r="Q21" s="720" t="s">
        <v>635</v>
      </c>
      <c r="R21" s="720" t="s">
        <v>635</v>
      </c>
      <c r="S21" s="720" t="s">
        <v>635</v>
      </c>
      <c r="T21" s="719" t="s">
        <v>635</v>
      </c>
      <c r="U21" s="719" t="s">
        <v>635</v>
      </c>
      <c r="V21" s="719" t="s">
        <v>635</v>
      </c>
      <c r="W21" s="719" t="s">
        <v>635</v>
      </c>
      <c r="X21" s="719" t="s">
        <v>635</v>
      </c>
      <c r="Y21" s="719" t="s">
        <v>635</v>
      </c>
      <c r="Z21" s="719" t="s">
        <v>635</v>
      </c>
      <c r="AA21" s="719" t="s">
        <v>635</v>
      </c>
      <c r="AB21" s="719" t="s">
        <v>635</v>
      </c>
      <c r="AC21" s="719" t="s">
        <v>635</v>
      </c>
      <c r="AD21" s="696"/>
      <c r="AE21" s="696"/>
    </row>
    <row r="22" spans="1:31" ht="15.75" thickBot="1">
      <c r="A22" s="718" t="s">
        <v>667</v>
      </c>
      <c r="B22" s="719" t="s">
        <v>635</v>
      </c>
      <c r="C22" s="719" t="s">
        <v>635</v>
      </c>
      <c r="D22" s="719" t="s">
        <v>635</v>
      </c>
      <c r="E22" s="719" t="s">
        <v>635</v>
      </c>
      <c r="F22" s="719" t="s">
        <v>635</v>
      </c>
      <c r="G22" s="719" t="s">
        <v>635</v>
      </c>
      <c r="H22" s="719" t="s">
        <v>635</v>
      </c>
      <c r="I22" s="719" t="s">
        <v>635</v>
      </c>
      <c r="J22" s="719" t="s">
        <v>635</v>
      </c>
      <c r="K22" s="719" t="s">
        <v>635</v>
      </c>
      <c r="L22" s="719" t="s">
        <v>635</v>
      </c>
      <c r="M22" s="719" t="s">
        <v>635</v>
      </c>
      <c r="N22" s="719" t="s">
        <v>635</v>
      </c>
      <c r="O22" s="719" t="s">
        <v>635</v>
      </c>
      <c r="P22" s="719" t="s">
        <v>635</v>
      </c>
      <c r="Q22" s="719" t="s">
        <v>635</v>
      </c>
      <c r="R22" s="719" t="s">
        <v>635</v>
      </c>
      <c r="S22" s="719" t="s">
        <v>635</v>
      </c>
      <c r="T22" s="720" t="s">
        <v>635</v>
      </c>
      <c r="U22" s="720" t="s">
        <v>635</v>
      </c>
      <c r="V22" s="720" t="s">
        <v>635</v>
      </c>
      <c r="W22" s="720" t="s">
        <v>635</v>
      </c>
      <c r="X22" s="720" t="s">
        <v>635</v>
      </c>
      <c r="Y22" s="720" t="s">
        <v>635</v>
      </c>
      <c r="Z22" s="719" t="s">
        <v>635</v>
      </c>
      <c r="AA22" s="719" t="s">
        <v>635</v>
      </c>
      <c r="AB22" s="719" t="s">
        <v>635</v>
      </c>
      <c r="AC22" s="719" t="s">
        <v>635</v>
      </c>
      <c r="AD22" s="696"/>
      <c r="AE22" s="696"/>
    </row>
    <row r="23" spans="1:31">
      <c r="A23" s="1072" t="s">
        <v>668</v>
      </c>
      <c r="B23" s="1073">
        <v>1</v>
      </c>
      <c r="C23" s="1073">
        <v>1</v>
      </c>
      <c r="D23" s="1073">
        <v>1</v>
      </c>
      <c r="E23" s="1073">
        <v>1</v>
      </c>
      <c r="F23" s="1073">
        <v>1</v>
      </c>
      <c r="G23" s="1073">
        <v>1</v>
      </c>
      <c r="H23" s="1073">
        <v>1</v>
      </c>
      <c r="I23" s="1073">
        <v>1</v>
      </c>
      <c r="J23" s="1073">
        <v>1</v>
      </c>
      <c r="K23" s="1073">
        <v>1</v>
      </c>
      <c r="L23" s="1073">
        <v>1</v>
      </c>
      <c r="M23" s="1073">
        <v>1</v>
      </c>
      <c r="N23" s="1073">
        <v>1</v>
      </c>
      <c r="O23" s="1073">
        <v>1</v>
      </c>
      <c r="P23" s="1073">
        <v>1</v>
      </c>
      <c r="Q23" s="1073">
        <v>1</v>
      </c>
      <c r="R23" s="1073">
        <v>1</v>
      </c>
      <c r="S23" s="1073">
        <v>1</v>
      </c>
      <c r="T23" s="1073">
        <v>1</v>
      </c>
      <c r="U23" s="1073">
        <v>1</v>
      </c>
      <c r="V23" s="1073">
        <v>1</v>
      </c>
      <c r="W23" s="1073">
        <v>1</v>
      </c>
      <c r="X23" s="1073">
        <v>1</v>
      </c>
      <c r="Y23" s="1073" t="s">
        <v>635</v>
      </c>
      <c r="Z23" s="1073" t="s">
        <v>635</v>
      </c>
      <c r="AA23" s="1073" t="s">
        <v>635</v>
      </c>
      <c r="AB23" s="1073" t="s">
        <v>635</v>
      </c>
      <c r="AC23" s="1073" t="s">
        <v>635</v>
      </c>
      <c r="AD23" s="696">
        <f t="shared" ref="AD23:AD35" si="0">SUM(B23:AC23)</f>
        <v>23</v>
      </c>
      <c r="AE23" s="722">
        <f t="shared" ref="AE23:AE35" si="1">AD23*4.33</f>
        <v>99.59</v>
      </c>
    </row>
    <row r="24" spans="1:31">
      <c r="A24" s="1072" t="s">
        <v>669</v>
      </c>
      <c r="B24" s="1073">
        <v>1</v>
      </c>
      <c r="C24" s="1073">
        <v>1</v>
      </c>
      <c r="D24" s="1073">
        <v>1</v>
      </c>
      <c r="E24" s="1073">
        <v>1</v>
      </c>
      <c r="F24" s="1073">
        <v>1</v>
      </c>
      <c r="G24" s="1073">
        <v>1</v>
      </c>
      <c r="H24" s="1073">
        <v>1</v>
      </c>
      <c r="I24" s="1073">
        <v>1</v>
      </c>
      <c r="J24" s="1073">
        <v>1</v>
      </c>
      <c r="K24" s="1073">
        <v>1</v>
      </c>
      <c r="L24" s="1073">
        <v>1</v>
      </c>
      <c r="M24" s="1073">
        <v>1</v>
      </c>
      <c r="N24" s="1073">
        <v>1</v>
      </c>
      <c r="O24" s="1073">
        <v>1</v>
      </c>
      <c r="P24" s="1073">
        <v>1</v>
      </c>
      <c r="Q24" s="1073">
        <v>1</v>
      </c>
      <c r="R24" s="1073">
        <v>1</v>
      </c>
      <c r="S24" s="1073">
        <v>1</v>
      </c>
      <c r="T24" s="1073">
        <v>1</v>
      </c>
      <c r="U24" s="1073">
        <v>1</v>
      </c>
      <c r="V24" s="1073">
        <v>1</v>
      </c>
      <c r="W24" s="1073">
        <v>1</v>
      </c>
      <c r="X24" s="1073">
        <v>1</v>
      </c>
      <c r="Y24" s="1073">
        <v>1</v>
      </c>
      <c r="Z24" s="1073" t="s">
        <v>635</v>
      </c>
      <c r="AA24" s="1073" t="s">
        <v>635</v>
      </c>
      <c r="AB24" s="1073" t="s">
        <v>635</v>
      </c>
      <c r="AC24" s="1073" t="s">
        <v>635</v>
      </c>
      <c r="AD24" s="696">
        <f t="shared" si="0"/>
        <v>24</v>
      </c>
      <c r="AE24" s="722">
        <f t="shared" si="1"/>
        <v>103.92</v>
      </c>
    </row>
    <row r="25" spans="1:31">
      <c r="A25" s="1074" t="s">
        <v>670</v>
      </c>
      <c r="B25" s="1075" t="s">
        <v>635</v>
      </c>
      <c r="C25" s="1075" t="s">
        <v>635</v>
      </c>
      <c r="D25" s="1075" t="s">
        <v>635</v>
      </c>
      <c r="E25" s="1075" t="s">
        <v>635</v>
      </c>
      <c r="F25" s="1075" t="s">
        <v>635</v>
      </c>
      <c r="G25" s="1075">
        <v>1</v>
      </c>
      <c r="H25" s="1075">
        <v>1</v>
      </c>
      <c r="I25" s="1075">
        <v>1</v>
      </c>
      <c r="J25" s="1075">
        <v>1</v>
      </c>
      <c r="K25" s="1075">
        <v>1</v>
      </c>
      <c r="L25" s="1075">
        <v>1</v>
      </c>
      <c r="M25" s="1075">
        <v>1</v>
      </c>
      <c r="N25" s="1075">
        <v>1</v>
      </c>
      <c r="O25" s="1075">
        <v>1</v>
      </c>
      <c r="P25" s="1075">
        <v>1</v>
      </c>
      <c r="Q25" s="1075">
        <v>1</v>
      </c>
      <c r="R25" s="1075">
        <v>1</v>
      </c>
      <c r="S25" s="1075">
        <v>1</v>
      </c>
      <c r="T25" s="1075">
        <v>1</v>
      </c>
      <c r="U25" s="1075">
        <v>1</v>
      </c>
      <c r="V25" s="1075">
        <v>1</v>
      </c>
      <c r="W25" s="1075">
        <v>1</v>
      </c>
      <c r="X25" s="1075">
        <v>1</v>
      </c>
      <c r="Y25" s="1075">
        <v>1</v>
      </c>
      <c r="Z25" s="1075" t="s">
        <v>635</v>
      </c>
      <c r="AA25" s="1075" t="s">
        <v>635</v>
      </c>
      <c r="AB25" s="1075" t="s">
        <v>635</v>
      </c>
      <c r="AC25" s="1075" t="s">
        <v>635</v>
      </c>
      <c r="AD25" s="696">
        <f t="shared" si="0"/>
        <v>19</v>
      </c>
      <c r="AE25" s="722">
        <f t="shared" si="1"/>
        <v>82.27</v>
      </c>
    </row>
    <row r="26" spans="1:31">
      <c r="A26" s="1074" t="s">
        <v>669</v>
      </c>
      <c r="B26" s="1075" t="s">
        <v>635</v>
      </c>
      <c r="C26" s="1075" t="s">
        <v>635</v>
      </c>
      <c r="D26" s="1075" t="s">
        <v>635</v>
      </c>
      <c r="E26" s="1075">
        <v>1</v>
      </c>
      <c r="F26" s="1075">
        <v>1</v>
      </c>
      <c r="G26" s="1075">
        <v>1</v>
      </c>
      <c r="H26" s="1075">
        <v>1</v>
      </c>
      <c r="I26" s="1075">
        <v>1</v>
      </c>
      <c r="J26" s="1075">
        <v>1</v>
      </c>
      <c r="K26" s="1075">
        <v>1</v>
      </c>
      <c r="L26" s="1075">
        <v>1</v>
      </c>
      <c r="M26" s="1075">
        <v>1</v>
      </c>
      <c r="N26" s="1075">
        <v>1</v>
      </c>
      <c r="O26" s="1075">
        <v>1</v>
      </c>
      <c r="P26" s="1075">
        <v>1</v>
      </c>
      <c r="Q26" s="1075">
        <v>1</v>
      </c>
      <c r="R26" s="1075">
        <v>1</v>
      </c>
      <c r="S26" s="1075">
        <v>1</v>
      </c>
      <c r="T26" s="1075">
        <v>1</v>
      </c>
      <c r="U26" s="1075">
        <v>1</v>
      </c>
      <c r="V26" s="1075">
        <v>1</v>
      </c>
      <c r="W26" s="1075">
        <v>1</v>
      </c>
      <c r="X26" s="1075">
        <v>1</v>
      </c>
      <c r="Y26" s="1075" t="s">
        <v>635</v>
      </c>
      <c r="Z26" s="1075" t="s">
        <v>635</v>
      </c>
      <c r="AA26" s="1075" t="s">
        <v>635</v>
      </c>
      <c r="AB26" s="1075" t="s">
        <v>635</v>
      </c>
      <c r="AC26" s="1075" t="s">
        <v>635</v>
      </c>
      <c r="AD26" s="696">
        <f t="shared" si="0"/>
        <v>20</v>
      </c>
      <c r="AE26" s="722">
        <f t="shared" si="1"/>
        <v>86.6</v>
      </c>
    </row>
    <row r="27" spans="1:31">
      <c r="A27" s="1076" t="s">
        <v>671</v>
      </c>
      <c r="B27" s="1077">
        <v>1</v>
      </c>
      <c r="C27" s="1077">
        <v>1</v>
      </c>
      <c r="D27" s="1077">
        <v>1</v>
      </c>
      <c r="E27" s="1077">
        <v>1</v>
      </c>
      <c r="F27" s="1077">
        <v>1</v>
      </c>
      <c r="G27" s="1077">
        <v>1</v>
      </c>
      <c r="H27" s="1077">
        <v>1</v>
      </c>
      <c r="I27" s="1077">
        <v>1</v>
      </c>
      <c r="J27" s="1077">
        <v>1</v>
      </c>
      <c r="K27" s="1077">
        <v>1</v>
      </c>
      <c r="L27" s="1077">
        <v>1</v>
      </c>
      <c r="M27" s="1077">
        <v>1</v>
      </c>
      <c r="N27" s="1077">
        <v>1</v>
      </c>
      <c r="O27" s="1077" t="s">
        <v>635</v>
      </c>
      <c r="P27" s="1077" t="s">
        <v>635</v>
      </c>
      <c r="Q27" s="1077" t="s">
        <v>635</v>
      </c>
      <c r="R27" s="1077" t="s">
        <v>635</v>
      </c>
      <c r="S27" s="1077" t="s">
        <v>635</v>
      </c>
      <c r="T27" s="1077" t="s">
        <v>635</v>
      </c>
      <c r="U27" s="1077" t="s">
        <v>635</v>
      </c>
      <c r="V27" s="1077" t="s">
        <v>635</v>
      </c>
      <c r="W27" s="1077" t="s">
        <v>635</v>
      </c>
      <c r="X27" s="1077" t="s">
        <v>635</v>
      </c>
      <c r="Y27" s="1077" t="s">
        <v>635</v>
      </c>
      <c r="Z27" s="1077" t="s">
        <v>635</v>
      </c>
      <c r="AA27" s="1077" t="s">
        <v>635</v>
      </c>
      <c r="AB27" s="1077" t="s">
        <v>635</v>
      </c>
      <c r="AC27" s="1077" t="s">
        <v>635</v>
      </c>
      <c r="AD27" s="696">
        <f t="shared" si="0"/>
        <v>13</v>
      </c>
      <c r="AE27" s="722">
        <f t="shared" si="1"/>
        <v>56.29</v>
      </c>
    </row>
    <row r="28" spans="1:31">
      <c r="A28" s="1076" t="s">
        <v>672</v>
      </c>
      <c r="B28" s="1077">
        <v>1</v>
      </c>
      <c r="C28" s="1077">
        <v>1</v>
      </c>
      <c r="D28" s="1077">
        <v>1</v>
      </c>
      <c r="E28" s="1077">
        <v>1</v>
      </c>
      <c r="F28" s="1077">
        <v>1</v>
      </c>
      <c r="G28" s="1077">
        <v>1</v>
      </c>
      <c r="H28" s="1077">
        <v>1</v>
      </c>
      <c r="I28" s="1077">
        <v>1</v>
      </c>
      <c r="J28" s="1077">
        <v>1</v>
      </c>
      <c r="K28" s="1077">
        <v>1</v>
      </c>
      <c r="L28" s="1077">
        <v>1</v>
      </c>
      <c r="M28" s="1077">
        <v>1</v>
      </c>
      <c r="N28" s="1077">
        <v>1</v>
      </c>
      <c r="O28" s="1077">
        <v>1</v>
      </c>
      <c r="P28" s="1077">
        <v>1</v>
      </c>
      <c r="Q28" s="1077">
        <v>1</v>
      </c>
      <c r="R28" s="1077">
        <v>1</v>
      </c>
      <c r="S28" s="1077">
        <v>1</v>
      </c>
      <c r="T28" s="1077">
        <v>1</v>
      </c>
      <c r="U28" s="1077">
        <v>1</v>
      </c>
      <c r="V28" s="1077">
        <v>1</v>
      </c>
      <c r="W28" s="1077">
        <v>1</v>
      </c>
      <c r="X28" s="1077">
        <v>1</v>
      </c>
      <c r="Y28" s="1077" t="s">
        <v>635</v>
      </c>
      <c r="Z28" s="1077" t="s">
        <v>635</v>
      </c>
      <c r="AA28" s="1077" t="s">
        <v>635</v>
      </c>
      <c r="AB28" s="1077" t="s">
        <v>635</v>
      </c>
      <c r="AC28" s="1077" t="s">
        <v>635</v>
      </c>
      <c r="AD28" s="696">
        <f t="shared" si="0"/>
        <v>23</v>
      </c>
      <c r="AE28" s="722">
        <f t="shared" si="1"/>
        <v>99.59</v>
      </c>
    </row>
    <row r="29" spans="1:31">
      <c r="A29" s="1078" t="s">
        <v>673</v>
      </c>
      <c r="B29" s="1079">
        <v>1</v>
      </c>
      <c r="C29" s="1079">
        <v>1</v>
      </c>
      <c r="D29" s="1079">
        <v>1</v>
      </c>
      <c r="E29" s="1079">
        <v>1</v>
      </c>
      <c r="F29" s="1079">
        <v>1</v>
      </c>
      <c r="G29" s="1079">
        <v>1</v>
      </c>
      <c r="H29" s="1079">
        <v>1</v>
      </c>
      <c r="I29" s="1079">
        <v>1</v>
      </c>
      <c r="J29" s="1079">
        <v>1</v>
      </c>
      <c r="K29" s="1079">
        <v>1</v>
      </c>
      <c r="L29" s="1079">
        <v>1</v>
      </c>
      <c r="M29" s="1079">
        <v>1</v>
      </c>
      <c r="N29" s="1079">
        <v>1</v>
      </c>
      <c r="O29" s="1079">
        <v>1</v>
      </c>
      <c r="P29" s="1079">
        <v>1</v>
      </c>
      <c r="Q29" s="1079">
        <v>1</v>
      </c>
      <c r="R29" s="1079">
        <v>1</v>
      </c>
      <c r="S29" s="1079">
        <v>1</v>
      </c>
      <c r="T29" s="1079">
        <v>1</v>
      </c>
      <c r="U29" s="1079">
        <v>1</v>
      </c>
      <c r="V29" s="1079">
        <v>1</v>
      </c>
      <c r="W29" s="1079">
        <v>1</v>
      </c>
      <c r="X29" s="1079">
        <v>1</v>
      </c>
      <c r="Y29" s="1079">
        <v>1</v>
      </c>
      <c r="Z29" s="1079" t="s">
        <v>635</v>
      </c>
      <c r="AA29" s="1079" t="s">
        <v>635</v>
      </c>
      <c r="AB29" s="1079" t="s">
        <v>635</v>
      </c>
      <c r="AC29" s="1079" t="s">
        <v>635</v>
      </c>
      <c r="AD29" s="696">
        <f t="shared" si="0"/>
        <v>24</v>
      </c>
      <c r="AE29" s="722">
        <f t="shared" si="1"/>
        <v>103.92</v>
      </c>
    </row>
    <row r="30" spans="1:31">
      <c r="A30" s="1078" t="s">
        <v>674</v>
      </c>
      <c r="B30" s="1079">
        <v>1</v>
      </c>
      <c r="C30" s="1079">
        <v>1</v>
      </c>
      <c r="D30" s="1079">
        <v>1</v>
      </c>
      <c r="E30" s="1079">
        <v>1</v>
      </c>
      <c r="F30" s="1079">
        <v>1</v>
      </c>
      <c r="G30" s="1079">
        <v>1</v>
      </c>
      <c r="H30" s="1079">
        <v>1</v>
      </c>
      <c r="I30" s="1079">
        <v>1</v>
      </c>
      <c r="J30" s="1079">
        <v>1</v>
      </c>
      <c r="K30" s="1079">
        <v>1</v>
      </c>
      <c r="L30" s="1079">
        <v>1</v>
      </c>
      <c r="M30" s="1079">
        <v>1</v>
      </c>
      <c r="N30" s="1079">
        <v>1</v>
      </c>
      <c r="O30" s="1079" t="s">
        <v>635</v>
      </c>
      <c r="P30" s="1079" t="s">
        <v>635</v>
      </c>
      <c r="Q30" s="1079" t="s">
        <v>635</v>
      </c>
      <c r="R30" s="1079" t="s">
        <v>635</v>
      </c>
      <c r="S30" s="1079" t="s">
        <v>635</v>
      </c>
      <c r="T30" s="1079" t="s">
        <v>635</v>
      </c>
      <c r="U30" s="1079" t="s">
        <v>635</v>
      </c>
      <c r="V30" s="1079" t="s">
        <v>635</v>
      </c>
      <c r="W30" s="1079" t="s">
        <v>635</v>
      </c>
      <c r="X30" s="1079" t="s">
        <v>635</v>
      </c>
      <c r="Y30" s="1079" t="s">
        <v>635</v>
      </c>
      <c r="Z30" s="1079" t="s">
        <v>635</v>
      </c>
      <c r="AA30" s="1079" t="s">
        <v>635</v>
      </c>
      <c r="AB30" s="1079" t="s">
        <v>635</v>
      </c>
      <c r="AC30" s="1079" t="s">
        <v>635</v>
      </c>
      <c r="AD30" s="696">
        <f t="shared" si="0"/>
        <v>13</v>
      </c>
      <c r="AE30" s="722">
        <f t="shared" si="1"/>
        <v>56.29</v>
      </c>
    </row>
    <row r="31" spans="1:31">
      <c r="A31" s="1078" t="s">
        <v>675</v>
      </c>
      <c r="B31" s="1079">
        <v>1</v>
      </c>
      <c r="C31" s="1079">
        <v>1</v>
      </c>
      <c r="D31" s="1079">
        <v>1</v>
      </c>
      <c r="E31" s="1079">
        <v>1</v>
      </c>
      <c r="F31" s="1079">
        <v>1</v>
      </c>
      <c r="G31" s="1079">
        <v>1</v>
      </c>
      <c r="H31" s="1079">
        <v>1</v>
      </c>
      <c r="I31" s="1079">
        <v>1</v>
      </c>
      <c r="J31" s="1079">
        <v>1</v>
      </c>
      <c r="K31" s="1079">
        <v>1</v>
      </c>
      <c r="L31" s="1079">
        <v>1</v>
      </c>
      <c r="M31" s="1079">
        <v>1</v>
      </c>
      <c r="N31" s="1079">
        <v>1</v>
      </c>
      <c r="O31" s="1079">
        <v>1</v>
      </c>
      <c r="P31" s="1079">
        <v>1</v>
      </c>
      <c r="Q31" s="1079">
        <v>1</v>
      </c>
      <c r="R31" s="1079">
        <v>1</v>
      </c>
      <c r="S31" s="1079">
        <v>1</v>
      </c>
      <c r="T31" s="1079">
        <v>1</v>
      </c>
      <c r="U31" s="1079">
        <v>1</v>
      </c>
      <c r="V31" s="1079">
        <v>1</v>
      </c>
      <c r="W31" s="1079">
        <v>1</v>
      </c>
      <c r="X31" s="1079">
        <v>1</v>
      </c>
      <c r="Y31" s="1079">
        <v>1</v>
      </c>
      <c r="Z31" s="1079" t="s">
        <v>635</v>
      </c>
      <c r="AA31" s="1079" t="s">
        <v>635</v>
      </c>
      <c r="AB31" s="1079" t="s">
        <v>635</v>
      </c>
      <c r="AC31" s="1079" t="s">
        <v>635</v>
      </c>
      <c r="AD31" s="696">
        <f t="shared" si="0"/>
        <v>24</v>
      </c>
      <c r="AE31" s="722">
        <f t="shared" si="1"/>
        <v>103.92</v>
      </c>
    </row>
    <row r="32" spans="1:31">
      <c r="A32" s="1080" t="s">
        <v>676</v>
      </c>
      <c r="B32" s="1081">
        <v>1</v>
      </c>
      <c r="C32" s="1081">
        <v>1</v>
      </c>
      <c r="D32" s="1081">
        <v>1</v>
      </c>
      <c r="E32" s="1081">
        <v>1</v>
      </c>
      <c r="F32" s="1081">
        <v>1</v>
      </c>
      <c r="G32" s="1081">
        <v>1</v>
      </c>
      <c r="H32" s="1081">
        <v>1</v>
      </c>
      <c r="I32" s="1081">
        <v>1</v>
      </c>
      <c r="J32" s="1081">
        <v>1</v>
      </c>
      <c r="K32" s="1081">
        <v>1</v>
      </c>
      <c r="L32" s="1081">
        <v>1</v>
      </c>
      <c r="M32" s="1081">
        <v>1</v>
      </c>
      <c r="N32" s="1081">
        <v>1</v>
      </c>
      <c r="O32" s="1081">
        <v>1</v>
      </c>
      <c r="P32" s="1081">
        <v>1</v>
      </c>
      <c r="Q32" s="1081">
        <v>1</v>
      </c>
      <c r="R32" s="1081">
        <v>1</v>
      </c>
      <c r="S32" s="1081">
        <v>1</v>
      </c>
      <c r="T32" s="1081">
        <v>1</v>
      </c>
      <c r="U32" s="1081">
        <v>1</v>
      </c>
      <c r="V32" s="1081">
        <v>1</v>
      </c>
      <c r="W32" s="1081">
        <v>1</v>
      </c>
      <c r="X32" s="1081">
        <v>1</v>
      </c>
      <c r="Y32" s="1081">
        <v>1</v>
      </c>
      <c r="Z32" s="1081" t="s">
        <v>635</v>
      </c>
      <c r="AA32" s="1081" t="s">
        <v>635</v>
      </c>
      <c r="AB32" s="1081" t="s">
        <v>635</v>
      </c>
      <c r="AC32" s="1081" t="s">
        <v>635</v>
      </c>
      <c r="AD32" s="696">
        <f t="shared" si="0"/>
        <v>24</v>
      </c>
      <c r="AE32" s="722">
        <f t="shared" si="1"/>
        <v>103.92</v>
      </c>
    </row>
    <row r="33" spans="1:31">
      <c r="A33" s="1080" t="s">
        <v>676</v>
      </c>
      <c r="B33" s="1081" t="s">
        <v>635</v>
      </c>
      <c r="C33" s="1081" t="s">
        <v>635</v>
      </c>
      <c r="D33" s="1081" t="s">
        <v>635</v>
      </c>
      <c r="E33" s="1081" t="s">
        <v>635</v>
      </c>
      <c r="F33" s="1081" t="s">
        <v>635</v>
      </c>
      <c r="G33" s="1081" t="s">
        <v>635</v>
      </c>
      <c r="H33" s="1081" t="s">
        <v>635</v>
      </c>
      <c r="I33" s="1081" t="s">
        <v>635</v>
      </c>
      <c r="J33" s="1081" t="s">
        <v>635</v>
      </c>
      <c r="K33" s="1081" t="s">
        <v>635</v>
      </c>
      <c r="L33" s="1081" t="s">
        <v>635</v>
      </c>
      <c r="M33" s="1081" t="s">
        <v>635</v>
      </c>
      <c r="N33" s="1081" t="s">
        <v>635</v>
      </c>
      <c r="O33" s="1081" t="s">
        <v>635</v>
      </c>
      <c r="P33" s="1081" t="s">
        <v>635</v>
      </c>
      <c r="Q33" s="1081" t="s">
        <v>635</v>
      </c>
      <c r="R33" s="1081" t="s">
        <v>635</v>
      </c>
      <c r="S33" s="1081" t="s">
        <v>635</v>
      </c>
      <c r="T33" s="1081" t="s">
        <v>635</v>
      </c>
      <c r="U33" s="1081" t="s">
        <v>635</v>
      </c>
      <c r="V33" s="1081" t="s">
        <v>635</v>
      </c>
      <c r="W33" s="1081" t="s">
        <v>635</v>
      </c>
      <c r="X33" s="1081" t="s">
        <v>635</v>
      </c>
      <c r="Y33" s="1081" t="s">
        <v>635</v>
      </c>
      <c r="Z33" s="1081" t="s">
        <v>635</v>
      </c>
      <c r="AA33" s="1081" t="s">
        <v>635</v>
      </c>
      <c r="AB33" s="1081" t="s">
        <v>635</v>
      </c>
      <c r="AC33" s="1081" t="s">
        <v>635</v>
      </c>
      <c r="AD33" s="696">
        <f t="shared" si="0"/>
        <v>0</v>
      </c>
      <c r="AE33" s="722">
        <f t="shared" si="1"/>
        <v>0</v>
      </c>
    </row>
    <row r="34" spans="1:31">
      <c r="A34" s="1080" t="s">
        <v>677</v>
      </c>
      <c r="B34" s="1081">
        <v>1</v>
      </c>
      <c r="C34" s="1081">
        <v>1</v>
      </c>
      <c r="D34" s="1081">
        <v>1</v>
      </c>
      <c r="E34" s="1081">
        <v>1</v>
      </c>
      <c r="F34" s="1081">
        <v>1</v>
      </c>
      <c r="G34" s="1081">
        <v>1</v>
      </c>
      <c r="H34" s="1081">
        <v>1</v>
      </c>
      <c r="I34" s="1081">
        <v>1</v>
      </c>
      <c r="J34" s="1081">
        <v>1</v>
      </c>
      <c r="K34" s="1081">
        <v>1</v>
      </c>
      <c r="L34" s="1081">
        <v>1</v>
      </c>
      <c r="M34" s="1081">
        <v>1</v>
      </c>
      <c r="N34" s="1081">
        <v>1</v>
      </c>
      <c r="O34" s="1081">
        <v>1</v>
      </c>
      <c r="P34" s="1081">
        <v>1</v>
      </c>
      <c r="Q34" s="1081">
        <v>1</v>
      </c>
      <c r="R34" s="1081">
        <v>1</v>
      </c>
      <c r="S34" s="1081">
        <v>1</v>
      </c>
      <c r="T34" s="1081">
        <v>1</v>
      </c>
      <c r="U34" s="1081">
        <v>1</v>
      </c>
      <c r="V34" s="1081">
        <v>1</v>
      </c>
      <c r="W34" s="1081">
        <v>1</v>
      </c>
      <c r="X34" s="1081">
        <v>1</v>
      </c>
      <c r="Y34" s="1081">
        <v>1</v>
      </c>
      <c r="Z34" s="1081" t="s">
        <v>635</v>
      </c>
      <c r="AA34" s="1081" t="s">
        <v>635</v>
      </c>
      <c r="AB34" s="1081" t="s">
        <v>635</v>
      </c>
      <c r="AC34" s="1081" t="s">
        <v>635</v>
      </c>
      <c r="AD34" s="696">
        <f t="shared" si="0"/>
        <v>24</v>
      </c>
      <c r="AE34" s="722">
        <f t="shared" si="1"/>
        <v>103.92</v>
      </c>
    </row>
    <row r="35" spans="1:31">
      <c r="A35" s="1080" t="s">
        <v>678</v>
      </c>
      <c r="B35" s="1081" t="s">
        <v>635</v>
      </c>
      <c r="C35" s="1081" t="s">
        <v>635</v>
      </c>
      <c r="D35" s="1081" t="s">
        <v>635</v>
      </c>
      <c r="E35" s="1081">
        <v>1</v>
      </c>
      <c r="F35" s="1081">
        <v>1</v>
      </c>
      <c r="G35" s="1081">
        <v>1</v>
      </c>
      <c r="H35" s="1081">
        <v>1</v>
      </c>
      <c r="I35" s="1081">
        <v>1</v>
      </c>
      <c r="J35" s="1081">
        <v>1</v>
      </c>
      <c r="K35" s="1081">
        <v>1</v>
      </c>
      <c r="L35" s="1081">
        <v>1</v>
      </c>
      <c r="M35" s="1081">
        <v>1</v>
      </c>
      <c r="N35" s="1081">
        <v>1</v>
      </c>
      <c r="O35" s="1081">
        <v>1</v>
      </c>
      <c r="P35" s="1081">
        <v>1</v>
      </c>
      <c r="Q35" s="1081">
        <v>1</v>
      </c>
      <c r="R35" s="1081">
        <v>1</v>
      </c>
      <c r="S35" s="1081">
        <v>1</v>
      </c>
      <c r="T35" s="1081">
        <v>1</v>
      </c>
      <c r="U35" s="1081">
        <v>1</v>
      </c>
      <c r="V35" s="1081">
        <v>1</v>
      </c>
      <c r="W35" s="1081">
        <v>1</v>
      </c>
      <c r="X35" s="1081" t="s">
        <v>635</v>
      </c>
      <c r="Y35" s="1081" t="s">
        <v>635</v>
      </c>
      <c r="Z35" s="1081" t="s">
        <v>635</v>
      </c>
      <c r="AA35" s="1081" t="s">
        <v>635</v>
      </c>
      <c r="AB35" s="1081" t="s">
        <v>635</v>
      </c>
      <c r="AC35" s="1081" t="s">
        <v>635</v>
      </c>
      <c r="AD35" s="696">
        <f t="shared" si="0"/>
        <v>19</v>
      </c>
      <c r="AE35" s="722">
        <f t="shared" si="1"/>
        <v>82.27</v>
      </c>
    </row>
    <row r="36" spans="1:31">
      <c r="A36" s="696"/>
      <c r="B36" s="723"/>
      <c r="C36" s="723"/>
      <c r="D36" s="723"/>
      <c r="E36" s="723"/>
      <c r="F36" s="723"/>
      <c r="G36" s="723"/>
      <c r="H36" s="723"/>
      <c r="I36" s="696"/>
      <c r="J36" s="696"/>
      <c r="K36" s="696"/>
      <c r="L36" s="696"/>
      <c r="M36" s="696"/>
      <c r="N36" s="696"/>
      <c r="O36" s="696"/>
      <c r="P36" s="696"/>
      <c r="Q36" s="696"/>
      <c r="R36" s="696"/>
      <c r="S36" s="696"/>
      <c r="T36" s="696"/>
      <c r="U36" s="696"/>
      <c r="V36" s="696"/>
      <c r="W36" s="696"/>
      <c r="X36" s="696"/>
      <c r="Y36" s="696"/>
      <c r="Z36" s="696"/>
      <c r="AA36" s="696"/>
      <c r="AB36" s="696"/>
      <c r="AC36" s="696"/>
      <c r="AD36" s="696"/>
      <c r="AE36" s="696"/>
    </row>
  </sheetData>
  <mergeCells count="1">
    <mergeCell ref="B3:AC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938A-0F35-4FB8-B76F-60EF09595100}">
  <sheetPr>
    <tabColor rgb="FF00B0F0"/>
  </sheetPr>
  <dimension ref="A1:AO95"/>
  <sheetViews>
    <sheetView zoomScale="90" zoomScaleNormal="90" workbookViewId="0">
      <pane xSplit="2" ySplit="10" topLeftCell="C14" activePane="bottomRight" state="frozen"/>
      <selection pane="topRight" activeCell="C1" sqref="C1"/>
      <selection pane="bottomLeft" activeCell="A11" sqref="A11"/>
      <selection pane="bottomRight" activeCell="B4" sqref="B4"/>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23" t="s">
        <v>686</v>
      </c>
      <c r="I4" s="2324"/>
      <c r="J4" s="2319" t="s">
        <v>687</v>
      </c>
      <c r="K4" s="2320"/>
      <c r="L4" s="2319" t="s">
        <v>688</v>
      </c>
      <c r="M4" s="2320"/>
      <c r="N4" s="2319" t="s">
        <v>689</v>
      </c>
      <c r="O4" s="2320"/>
      <c r="P4" s="2319" t="s">
        <v>690</v>
      </c>
      <c r="Q4" s="2320"/>
      <c r="R4" s="2319" t="s">
        <v>691</v>
      </c>
      <c r="S4" s="2320"/>
      <c r="X4" s="261"/>
    </row>
    <row r="5" spans="1:24" ht="15.75" thickTop="1">
      <c r="A5" s="292" t="s">
        <v>692</v>
      </c>
      <c r="B5" s="299" t="str">
        <f>'Area Calculations'!B4</f>
        <v>ERAU Residential Hall &amp; Garage Building</v>
      </c>
      <c r="C5" s="294"/>
      <c r="D5" s="263"/>
      <c r="E5" s="264"/>
      <c r="F5" s="279"/>
      <c r="G5" s="271" t="s">
        <v>693</v>
      </c>
      <c r="H5" s="2321" t="s">
        <v>694</v>
      </c>
      <c r="I5" s="2322"/>
      <c r="J5" s="2321" t="s">
        <v>695</v>
      </c>
      <c r="K5" s="2322"/>
      <c r="L5" s="2321" t="s">
        <v>696</v>
      </c>
      <c r="M5" s="2322"/>
      <c r="N5" s="2321" t="s">
        <v>697</v>
      </c>
      <c r="O5" s="2322"/>
      <c r="P5" s="2321" t="s">
        <v>698</v>
      </c>
      <c r="Q5" s="2322"/>
      <c r="R5" s="2321" t="s">
        <v>699</v>
      </c>
      <c r="S5" s="2322"/>
      <c r="X5" s="261"/>
    </row>
    <row r="6" spans="1:24">
      <c r="A6" s="1082" t="s">
        <v>700</v>
      </c>
      <c r="B6" s="1083" t="s">
        <v>701</v>
      </c>
      <c r="C6" s="415"/>
      <c r="D6" s="416"/>
      <c r="E6" s="417"/>
      <c r="F6" s="418"/>
      <c r="G6" s="419" t="s">
        <v>702</v>
      </c>
      <c r="H6" s="2325" t="s">
        <v>703</v>
      </c>
      <c r="I6" s="2326"/>
      <c r="J6" s="2325" t="s">
        <v>704</v>
      </c>
      <c r="K6" s="2326"/>
      <c r="L6" s="2325" t="s">
        <v>705</v>
      </c>
      <c r="M6" s="2326"/>
      <c r="N6" s="2325"/>
      <c r="O6" s="2326"/>
      <c r="P6" s="2313"/>
      <c r="Q6" s="2314"/>
      <c r="R6" s="2313"/>
      <c r="S6" s="2314"/>
      <c r="X6" s="261"/>
    </row>
    <row r="7" spans="1:24">
      <c r="A7" s="1082" t="s">
        <v>706</v>
      </c>
      <c r="B7" s="1084" t="s">
        <v>707</v>
      </c>
      <c r="C7" s="415"/>
      <c r="D7" s="416"/>
      <c r="E7" s="417"/>
      <c r="F7" s="418"/>
      <c r="G7" s="829" t="s">
        <v>708</v>
      </c>
      <c r="H7" s="2325" t="s">
        <v>709</v>
      </c>
      <c r="I7" s="2326"/>
      <c r="J7" s="2325" t="s">
        <v>710</v>
      </c>
      <c r="K7" s="2326"/>
      <c r="L7" s="2325" t="s">
        <v>711</v>
      </c>
      <c r="M7" s="2326"/>
      <c r="N7" s="2325"/>
      <c r="O7" s="2326"/>
      <c r="P7" s="2313"/>
      <c r="Q7" s="2314"/>
      <c r="R7" s="2313"/>
      <c r="S7" s="2314"/>
      <c r="X7" s="261"/>
    </row>
    <row r="8" spans="1:24">
      <c r="A8" s="1082" t="s">
        <v>712</v>
      </c>
      <c r="B8" s="1085"/>
      <c r="C8" s="415"/>
      <c r="D8" s="416"/>
      <c r="E8" s="417"/>
      <c r="F8" s="418"/>
      <c r="G8" s="829" t="s">
        <v>713</v>
      </c>
      <c r="H8" s="2327" t="s">
        <v>714</v>
      </c>
      <c r="I8" s="2328"/>
      <c r="J8" s="2327" t="s">
        <v>715</v>
      </c>
      <c r="K8" s="2328"/>
      <c r="L8" s="2327" t="s">
        <v>716</v>
      </c>
      <c r="M8" s="2328"/>
      <c r="N8" s="2329"/>
      <c r="O8" s="2328"/>
      <c r="P8" s="2315"/>
      <c r="Q8" s="2316"/>
      <c r="R8" s="2315"/>
      <c r="S8" s="2316"/>
      <c r="X8" s="261"/>
    </row>
    <row r="9" spans="1:24" ht="15.75" thickBot="1">
      <c r="A9" s="420"/>
      <c r="B9" s="421"/>
      <c r="C9" s="23"/>
      <c r="D9" s="265"/>
      <c r="E9" s="266"/>
      <c r="F9" s="283"/>
      <c r="G9" s="284" t="s">
        <v>717</v>
      </c>
      <c r="H9" s="2317">
        <f>I58</f>
        <v>59300</v>
      </c>
      <c r="I9" s="2318"/>
      <c r="J9" s="2317">
        <f>K58</f>
        <v>72365</v>
      </c>
      <c r="K9" s="2318"/>
      <c r="L9" s="2317">
        <f>M58</f>
        <v>105919.77</v>
      </c>
      <c r="M9" s="2318"/>
      <c r="N9" s="2330">
        <f>O58</f>
        <v>0</v>
      </c>
      <c r="O9" s="2330"/>
      <c r="P9" s="2317">
        <f>Q58</f>
        <v>0</v>
      </c>
      <c r="Q9" s="2318"/>
      <c r="R9" s="2317">
        <f>S58</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c r="A11" s="1086"/>
      <c r="B11" s="1087" t="s">
        <v>725</v>
      </c>
      <c r="C11" s="1088"/>
      <c r="D11" s="1089"/>
      <c r="E11" s="1089"/>
      <c r="F11" s="1090"/>
      <c r="G11" s="1091"/>
      <c r="H11" s="1092"/>
      <c r="I11" s="1093"/>
      <c r="J11" s="1092"/>
      <c r="K11" s="1094"/>
      <c r="L11" s="1092"/>
      <c r="M11" s="348"/>
      <c r="N11" s="1092"/>
      <c r="O11" s="1093"/>
      <c r="P11" s="1092"/>
      <c r="Q11" s="1093"/>
      <c r="R11" s="1092"/>
      <c r="S11" s="1093"/>
    </row>
    <row r="12" spans="1:24">
      <c r="A12" s="1086"/>
      <c r="B12" s="1095" t="s">
        <v>726</v>
      </c>
      <c r="C12" s="415"/>
      <c r="D12" s="422"/>
      <c r="E12" s="422"/>
      <c r="F12" s="418"/>
      <c r="G12" s="423"/>
      <c r="H12" s="1096" t="s">
        <v>727</v>
      </c>
      <c r="I12" s="1093"/>
      <c r="J12" s="1096" t="s">
        <v>727</v>
      </c>
      <c r="K12" s="1094"/>
      <c r="L12" s="1096" t="s">
        <v>727</v>
      </c>
      <c r="M12" s="1093"/>
      <c r="N12" s="1096"/>
      <c r="O12" s="1093"/>
      <c r="P12" s="1096"/>
      <c r="Q12" s="1093"/>
      <c r="R12" s="1096"/>
      <c r="S12" s="1093"/>
    </row>
    <row r="13" spans="1:24">
      <c r="A13" s="1097"/>
      <c r="B13" s="1095" t="s">
        <v>728</v>
      </c>
      <c r="C13" s="415"/>
      <c r="D13" s="422"/>
      <c r="E13" s="422"/>
      <c r="F13" s="418"/>
      <c r="G13" s="423"/>
      <c r="H13" s="1096" t="s">
        <v>727</v>
      </c>
      <c r="I13" s="1093"/>
      <c r="J13" s="1096" t="s">
        <v>727</v>
      </c>
      <c r="K13" s="1094"/>
      <c r="L13" s="1096" t="s">
        <v>727</v>
      </c>
      <c r="M13" s="1093"/>
      <c r="N13" s="1096"/>
      <c r="O13" s="1093"/>
      <c r="P13" s="1096"/>
      <c r="Q13" s="1093"/>
      <c r="R13" s="1096"/>
      <c r="S13" s="1093"/>
    </row>
    <row r="14" spans="1:24">
      <c r="A14" s="1086"/>
      <c r="B14" s="1098" t="s">
        <v>729</v>
      </c>
      <c r="C14" s="415"/>
      <c r="D14" s="422"/>
      <c r="E14" s="422"/>
      <c r="F14" s="418"/>
      <c r="G14" s="423"/>
      <c r="H14" s="1096" t="s">
        <v>730</v>
      </c>
      <c r="I14" s="1093"/>
      <c r="J14" s="1096" t="s">
        <v>730</v>
      </c>
      <c r="K14" s="1094"/>
      <c r="L14" s="1096" t="s">
        <v>730</v>
      </c>
      <c r="M14" s="1093"/>
      <c r="N14" s="1096"/>
      <c r="O14" s="1093"/>
      <c r="P14" s="1096"/>
      <c r="Q14" s="1093"/>
      <c r="R14" s="1096"/>
      <c r="S14" s="1093"/>
    </row>
    <row r="15" spans="1:24">
      <c r="A15" s="1097"/>
      <c r="B15" s="1098" t="s">
        <v>731</v>
      </c>
      <c r="C15" s="415"/>
      <c r="D15" s="422"/>
      <c r="E15" s="422"/>
      <c r="F15" s="418"/>
      <c r="G15" s="423"/>
      <c r="H15" s="1096" t="s">
        <v>727</v>
      </c>
      <c r="I15" s="1094"/>
      <c r="J15" s="1096" t="s">
        <v>727</v>
      </c>
      <c r="K15" s="1094"/>
      <c r="L15" s="1096" t="s">
        <v>727</v>
      </c>
      <c r="M15" s="1094"/>
      <c r="N15" s="1096"/>
      <c r="O15" s="1094"/>
      <c r="P15" s="1096"/>
      <c r="Q15" s="1094"/>
      <c r="R15" s="1096"/>
      <c r="S15" s="1094"/>
    </row>
    <row r="16" spans="1:24">
      <c r="A16" s="1086"/>
      <c r="B16" s="1098" t="s">
        <v>732</v>
      </c>
      <c r="C16" s="415"/>
      <c r="D16" s="422"/>
      <c r="E16" s="422"/>
      <c r="F16" s="418"/>
      <c r="G16" s="423"/>
      <c r="H16" s="1096" t="s">
        <v>727</v>
      </c>
      <c r="I16" s="1093"/>
      <c r="J16" s="1096" t="s">
        <v>727</v>
      </c>
      <c r="K16" s="1094"/>
      <c r="L16" s="1096" t="s">
        <v>727</v>
      </c>
      <c r="M16" s="1093"/>
      <c r="N16" s="1096"/>
      <c r="O16" s="1093"/>
      <c r="P16" s="1096"/>
      <c r="Q16" s="1093"/>
      <c r="R16" s="1096"/>
      <c r="S16" s="1093"/>
    </row>
    <row r="17" spans="1:41">
      <c r="A17" s="1097"/>
      <c r="B17" s="1098" t="s">
        <v>733</v>
      </c>
      <c r="C17" s="415"/>
      <c r="D17" s="422"/>
      <c r="E17" s="422"/>
      <c r="F17" s="418"/>
      <c r="G17" s="423"/>
      <c r="H17" s="1096" t="s">
        <v>727</v>
      </c>
      <c r="I17" s="1093"/>
      <c r="J17" s="1096" t="s">
        <v>727</v>
      </c>
      <c r="K17" s="1094"/>
      <c r="L17" s="1096" t="s">
        <v>727</v>
      </c>
      <c r="M17" s="1093"/>
      <c r="N17" s="1096"/>
      <c r="O17" s="1093"/>
      <c r="P17" s="1096"/>
      <c r="Q17" s="1093"/>
      <c r="R17" s="1096"/>
      <c r="S17" s="1093"/>
    </row>
    <row r="18" spans="1:41">
      <c r="A18" s="1086"/>
      <c r="B18" s="726" t="s">
        <v>734</v>
      </c>
      <c r="C18" s="415"/>
      <c r="D18" s="422"/>
      <c r="E18" s="422"/>
      <c r="F18" s="418"/>
      <c r="G18" s="423"/>
      <c r="H18" s="1096" t="s">
        <v>730</v>
      </c>
      <c r="I18" s="1093"/>
      <c r="J18" s="1096" t="s">
        <v>730</v>
      </c>
      <c r="K18" s="1094" t="s">
        <v>735</v>
      </c>
      <c r="L18" s="1096" t="s">
        <v>730</v>
      </c>
      <c r="M18" s="1093"/>
      <c r="N18" s="1096"/>
      <c r="O18" s="1093"/>
      <c r="P18" s="1096"/>
      <c r="Q18" s="1093"/>
      <c r="R18" s="1096"/>
      <c r="S18" s="1093"/>
    </row>
    <row r="19" spans="1:41">
      <c r="A19" s="1086"/>
      <c r="B19" s="1099" t="s">
        <v>736</v>
      </c>
      <c r="C19" s="415"/>
      <c r="D19" s="422"/>
      <c r="E19" s="422"/>
      <c r="F19" s="418"/>
      <c r="G19" s="423"/>
      <c r="H19" s="1096"/>
      <c r="I19" s="1093"/>
      <c r="J19" s="1096"/>
      <c r="K19" s="1094"/>
      <c r="L19" s="1096"/>
      <c r="M19" s="1093"/>
      <c r="N19" s="1096"/>
      <c r="O19" s="1093"/>
      <c r="P19" s="1096"/>
      <c r="Q19" s="1093"/>
      <c r="R19" s="1096"/>
      <c r="S19" s="1093"/>
    </row>
    <row r="20" spans="1:41">
      <c r="A20" s="1097"/>
      <c r="B20" s="1100" t="s">
        <v>737</v>
      </c>
      <c r="C20" s="424"/>
      <c r="D20" s="425"/>
      <c r="E20" s="425"/>
      <c r="F20" s="426"/>
      <c r="G20" s="427"/>
      <c r="H20" s="1101"/>
      <c r="I20" s="1102"/>
      <c r="J20" s="1101"/>
      <c r="K20" s="1103"/>
      <c r="L20" s="1101"/>
      <c r="M20" s="1102"/>
      <c r="N20" s="1101"/>
      <c r="O20" s="1102"/>
      <c r="P20" s="1101"/>
      <c r="Q20" s="1102"/>
      <c r="R20" s="1101"/>
      <c r="S20" s="1102"/>
    </row>
    <row r="21" spans="1:41">
      <c r="A21" s="1086"/>
      <c r="B21" s="1104"/>
      <c r="C21" s="23"/>
      <c r="D21" s="86"/>
      <c r="E21" s="86"/>
      <c r="F21" s="280"/>
      <c r="G21" s="274"/>
      <c r="H21" s="1096"/>
      <c r="I21" s="428"/>
      <c r="J21" s="1096"/>
      <c r="K21" s="428"/>
      <c r="L21" s="1096"/>
      <c r="M21" s="428"/>
      <c r="N21" s="1096"/>
      <c r="O21" s="428"/>
      <c r="P21" s="1096"/>
      <c r="Q21" s="428"/>
      <c r="R21" s="1096"/>
      <c r="S21" s="428"/>
    </row>
    <row r="22" spans="1:41" s="69" customFormat="1">
      <c r="A22" s="1097"/>
      <c r="B22" s="1105" t="s">
        <v>738</v>
      </c>
      <c r="C22" s="415"/>
      <c r="D22" s="422"/>
      <c r="E22" s="422"/>
      <c r="F22" s="429"/>
      <c r="G22" s="423"/>
      <c r="H22" s="1096" t="s">
        <v>682</v>
      </c>
      <c r="I22" s="1106">
        <v>2100</v>
      </c>
      <c r="J22" s="1096" t="s">
        <v>682</v>
      </c>
      <c r="K22" s="1107">
        <v>1820</v>
      </c>
      <c r="L22" s="1096" t="s">
        <v>682</v>
      </c>
      <c r="M22" s="1106">
        <v>7416.75</v>
      </c>
      <c r="N22" s="1096"/>
      <c r="O22" s="1107"/>
      <c r="P22" s="1096"/>
      <c r="Q22" s="1107"/>
      <c r="R22" s="1096"/>
      <c r="S22" s="1106"/>
      <c r="T22"/>
      <c r="U22"/>
      <c r="V22"/>
      <c r="W22"/>
      <c r="X22"/>
      <c r="Y22"/>
      <c r="Z22"/>
      <c r="AA22"/>
      <c r="AB22"/>
      <c r="AC22"/>
      <c r="AD22"/>
      <c r="AE22"/>
      <c r="AF22"/>
      <c r="AG22"/>
      <c r="AH22"/>
      <c r="AI22"/>
      <c r="AJ22"/>
      <c r="AK22"/>
      <c r="AL22"/>
      <c r="AM22"/>
      <c r="AN22"/>
      <c r="AO22"/>
    </row>
    <row r="23" spans="1:41">
      <c r="A23" s="1086"/>
      <c r="B23" s="1108" t="s">
        <v>739</v>
      </c>
      <c r="C23" s="1088"/>
      <c r="D23" s="1109"/>
      <c r="E23" s="1089"/>
      <c r="F23" s="1110"/>
      <c r="G23" s="1111"/>
      <c r="H23" s="1096" t="s">
        <v>682</v>
      </c>
      <c r="I23" s="1093">
        <f>750+2800+500</f>
        <v>4050</v>
      </c>
      <c r="J23" s="1096" t="s">
        <v>682</v>
      </c>
      <c r="K23" s="1093">
        <v>7270</v>
      </c>
      <c r="L23" s="1096" t="s">
        <v>682</v>
      </c>
      <c r="M23" s="1093">
        <v>45311.75</v>
      </c>
      <c r="N23" s="1096"/>
      <c r="O23" s="1093"/>
      <c r="P23" s="1096"/>
      <c r="Q23" s="1093"/>
      <c r="R23" s="1096"/>
      <c r="S23" s="1093"/>
    </row>
    <row r="24" spans="1:41">
      <c r="A24" s="1097"/>
      <c r="B24" s="1108" t="s">
        <v>740</v>
      </c>
      <c r="C24" s="415"/>
      <c r="D24" s="430"/>
      <c r="E24" s="422"/>
      <c r="F24" s="431"/>
      <c r="G24" s="1111"/>
      <c r="H24" s="1096" t="s">
        <v>682</v>
      </c>
      <c r="I24" s="1093">
        <v>0</v>
      </c>
      <c r="J24" s="1096" t="s">
        <v>682</v>
      </c>
      <c r="K24" s="1093">
        <v>9190</v>
      </c>
      <c r="L24" s="1096" t="s">
        <v>682</v>
      </c>
      <c r="M24" s="1093">
        <v>0</v>
      </c>
      <c r="N24" s="1096"/>
      <c r="O24" s="1093"/>
      <c r="P24" s="1096"/>
      <c r="Q24" s="1093"/>
      <c r="R24" s="1096"/>
      <c r="S24" s="1093"/>
    </row>
    <row r="25" spans="1:41">
      <c r="A25" s="1086"/>
      <c r="B25" s="1108" t="s">
        <v>741</v>
      </c>
      <c r="C25" s="415"/>
      <c r="D25" s="430"/>
      <c r="E25" s="422"/>
      <c r="F25" s="431"/>
      <c r="G25" s="1111"/>
      <c r="H25" s="1096" t="s">
        <v>682</v>
      </c>
      <c r="I25" s="1093">
        <v>1500</v>
      </c>
      <c r="J25" s="1096" t="s">
        <v>682</v>
      </c>
      <c r="K25" s="1093">
        <v>5345</v>
      </c>
      <c r="L25" s="1096" t="s">
        <v>682</v>
      </c>
      <c r="M25" s="1093">
        <v>0</v>
      </c>
      <c r="N25" s="1096"/>
      <c r="O25" s="1093"/>
      <c r="P25" s="1096"/>
      <c r="Q25" s="1093"/>
      <c r="R25" s="1096"/>
      <c r="S25" s="1093"/>
    </row>
    <row r="26" spans="1:41">
      <c r="A26" s="1086"/>
      <c r="B26" s="1108"/>
      <c r="C26" s="415"/>
      <c r="D26" s="430"/>
      <c r="E26" s="422"/>
      <c r="F26" s="431"/>
      <c r="G26" s="1111"/>
      <c r="H26" s="1096"/>
      <c r="I26" s="1093"/>
      <c r="J26" s="1096"/>
      <c r="K26" s="1093"/>
      <c r="L26" s="1096"/>
      <c r="M26" s="1093"/>
      <c r="N26" s="1096"/>
      <c r="O26" s="1093"/>
      <c r="P26" s="1096"/>
      <c r="Q26" s="1093"/>
      <c r="R26" s="1096"/>
      <c r="S26" s="1093"/>
    </row>
    <row r="27" spans="1:41">
      <c r="A27" s="1097"/>
      <c r="B27" s="1108" t="s">
        <v>742</v>
      </c>
      <c r="C27" s="415"/>
      <c r="D27" s="430"/>
      <c r="E27" s="422"/>
      <c r="F27" s="431"/>
      <c r="G27" s="1111"/>
      <c r="H27" s="1096"/>
      <c r="I27" s="1093"/>
      <c r="J27" s="1096"/>
      <c r="K27" s="1093"/>
      <c r="L27" s="1096"/>
      <c r="M27" s="1093">
        <v>33039.1</v>
      </c>
      <c r="N27" s="1096"/>
      <c r="O27" s="1093"/>
      <c r="P27" s="1096"/>
      <c r="Q27" s="1093"/>
      <c r="R27" s="1096"/>
      <c r="S27" s="1093"/>
    </row>
    <row r="28" spans="1:41">
      <c r="A28" s="1086"/>
      <c r="B28" s="1108" t="s">
        <v>743</v>
      </c>
      <c r="C28" s="415"/>
      <c r="D28" s="430"/>
      <c r="E28" s="422"/>
      <c r="F28" s="431"/>
      <c r="G28" s="1111"/>
      <c r="H28" s="1096" t="s">
        <v>682</v>
      </c>
      <c r="I28" s="1093">
        <v>845</v>
      </c>
      <c r="J28" s="1096"/>
      <c r="K28" s="1112">
        <v>845</v>
      </c>
      <c r="L28" s="1096" t="s">
        <v>682</v>
      </c>
      <c r="M28" s="1093"/>
      <c r="N28" s="1096"/>
      <c r="O28" s="1093"/>
      <c r="P28" s="1096"/>
      <c r="Q28" s="1093"/>
      <c r="R28" s="1096"/>
      <c r="S28" s="1093"/>
    </row>
    <row r="29" spans="1:41">
      <c r="A29" s="1086"/>
      <c r="B29" s="1108" t="s">
        <v>744</v>
      </c>
      <c r="C29" s="415"/>
      <c r="D29" s="430"/>
      <c r="E29" s="422"/>
      <c r="F29" s="431"/>
      <c r="G29" s="1111"/>
      <c r="H29" s="1096" t="s">
        <v>682</v>
      </c>
      <c r="I29" s="1093">
        <v>2000</v>
      </c>
      <c r="J29" s="1096"/>
      <c r="K29" s="1112">
        <v>2000</v>
      </c>
      <c r="L29" s="1096" t="s">
        <v>682</v>
      </c>
      <c r="M29" s="1093"/>
      <c r="N29" s="1096"/>
      <c r="O29" s="1093"/>
      <c r="P29" s="1096"/>
      <c r="Q29" s="1093"/>
      <c r="R29" s="1096"/>
      <c r="S29" s="1093"/>
    </row>
    <row r="30" spans="1:41">
      <c r="A30" s="1086"/>
      <c r="B30" s="1108" t="s">
        <v>745</v>
      </c>
      <c r="C30" s="415"/>
      <c r="D30" s="430"/>
      <c r="E30" s="422"/>
      <c r="F30" s="431"/>
      <c r="G30" s="1111"/>
      <c r="H30" s="1096" t="s">
        <v>682</v>
      </c>
      <c r="I30" s="1093">
        <f>10950+1050+2150+150</f>
        <v>14300</v>
      </c>
      <c r="J30" s="1096"/>
      <c r="K30" s="1112">
        <v>14300</v>
      </c>
      <c r="L30" s="1096" t="s">
        <v>682</v>
      </c>
      <c r="M30" s="1093"/>
      <c r="N30" s="1096"/>
      <c r="O30" s="1093"/>
      <c r="P30" s="1096"/>
      <c r="Q30" s="1093"/>
      <c r="R30" s="1096"/>
      <c r="S30" s="1093"/>
    </row>
    <row r="31" spans="1:41">
      <c r="A31" s="1086"/>
      <c r="B31" s="1108" t="s">
        <v>746</v>
      </c>
      <c r="C31" s="415"/>
      <c r="D31" s="430"/>
      <c r="E31" s="422"/>
      <c r="F31" s="431"/>
      <c r="G31" s="1111"/>
      <c r="H31" s="1096" t="s">
        <v>682</v>
      </c>
      <c r="I31" s="1093">
        <v>3675</v>
      </c>
      <c r="J31" s="1096"/>
      <c r="K31" s="1112">
        <v>3675</v>
      </c>
      <c r="L31" s="1096" t="s">
        <v>682</v>
      </c>
      <c r="M31" s="1093"/>
      <c r="N31" s="1096"/>
      <c r="O31" s="1093"/>
      <c r="P31" s="1096"/>
      <c r="Q31" s="1093"/>
      <c r="R31" s="1096"/>
      <c r="S31" s="1093"/>
    </row>
    <row r="32" spans="1:41">
      <c r="A32" s="1097"/>
      <c r="B32" s="1108" t="s">
        <v>747</v>
      </c>
      <c r="C32" s="415"/>
      <c r="D32" s="430"/>
      <c r="E32" s="422"/>
      <c r="F32" s="431"/>
      <c r="G32" s="1111"/>
      <c r="H32" s="1096" t="s">
        <v>682</v>
      </c>
      <c r="I32" s="1093">
        <v>4785</v>
      </c>
      <c r="J32" s="1096"/>
      <c r="K32" s="1112">
        <v>4785</v>
      </c>
      <c r="L32" s="1096" t="s">
        <v>682</v>
      </c>
      <c r="M32" s="1093"/>
      <c r="N32" s="1096"/>
      <c r="O32" s="1093"/>
      <c r="P32" s="1096"/>
      <c r="Q32" s="1093"/>
      <c r="R32" s="1096"/>
      <c r="S32" s="1093"/>
    </row>
    <row r="33" spans="1:19">
      <c r="A33" s="1086"/>
      <c r="B33" s="1113" t="s">
        <v>748</v>
      </c>
      <c r="C33" s="23"/>
      <c r="D33" s="430"/>
      <c r="E33" s="422"/>
      <c r="F33" s="431"/>
      <c r="G33" s="1111"/>
      <c r="H33" s="1096" t="s">
        <v>682</v>
      </c>
      <c r="I33" s="1093">
        <v>350</v>
      </c>
      <c r="J33" s="1096" t="s">
        <v>682</v>
      </c>
      <c r="K33" s="1093">
        <v>910</v>
      </c>
      <c r="L33" s="1096" t="s">
        <v>682</v>
      </c>
      <c r="M33" s="1093"/>
      <c r="N33" s="1096"/>
      <c r="O33" s="1093"/>
      <c r="P33" s="1096"/>
      <c r="Q33" s="1093"/>
      <c r="R33" s="1096"/>
      <c r="S33" s="1093"/>
    </row>
    <row r="34" spans="1:19">
      <c r="A34" s="1097"/>
      <c r="B34" s="1113" t="s">
        <v>749</v>
      </c>
      <c r="C34" s="23"/>
      <c r="D34" s="87"/>
      <c r="E34" s="86"/>
      <c r="F34" s="431"/>
      <c r="G34" s="1111"/>
      <c r="H34" s="1096" t="s">
        <v>682</v>
      </c>
      <c r="I34" s="1093">
        <v>600</v>
      </c>
      <c r="J34" s="1096" t="s">
        <v>682</v>
      </c>
      <c r="K34" s="1093"/>
      <c r="L34" s="1096" t="s">
        <v>682</v>
      </c>
      <c r="M34" s="1093"/>
      <c r="N34" s="1096"/>
      <c r="O34" s="1093"/>
      <c r="P34" s="1096"/>
      <c r="Q34" s="1093"/>
      <c r="R34" s="1096"/>
      <c r="S34" s="1093"/>
    </row>
    <row r="35" spans="1:19">
      <c r="A35" s="1086"/>
      <c r="B35" s="1108" t="s">
        <v>750</v>
      </c>
      <c r="C35" s="23"/>
      <c r="D35" s="87"/>
      <c r="E35" s="86"/>
      <c r="F35" s="431"/>
      <c r="G35" s="1111"/>
      <c r="H35" s="1096" t="s">
        <v>682</v>
      </c>
      <c r="I35" s="1093">
        <v>350</v>
      </c>
      <c r="J35" s="1096"/>
      <c r="K35" s="1112"/>
      <c r="L35" s="1096" t="s">
        <v>682</v>
      </c>
      <c r="M35" s="1093"/>
      <c r="N35" s="1096"/>
      <c r="O35" s="1093"/>
      <c r="P35" s="1096"/>
      <c r="Q35" s="1093"/>
      <c r="R35" s="1096"/>
      <c r="S35" s="1093"/>
    </row>
    <row r="36" spans="1:19">
      <c r="A36" s="1086"/>
      <c r="B36" s="1108" t="s">
        <v>751</v>
      </c>
      <c r="C36" s="415"/>
      <c r="D36" s="430"/>
      <c r="E36" s="422"/>
      <c r="F36" s="431"/>
      <c r="G36" s="1111"/>
      <c r="H36" s="1096" t="s">
        <v>682</v>
      </c>
      <c r="I36" s="1093">
        <v>1350</v>
      </c>
      <c r="J36" s="1096" t="s">
        <v>682</v>
      </c>
      <c r="K36" s="1093">
        <v>2225</v>
      </c>
      <c r="L36" s="1096" t="s">
        <v>682</v>
      </c>
      <c r="M36" s="1093"/>
      <c r="N36" s="1096"/>
      <c r="O36" s="1093"/>
      <c r="P36" s="1096"/>
      <c r="Q36" s="1093"/>
      <c r="R36" s="1096"/>
      <c r="S36" s="1093"/>
    </row>
    <row r="37" spans="1:19">
      <c r="A37" s="1086"/>
      <c r="B37" s="1108"/>
      <c r="C37" s="23"/>
      <c r="D37" s="87"/>
      <c r="E37" s="86"/>
      <c r="F37" s="431"/>
      <c r="G37" s="1111"/>
      <c r="H37" s="1096"/>
      <c r="I37" s="1093"/>
      <c r="J37" s="1096"/>
      <c r="K37" s="1093"/>
      <c r="L37" s="1096"/>
      <c r="M37" s="1093"/>
      <c r="N37" s="1096"/>
      <c r="O37" s="1093"/>
      <c r="P37" s="1096"/>
      <c r="Q37" s="1093"/>
      <c r="R37" s="1096"/>
      <c r="S37" s="1093"/>
    </row>
    <row r="38" spans="1:19">
      <c r="A38" s="1086"/>
      <c r="B38" s="1113" t="s">
        <v>752</v>
      </c>
      <c r="C38" s="23"/>
      <c r="D38" s="87"/>
      <c r="E38" s="86"/>
      <c r="F38" s="431"/>
      <c r="G38" s="1111"/>
      <c r="H38" s="1096" t="s">
        <v>682</v>
      </c>
      <c r="I38" s="1093">
        <f>3895+19500</f>
        <v>23395</v>
      </c>
      <c r="J38" s="1096"/>
      <c r="K38" s="1112">
        <v>20000</v>
      </c>
      <c r="L38" s="1096"/>
      <c r="M38" s="1093">
        <v>20152.169999999998</v>
      </c>
      <c r="N38" s="1096"/>
      <c r="O38" s="1093"/>
      <c r="P38" s="1096"/>
      <c r="Q38" s="1093"/>
      <c r="R38" s="1096"/>
      <c r="S38" s="1093"/>
    </row>
    <row r="39" spans="1:19">
      <c r="A39" s="1086"/>
      <c r="B39" s="1113"/>
      <c r="C39" s="23"/>
      <c r="D39" s="87"/>
      <c r="E39" s="86"/>
      <c r="F39" s="431"/>
      <c r="G39" s="1111"/>
      <c r="H39" s="1096"/>
      <c r="I39" s="1093"/>
      <c r="J39" s="1096"/>
      <c r="K39" s="1093"/>
      <c r="L39" s="1096"/>
      <c r="M39" s="1093"/>
      <c r="N39" s="1096"/>
      <c r="O39" s="1093"/>
      <c r="P39" s="1096"/>
      <c r="Q39" s="1093"/>
      <c r="R39" s="1096"/>
      <c r="S39" s="1093"/>
    </row>
    <row r="40" spans="1:19">
      <c r="A40" s="1086"/>
      <c r="B40" s="1113"/>
      <c r="C40" s="23"/>
      <c r="D40" s="87"/>
      <c r="E40" s="86"/>
      <c r="F40" s="431"/>
      <c r="G40" s="1111"/>
      <c r="H40" s="1096"/>
      <c r="I40" s="1093"/>
      <c r="J40" s="1096"/>
      <c r="K40" s="1093"/>
      <c r="L40" s="1096"/>
      <c r="M40" s="1093"/>
      <c r="N40" s="1096"/>
      <c r="O40" s="1093"/>
      <c r="P40" s="1096"/>
      <c r="Q40" s="1093"/>
      <c r="R40" s="1096"/>
      <c r="S40" s="1093"/>
    </row>
    <row r="41" spans="1:19">
      <c r="A41" s="1086"/>
      <c r="B41" s="1113"/>
      <c r="C41" s="23"/>
      <c r="D41" s="87"/>
      <c r="E41" s="86"/>
      <c r="F41" s="431"/>
      <c r="G41" s="1111"/>
      <c r="H41" s="1096"/>
      <c r="I41" s="1093"/>
      <c r="J41" s="1096"/>
      <c r="K41" s="1093"/>
      <c r="L41" s="1096"/>
      <c r="M41" s="1093"/>
      <c r="N41" s="1096"/>
      <c r="O41" s="1093"/>
      <c r="P41" s="1096"/>
      <c r="Q41" s="1093"/>
      <c r="R41" s="1096"/>
      <c r="S41" s="1093"/>
    </row>
    <row r="42" spans="1:19">
      <c r="A42" s="1086"/>
      <c r="B42" s="1113"/>
      <c r="C42" s="23"/>
      <c r="D42" s="87"/>
      <c r="E42" s="86"/>
      <c r="F42" s="431"/>
      <c r="G42" s="1111"/>
      <c r="H42" s="1096"/>
      <c r="I42" s="1093"/>
      <c r="J42" s="1096"/>
      <c r="K42" s="1093"/>
      <c r="L42" s="1096"/>
      <c r="M42" s="1093"/>
      <c r="N42" s="1096"/>
      <c r="O42" s="1093"/>
      <c r="P42" s="1096"/>
      <c r="Q42" s="1093"/>
      <c r="R42" s="1096"/>
      <c r="S42" s="1093"/>
    </row>
    <row r="43" spans="1:19">
      <c r="A43" s="1086"/>
      <c r="B43" s="1113"/>
      <c r="C43" s="23"/>
      <c r="D43" s="87"/>
      <c r="E43" s="86"/>
      <c r="F43" s="431"/>
      <c r="G43" s="1111"/>
      <c r="H43" s="1096"/>
      <c r="I43" s="1093"/>
      <c r="J43" s="1096"/>
      <c r="K43" s="1093"/>
      <c r="L43" s="1096"/>
      <c r="M43" s="1093"/>
      <c r="N43" s="1096"/>
      <c r="O43" s="1093"/>
      <c r="P43" s="1096"/>
      <c r="Q43" s="1093"/>
      <c r="R43" s="1096"/>
      <c r="S43" s="1093"/>
    </row>
    <row r="44" spans="1:19">
      <c r="A44" s="1086"/>
      <c r="B44" s="1113"/>
      <c r="C44" s="23"/>
      <c r="D44" s="87"/>
      <c r="E44" s="86"/>
      <c r="F44" s="431"/>
      <c r="G44" s="1111"/>
      <c r="H44" s="1096"/>
      <c r="I44" s="1093"/>
      <c r="J44" s="1096"/>
      <c r="K44" s="1093"/>
      <c r="L44" s="1096"/>
      <c r="M44" s="1093"/>
      <c r="N44" s="1096"/>
      <c r="O44" s="1093"/>
      <c r="P44" s="1096"/>
      <c r="Q44" s="1093"/>
      <c r="R44" s="1096"/>
      <c r="S44" s="1093"/>
    </row>
    <row r="45" spans="1:19">
      <c r="A45" s="1086"/>
      <c r="B45" s="1113"/>
      <c r="C45" s="23"/>
      <c r="D45" s="87"/>
      <c r="E45" s="86"/>
      <c r="F45" s="431"/>
      <c r="G45" s="1111"/>
      <c r="H45" s="1096"/>
      <c r="I45" s="1093"/>
      <c r="J45" s="1096"/>
      <c r="K45" s="1093"/>
      <c r="L45" s="1096"/>
      <c r="M45" s="1093"/>
      <c r="N45" s="1096"/>
      <c r="O45" s="1093"/>
      <c r="P45" s="1096"/>
      <c r="Q45" s="1093"/>
      <c r="R45" s="1096"/>
      <c r="S45" s="1093"/>
    </row>
    <row r="46" spans="1:19">
      <c r="A46" s="1086"/>
      <c r="B46" s="1113"/>
      <c r="C46" s="23"/>
      <c r="D46" s="87"/>
      <c r="E46" s="86"/>
      <c r="F46" s="431"/>
      <c r="G46" s="1111"/>
      <c r="H46" s="1096"/>
      <c r="I46" s="1093"/>
      <c r="J46" s="1096"/>
      <c r="K46" s="1093"/>
      <c r="L46" s="1096"/>
      <c r="M46" s="1093"/>
      <c r="N46" s="1096"/>
      <c r="O46" s="1093"/>
      <c r="P46" s="1096"/>
      <c r="Q46" s="1093"/>
      <c r="R46" s="1096"/>
      <c r="S46" s="1093"/>
    </row>
    <row r="47" spans="1:19">
      <c r="A47" s="1086"/>
      <c r="B47" s="1113"/>
      <c r="C47" s="23"/>
      <c r="D47" s="87"/>
      <c r="E47" s="86"/>
      <c r="F47" s="431"/>
      <c r="G47" s="1111"/>
      <c r="H47" s="1096"/>
      <c r="I47" s="1093"/>
      <c r="J47" s="1096"/>
      <c r="K47" s="1093"/>
      <c r="L47" s="1096"/>
      <c r="M47" s="1093"/>
      <c r="N47" s="1096"/>
      <c r="O47" s="1093"/>
      <c r="P47" s="1096"/>
      <c r="Q47" s="1093"/>
      <c r="R47" s="1096"/>
      <c r="S47" s="1093"/>
    </row>
    <row r="48" spans="1:19">
      <c r="A48" s="1086"/>
      <c r="B48" s="1113"/>
      <c r="C48" s="23"/>
      <c r="D48" s="87"/>
      <c r="E48" s="86"/>
      <c r="F48" s="431"/>
      <c r="G48" s="1111"/>
      <c r="H48" s="1096"/>
      <c r="I48" s="1093"/>
      <c r="J48" s="1096"/>
      <c r="K48" s="1093"/>
      <c r="L48" s="1096"/>
      <c r="M48" s="1093"/>
      <c r="N48" s="1096"/>
      <c r="O48" s="1093"/>
      <c r="P48" s="1096"/>
      <c r="Q48" s="1093"/>
      <c r="R48" s="1096"/>
      <c r="S48" s="1093"/>
    </row>
    <row r="49" spans="1:19">
      <c r="A49" s="1086"/>
      <c r="B49" s="1113"/>
      <c r="C49" s="23"/>
      <c r="D49" s="87"/>
      <c r="E49" s="86"/>
      <c r="F49" s="431"/>
      <c r="G49" s="1111"/>
      <c r="H49" s="1096"/>
      <c r="I49" s="1093"/>
      <c r="J49" s="1096"/>
      <c r="K49" s="1093"/>
      <c r="L49" s="1096"/>
      <c r="M49" s="1093"/>
      <c r="N49" s="1096"/>
      <c r="O49" s="1093"/>
      <c r="P49" s="1096"/>
      <c r="Q49" s="1093"/>
      <c r="R49" s="1096"/>
      <c r="S49" s="1093"/>
    </row>
    <row r="50" spans="1:19">
      <c r="A50" s="1086"/>
      <c r="B50" s="1113"/>
      <c r="C50" s="23"/>
      <c r="D50" s="87"/>
      <c r="E50" s="86"/>
      <c r="F50" s="431"/>
      <c r="G50" s="1111"/>
      <c r="H50" s="1096"/>
      <c r="I50" s="1093"/>
      <c r="J50" s="1096"/>
      <c r="K50" s="1093"/>
      <c r="L50" s="1096"/>
      <c r="M50" s="1093"/>
      <c r="N50" s="1096"/>
      <c r="O50" s="1093"/>
      <c r="P50" s="1096"/>
      <c r="Q50" s="1093"/>
      <c r="R50" s="1096"/>
      <c r="S50" s="1093"/>
    </row>
    <row r="51" spans="1:19">
      <c r="A51" s="1086"/>
      <c r="B51" s="1113"/>
      <c r="C51" s="23"/>
      <c r="D51" s="87"/>
      <c r="E51" s="86"/>
      <c r="F51" s="431"/>
      <c r="G51" s="1111"/>
      <c r="H51" s="1096"/>
      <c r="I51" s="1093"/>
      <c r="J51" s="1096"/>
      <c r="K51" s="1093"/>
      <c r="L51" s="1096"/>
      <c r="M51" s="1093"/>
      <c r="N51" s="1096"/>
      <c r="O51" s="1093"/>
      <c r="P51" s="1096"/>
      <c r="Q51" s="1093"/>
      <c r="R51" s="1096"/>
      <c r="S51" s="1093"/>
    </row>
    <row r="52" spans="1:19">
      <c r="A52" s="1086"/>
      <c r="B52" s="1113"/>
      <c r="C52" s="23"/>
      <c r="D52" s="87"/>
      <c r="E52" s="86"/>
      <c r="F52" s="431"/>
      <c r="G52" s="830"/>
      <c r="H52" s="1096"/>
      <c r="I52" s="1093"/>
      <c r="J52" s="1096"/>
      <c r="K52" s="1093"/>
      <c r="L52" s="1096"/>
      <c r="M52" s="1093"/>
      <c r="N52" s="1096"/>
      <c r="O52" s="1093"/>
      <c r="P52" s="1096"/>
      <c r="Q52" s="1093"/>
      <c r="R52" s="1096"/>
      <c r="S52" s="1093"/>
    </row>
    <row r="53" spans="1:19" ht="15.75" thickBot="1">
      <c r="A53" s="1086"/>
      <c r="B53" s="1113"/>
      <c r="C53" s="23"/>
      <c r="D53" s="87"/>
      <c r="E53" s="86"/>
      <c r="F53" s="431"/>
      <c r="G53" s="830"/>
      <c r="H53" s="1096"/>
      <c r="I53" s="1093"/>
      <c r="J53" s="1096"/>
      <c r="K53" s="1093"/>
      <c r="L53" s="1096"/>
      <c r="M53" s="1093"/>
      <c r="N53" s="1096"/>
      <c r="O53" s="1093"/>
      <c r="P53" s="1096"/>
      <c r="Q53" s="1093"/>
      <c r="R53" s="1096"/>
      <c r="S53" s="1093"/>
    </row>
    <row r="54" spans="1:19" ht="15.75" thickTop="1">
      <c r="A54" s="296"/>
      <c r="B54" s="301"/>
      <c r="C54" s="297"/>
      <c r="D54" s="15"/>
      <c r="E54" s="16"/>
      <c r="F54" s="282" t="s">
        <v>753</v>
      </c>
      <c r="G54" s="272"/>
      <c r="H54" s="273"/>
      <c r="I54" s="273">
        <f>SUM(I20:I53)</f>
        <v>59300</v>
      </c>
      <c r="J54" s="273"/>
      <c r="K54" s="273">
        <f>SUM(K20:K53)</f>
        <v>72365</v>
      </c>
      <c r="L54" s="273"/>
      <c r="M54" s="273">
        <f>SUM(M20:M53)</f>
        <v>105919.77</v>
      </c>
      <c r="N54" s="273"/>
      <c r="O54" s="273">
        <f>SUM(O20:O53)</f>
        <v>0</v>
      </c>
      <c r="P54" s="273"/>
      <c r="Q54" s="273">
        <f>SUM(Q20:Q53)</f>
        <v>0</v>
      </c>
      <c r="R54" s="273"/>
      <c r="S54" s="273">
        <f>SUM(S20:S53)</f>
        <v>0</v>
      </c>
    </row>
    <row r="55" spans="1:19">
      <c r="A55" s="1114"/>
      <c r="B55" s="1115"/>
      <c r="C55" s="432"/>
      <c r="D55" s="433"/>
      <c r="E55" s="434"/>
      <c r="F55" s="435" t="s">
        <v>754</v>
      </c>
      <c r="G55" s="436"/>
      <c r="H55" s="1116">
        <v>0</v>
      </c>
      <c r="I55" s="1117"/>
      <c r="J55" s="1116">
        <v>0</v>
      </c>
      <c r="K55" s="1117"/>
      <c r="L55" s="1116">
        <v>0</v>
      </c>
      <c r="M55" s="1117"/>
      <c r="N55" s="1116">
        <v>0</v>
      </c>
      <c r="O55" s="1117"/>
      <c r="P55" s="1116">
        <v>0</v>
      </c>
      <c r="Q55" s="1117"/>
      <c r="R55" s="1116">
        <v>0</v>
      </c>
      <c r="S55" s="1117"/>
    </row>
    <row r="56" spans="1:19">
      <c r="A56" s="1114"/>
      <c r="B56" s="1115"/>
      <c r="C56" s="432"/>
      <c r="D56" s="433"/>
      <c r="E56" s="434"/>
      <c r="F56" s="435" t="s">
        <v>755</v>
      </c>
      <c r="G56" s="436"/>
      <c r="H56" s="1117"/>
      <c r="I56" s="1117">
        <f>H55*I54</f>
        <v>0</v>
      </c>
      <c r="J56" s="1117"/>
      <c r="K56" s="1117">
        <f>J55*K54</f>
        <v>0</v>
      </c>
      <c r="L56" s="1117"/>
      <c r="M56" s="1117">
        <f>L55*M54</f>
        <v>0</v>
      </c>
      <c r="N56" s="1117"/>
      <c r="O56" s="1117">
        <f>N55*O54</f>
        <v>0</v>
      </c>
      <c r="P56" s="1117"/>
      <c r="Q56" s="1117">
        <f>P55*Q54</f>
        <v>0</v>
      </c>
      <c r="R56" s="1117"/>
      <c r="S56" s="1117">
        <f>R55*S54</f>
        <v>0</v>
      </c>
    </row>
    <row r="57" spans="1:19">
      <c r="A57" s="1114"/>
      <c r="B57" s="1115"/>
      <c r="C57" s="432"/>
      <c r="D57" s="433"/>
      <c r="E57" s="434"/>
      <c r="F57" s="435"/>
      <c r="G57" s="436"/>
      <c r="H57" s="1117"/>
      <c r="I57" s="1117"/>
      <c r="J57" s="1117"/>
      <c r="K57" s="1117"/>
      <c r="L57" s="1117"/>
      <c r="M57" s="1117"/>
      <c r="N57" s="1117"/>
      <c r="O57" s="1117"/>
      <c r="P57" s="1117"/>
      <c r="Q57" s="1117"/>
      <c r="R57" s="1117"/>
      <c r="S57" s="1117"/>
    </row>
    <row r="58" spans="1:19">
      <c r="A58" s="1114"/>
      <c r="B58" s="1115"/>
      <c r="C58" s="432"/>
      <c r="D58" s="433"/>
      <c r="E58" s="434"/>
      <c r="F58" s="435" t="s">
        <v>756</v>
      </c>
      <c r="G58" s="436"/>
      <c r="H58" s="1117"/>
      <c r="I58" s="1117">
        <f>SUM(I54:I56)</f>
        <v>59300</v>
      </c>
      <c r="J58" s="1117"/>
      <c r="K58" s="1117">
        <f>SUM(K54:K56)</f>
        <v>72365</v>
      </c>
      <c r="L58" s="1117"/>
      <c r="M58" s="1117">
        <f>SUM(M54:M56)</f>
        <v>105919.77</v>
      </c>
      <c r="N58" s="1117"/>
      <c r="O58" s="1117">
        <f>SUM(O54:O56)</f>
        <v>0</v>
      </c>
      <c r="P58" s="1117"/>
      <c r="Q58" s="1117">
        <f>SUM(Q54:Q56)</f>
        <v>0</v>
      </c>
      <c r="R58" s="1117"/>
      <c r="S58" s="1117">
        <f>SUM(S54:S56)</f>
        <v>0</v>
      </c>
    </row>
    <row r="59" spans="1:19">
      <c r="A59" s="1114"/>
      <c r="B59" s="1115"/>
      <c r="C59" s="432"/>
      <c r="D59" s="433"/>
      <c r="E59" s="434"/>
      <c r="F59" s="437" t="s">
        <v>757</v>
      </c>
      <c r="G59" s="438"/>
      <c r="H59" s="1118"/>
      <c r="I59" s="1118">
        <f>I58/'Area Calculations'!$G$4</f>
        <v>0.1024776078650268</v>
      </c>
      <c r="J59" s="1118"/>
      <c r="K59" s="1118">
        <f>K58/'Area Calculations'!$G$4</f>
        <v>0.12505551590476668</v>
      </c>
      <c r="L59" s="1118"/>
      <c r="M59" s="1118">
        <f>M58/'Area Calculations'!$G$4</f>
        <v>0.18304223701878297</v>
      </c>
      <c r="N59" s="1118"/>
      <c r="O59" s="1118">
        <f>O58/'Area Calculations'!$G$4</f>
        <v>0</v>
      </c>
      <c r="P59" s="1118"/>
      <c r="Q59" s="1118">
        <f>Q58/'Area Calculations'!$G$4</f>
        <v>0</v>
      </c>
      <c r="R59" s="1118">
        <f>R58/'Area Calculations'!$G$4</f>
        <v>0</v>
      </c>
      <c r="S59" s="1118" t="e">
        <f>S58/'Cost Summary'!#REF!</f>
        <v>#REF!</v>
      </c>
    </row>
    <row r="60" spans="1:19">
      <c r="A60" s="1114"/>
      <c r="B60" s="1115"/>
      <c r="C60" s="432"/>
      <c r="D60" s="433"/>
      <c r="E60" s="434"/>
      <c r="F60" s="437" t="s">
        <v>758</v>
      </c>
      <c r="G60" s="438"/>
      <c r="H60" s="1118"/>
      <c r="I60" s="1118">
        <f>I58/'Area Calculations'!$G$9</f>
        <v>554.20560747663546</v>
      </c>
      <c r="J60" s="1118"/>
      <c r="K60" s="1118">
        <f>K58/'Area Calculations'!$G$9</f>
        <v>676.30841121495325</v>
      </c>
      <c r="L60" s="1118"/>
      <c r="M60" s="1118">
        <f>M58/'Area Calculations'!$G$9</f>
        <v>989.90439252336455</v>
      </c>
      <c r="N60" s="1118"/>
      <c r="O60" s="1118">
        <f>O58/'Area Calculations'!$G$9</f>
        <v>0</v>
      </c>
      <c r="P60" s="1118"/>
      <c r="Q60" s="1118">
        <f>Q58/'Area Calculations'!$G$9</f>
        <v>0</v>
      </c>
      <c r="R60" s="1118">
        <f>R58/'Area Calculations'!$G$9</f>
        <v>0</v>
      </c>
      <c r="S60" s="1118" t="e">
        <f>S58/'Cost Summary'!#REF!</f>
        <v>#REF!</v>
      </c>
    </row>
    <row r="61" spans="1:19" ht="15.75" thickBot="1">
      <c r="A61" s="1114"/>
      <c r="B61" s="1115"/>
      <c r="C61" s="432"/>
      <c r="D61" s="433"/>
      <c r="E61" s="434"/>
      <c r="F61" s="439"/>
      <c r="G61" s="436"/>
      <c r="H61" s="1119"/>
      <c r="I61" s="1119"/>
      <c r="J61" s="1119"/>
      <c r="K61" s="1119"/>
      <c r="L61" s="1119"/>
      <c r="M61" s="1119"/>
      <c r="N61" s="1119"/>
      <c r="O61" s="1119"/>
      <c r="P61" s="1119"/>
      <c r="Q61" s="1119"/>
      <c r="R61" s="1119"/>
      <c r="S61" s="1119"/>
    </row>
    <row r="62" spans="1:19" ht="16.5" thickTop="1" thickBot="1">
      <c r="A62" s="2331" t="s">
        <v>759</v>
      </c>
      <c r="B62" s="2332"/>
      <c r="C62" s="298"/>
      <c r="D62" s="12"/>
      <c r="E62" s="12"/>
      <c r="F62" s="12"/>
      <c r="G62" s="26"/>
      <c r="H62" s="20"/>
      <c r="I62" s="20"/>
      <c r="J62" s="24"/>
      <c r="K62" s="20"/>
      <c r="L62" s="20"/>
      <c r="M62" s="20"/>
      <c r="N62" s="20"/>
      <c r="O62" s="20"/>
      <c r="P62" s="20"/>
      <c r="Q62" s="20"/>
      <c r="R62" s="20"/>
      <c r="S62" s="20"/>
    </row>
    <row r="63" spans="1:19" ht="15.75" thickTop="1">
      <c r="A63" s="1120"/>
      <c r="B63" s="1105"/>
      <c r="C63" s="1088"/>
      <c r="D63" s="1089"/>
      <c r="E63" s="1089"/>
      <c r="F63" s="1089"/>
      <c r="G63" s="1121"/>
      <c r="H63" s="1122"/>
      <c r="I63" s="1122"/>
      <c r="J63" s="1123"/>
      <c r="K63" s="1122"/>
      <c r="L63" s="1122"/>
      <c r="M63" s="1122"/>
      <c r="N63" s="1122"/>
      <c r="O63" s="1122"/>
      <c r="P63" s="1122"/>
      <c r="Q63" s="1122"/>
      <c r="R63" s="1122"/>
      <c r="S63" s="1122"/>
    </row>
    <row r="64" spans="1:19">
      <c r="A64" s="1120"/>
      <c r="B64" s="1105"/>
      <c r="C64" s="1088"/>
      <c r="D64" s="1089"/>
      <c r="E64" s="1089"/>
      <c r="F64" s="1089"/>
      <c r="G64" s="1121"/>
      <c r="H64" s="1122"/>
      <c r="I64" s="1122"/>
      <c r="J64" s="1123"/>
      <c r="K64" s="1122"/>
      <c r="L64" s="1122"/>
      <c r="M64" s="1122"/>
      <c r="N64" s="1122"/>
      <c r="O64" s="1122"/>
      <c r="P64" s="1122"/>
      <c r="Q64" s="1122"/>
      <c r="R64" s="1122"/>
      <c r="S64" s="1122"/>
    </row>
    <row r="65" spans="1:34" ht="15.75" thickBot="1">
      <c r="A65" s="1120"/>
      <c r="B65" s="1105"/>
      <c r="C65" s="1088"/>
      <c r="D65" s="1089"/>
      <c r="E65" s="1089"/>
      <c r="F65" s="1089"/>
      <c r="G65" s="1121"/>
      <c r="H65" s="1122"/>
      <c r="I65" s="1122"/>
      <c r="J65" s="1123"/>
      <c r="K65" s="1122"/>
      <c r="L65" s="1122"/>
      <c r="M65" s="1122"/>
      <c r="N65" s="1122"/>
      <c r="O65" s="1122"/>
      <c r="P65" s="1122"/>
      <c r="Q65" s="1122"/>
      <c r="R65" s="1122"/>
      <c r="S65" s="1122"/>
    </row>
    <row r="66" spans="1:34" s="2" customFormat="1" ht="16.5" thickTop="1" thickBot="1">
      <c r="A66" s="2331" t="s">
        <v>760</v>
      </c>
      <c r="B66" s="2332"/>
      <c r="C66" s="298"/>
      <c r="D66" s="12"/>
      <c r="E66" s="12"/>
      <c r="F66" s="12"/>
      <c r="G66" s="26"/>
      <c r="H66" s="20"/>
      <c r="I66" s="20"/>
      <c r="J66" s="24"/>
      <c r="K66" s="20"/>
      <c r="L66" s="20"/>
      <c r="M66" s="20"/>
      <c r="N66" s="20"/>
      <c r="O66" s="20"/>
      <c r="P66" s="20"/>
      <c r="Q66" s="20"/>
      <c r="R66" s="20"/>
      <c r="S66" s="20"/>
      <c r="T66"/>
      <c r="U66"/>
      <c r="V66"/>
      <c r="W66"/>
      <c r="X66"/>
      <c r="Y66"/>
      <c r="Z66"/>
      <c r="AA66"/>
      <c r="AB66"/>
      <c r="AC66"/>
      <c r="AD66"/>
      <c r="AE66"/>
      <c r="AF66"/>
      <c r="AG66"/>
      <c r="AH66"/>
    </row>
    <row r="67" spans="1:34" s="2" customFormat="1" ht="15.75" thickTop="1">
      <c r="A67" s="1120"/>
      <c r="B67" s="1105"/>
      <c r="C67" s="1088"/>
      <c r="D67" s="1089"/>
      <c r="E67" s="1089"/>
      <c r="F67" s="1089"/>
      <c r="G67" s="1121"/>
      <c r="H67" s="1122"/>
      <c r="I67" s="1122"/>
      <c r="J67" s="1123"/>
      <c r="K67" s="1122"/>
      <c r="L67" s="1122"/>
      <c r="M67" s="1122"/>
      <c r="N67" s="1122"/>
      <c r="O67" s="1122"/>
      <c r="P67" s="1122"/>
      <c r="Q67" s="1122"/>
      <c r="R67" s="1122"/>
      <c r="S67" s="1122"/>
      <c r="T67"/>
      <c r="U67"/>
      <c r="V67"/>
      <c r="W67"/>
      <c r="X67"/>
      <c r="Y67"/>
      <c r="Z67"/>
      <c r="AA67"/>
      <c r="AB67"/>
      <c r="AC67"/>
      <c r="AD67"/>
      <c r="AE67"/>
      <c r="AF67"/>
      <c r="AG67"/>
      <c r="AH67"/>
    </row>
    <row r="68" spans="1:34" s="2" customFormat="1">
      <c r="A68" s="1120"/>
      <c r="B68" s="1105"/>
      <c r="C68" s="1088"/>
      <c r="D68" s="1089"/>
      <c r="E68" s="1089"/>
      <c r="F68" s="1089"/>
      <c r="G68" s="1121"/>
      <c r="H68" s="1122"/>
      <c r="I68" s="1122"/>
      <c r="J68" s="1123"/>
      <c r="K68" s="1122"/>
      <c r="L68" s="1122"/>
      <c r="M68" s="1122"/>
      <c r="N68" s="1122"/>
      <c r="O68" s="1122"/>
      <c r="P68" s="1122"/>
      <c r="Q68" s="1122"/>
      <c r="R68" s="1122"/>
      <c r="S68" s="1122"/>
      <c r="T68"/>
      <c r="U68"/>
      <c r="V68"/>
      <c r="W68"/>
      <c r="X68"/>
      <c r="Y68"/>
      <c r="Z68"/>
      <c r="AA68"/>
      <c r="AB68"/>
      <c r="AC68"/>
      <c r="AD68"/>
      <c r="AE68"/>
      <c r="AF68"/>
      <c r="AG68"/>
      <c r="AH68"/>
    </row>
    <row r="69" spans="1:34" ht="15.75" thickBot="1">
      <c r="A69" s="1120"/>
      <c r="B69" s="1105"/>
      <c r="C69" s="1088"/>
      <c r="D69" s="1089"/>
      <c r="E69" s="1089"/>
      <c r="F69" s="1089"/>
      <c r="G69" s="1121"/>
      <c r="H69" s="1122"/>
      <c r="I69" s="1122"/>
      <c r="J69" s="1123"/>
      <c r="K69" s="1122"/>
      <c r="L69" s="1122"/>
      <c r="M69" s="1122"/>
      <c r="N69" s="1122"/>
      <c r="O69" s="1122"/>
      <c r="P69" s="1122"/>
      <c r="Q69" s="1122"/>
      <c r="R69" s="1122"/>
      <c r="S69" s="1122"/>
    </row>
    <row r="70" spans="1:34" s="2" customFormat="1" ht="16.5" thickTop="1" thickBot="1">
      <c r="A70" s="2331" t="s">
        <v>761</v>
      </c>
      <c r="B70" s="2332"/>
      <c r="C70" s="298"/>
      <c r="D70" s="12"/>
      <c r="E70" s="12"/>
      <c r="F70" s="12"/>
      <c r="G70" s="26"/>
      <c r="H70" s="20"/>
      <c r="I70" s="20"/>
      <c r="J70" s="24"/>
      <c r="K70" s="20"/>
      <c r="L70" s="20"/>
      <c r="M70" s="20"/>
      <c r="N70" s="20"/>
      <c r="O70" s="20"/>
      <c r="P70" s="20"/>
      <c r="Q70" s="20"/>
      <c r="R70" s="20"/>
      <c r="S70" s="20"/>
      <c r="T70"/>
      <c r="U70"/>
      <c r="V70"/>
      <c r="W70"/>
      <c r="X70"/>
      <c r="Y70"/>
      <c r="Z70"/>
      <c r="AA70"/>
      <c r="AB70"/>
      <c r="AC70"/>
      <c r="AD70"/>
      <c r="AE70"/>
      <c r="AF70"/>
      <c r="AG70"/>
      <c r="AH70"/>
    </row>
    <row r="71" spans="1:34" s="2" customFormat="1" ht="15.75" thickTop="1">
      <c r="A71" s="1120"/>
      <c r="B71" s="1105"/>
      <c r="C71" s="1088"/>
      <c r="D71" s="1089"/>
      <c r="E71" s="1089"/>
      <c r="F71" s="1089"/>
      <c r="G71" s="1121"/>
      <c r="H71" s="1122"/>
      <c r="I71" s="1122"/>
      <c r="J71" s="1123"/>
      <c r="K71" s="1122"/>
      <c r="L71" s="1122"/>
      <c r="M71" s="1122"/>
      <c r="N71" s="1122"/>
      <c r="O71" s="1122"/>
      <c r="P71" s="1122"/>
      <c r="Q71" s="1122"/>
      <c r="R71" s="1122"/>
      <c r="S71" s="1122"/>
      <c r="T71"/>
      <c r="U71"/>
      <c r="V71"/>
      <c r="W71"/>
      <c r="X71"/>
      <c r="Y71"/>
      <c r="Z71"/>
      <c r="AA71"/>
      <c r="AB71"/>
      <c r="AC71"/>
      <c r="AD71"/>
      <c r="AE71"/>
      <c r="AF71"/>
      <c r="AG71"/>
      <c r="AH71"/>
    </row>
    <row r="72" spans="1:34" s="2" customFormat="1">
      <c r="A72" s="1124"/>
      <c r="B72" s="1105"/>
      <c r="C72" s="415"/>
      <c r="D72" s="422"/>
      <c r="E72" s="422"/>
      <c r="F72" s="422"/>
      <c r="G72" s="831"/>
      <c r="H72" s="1125"/>
      <c r="I72" s="1125"/>
      <c r="J72" s="440"/>
      <c r="K72" s="1125"/>
      <c r="L72" s="1125"/>
      <c r="M72" s="1125"/>
      <c r="N72" s="1125"/>
      <c r="O72" s="1125"/>
      <c r="P72" s="1125"/>
      <c r="Q72" s="1125"/>
      <c r="R72" s="1125"/>
      <c r="S72" s="1125"/>
      <c r="T72"/>
      <c r="U72"/>
      <c r="V72"/>
      <c r="W72"/>
      <c r="X72"/>
      <c r="Y72"/>
      <c r="Z72"/>
      <c r="AA72"/>
      <c r="AB72"/>
      <c r="AC72"/>
      <c r="AD72"/>
      <c r="AE72"/>
      <c r="AF72"/>
      <c r="AG72"/>
      <c r="AH72"/>
    </row>
    <row r="73" spans="1:34" s="2" customFormat="1" ht="15.75" thickBot="1">
      <c r="A73" s="1126"/>
      <c r="B73" s="1127"/>
      <c r="C73" s="415"/>
      <c r="D73" s="422"/>
      <c r="E73" s="422"/>
      <c r="F73" s="422"/>
      <c r="G73" s="831"/>
      <c r="H73" s="1128"/>
      <c r="I73" s="1128"/>
      <c r="J73" s="441"/>
      <c r="K73" s="1128"/>
      <c r="L73" s="1128"/>
      <c r="M73" s="1128"/>
      <c r="N73" s="1128"/>
      <c r="O73" s="1128"/>
      <c r="P73" s="1128"/>
      <c r="Q73" s="1128"/>
      <c r="R73" s="1128"/>
      <c r="S73" s="1128"/>
    </row>
    <row r="74" spans="1:34" s="2" customFormat="1" ht="16.5" thickTop="1" thickBot="1">
      <c r="A74" s="2331" t="s">
        <v>762</v>
      </c>
      <c r="B74" s="2332"/>
      <c r="C74" s="298"/>
      <c r="D74" s="12"/>
      <c r="E74" s="12"/>
      <c r="F74" s="12"/>
      <c r="G74" s="26"/>
      <c r="H74" s="20"/>
      <c r="I74" s="20"/>
      <c r="J74" s="24"/>
      <c r="K74" s="20"/>
      <c r="L74" s="20"/>
      <c r="M74" s="20"/>
      <c r="N74" s="20"/>
      <c r="O74" s="20"/>
      <c r="P74" s="20"/>
      <c r="Q74" s="20"/>
      <c r="R74" s="20"/>
      <c r="S74" s="20"/>
      <c r="T74"/>
      <c r="U74"/>
      <c r="V74"/>
      <c r="W74"/>
      <c r="X74"/>
      <c r="Y74"/>
      <c r="Z74"/>
      <c r="AA74"/>
      <c r="AB74"/>
      <c r="AC74"/>
      <c r="AD74"/>
      <c r="AE74"/>
      <c r="AF74"/>
      <c r="AG74"/>
      <c r="AH74"/>
    </row>
    <row r="75" spans="1:34" ht="15.75" thickTop="1">
      <c r="A75" s="1129"/>
      <c r="B75" s="1130"/>
      <c r="C75" s="1088"/>
      <c r="D75" s="1089"/>
      <c r="E75" s="1089"/>
      <c r="F75" s="1089"/>
      <c r="G75" s="1121"/>
      <c r="H75" s="1122"/>
      <c r="I75" s="1122"/>
      <c r="J75" s="1123"/>
      <c r="K75" s="1122"/>
      <c r="L75" s="1122"/>
      <c r="M75" s="1122"/>
      <c r="N75" s="1122"/>
      <c r="O75" s="1122"/>
      <c r="P75" s="1122"/>
      <c r="Q75" s="1122"/>
      <c r="R75" s="1122"/>
      <c r="S75" s="1122"/>
      <c r="T75" s="2"/>
      <c r="U75" s="2"/>
      <c r="V75" s="2"/>
      <c r="W75" s="2"/>
      <c r="X75" s="2"/>
      <c r="Y75" s="2"/>
      <c r="Z75" s="2"/>
      <c r="AA75" s="2"/>
      <c r="AB75" s="2"/>
      <c r="AC75" s="2"/>
      <c r="AD75" s="2"/>
      <c r="AE75" s="2"/>
      <c r="AF75" s="2"/>
      <c r="AG75" s="2"/>
      <c r="AH75" s="2"/>
    </row>
    <row r="76" spans="1:34">
      <c r="A76" s="1126"/>
      <c r="B76" s="1127"/>
      <c r="C76" s="415"/>
      <c r="D76" s="422"/>
      <c r="E76" s="422"/>
      <c r="F76" s="422"/>
      <c r="G76" s="831"/>
      <c r="H76" s="1131"/>
      <c r="I76" s="1131"/>
      <c r="J76" s="442"/>
      <c r="K76" s="1131"/>
      <c r="L76" s="1131"/>
      <c r="M76" s="1131"/>
      <c r="N76" s="1131"/>
      <c r="O76" s="1131"/>
      <c r="P76" s="1131"/>
      <c r="Q76" s="1131"/>
      <c r="R76" s="1131"/>
      <c r="S76" s="1131"/>
      <c r="T76" s="2"/>
      <c r="U76" s="2"/>
      <c r="V76" s="2"/>
      <c r="W76" s="2"/>
      <c r="X76" s="2"/>
      <c r="Y76" s="2"/>
      <c r="Z76" s="2"/>
      <c r="AA76" s="2"/>
      <c r="AB76" s="2"/>
      <c r="AC76" s="2"/>
      <c r="AD76" s="2"/>
      <c r="AE76" s="2"/>
      <c r="AF76" s="2"/>
      <c r="AG76" s="2"/>
      <c r="AH76" s="2"/>
    </row>
    <row r="77" spans="1:34" ht="15.75" thickBot="1">
      <c r="A77" s="1126"/>
      <c r="B77" s="1127"/>
      <c r="C77" s="415"/>
      <c r="D77" s="422"/>
      <c r="E77" s="422"/>
      <c r="F77" s="422"/>
      <c r="G77" s="831"/>
      <c r="H77" s="1131"/>
      <c r="I77" s="1131"/>
      <c r="J77" s="442"/>
      <c r="K77" s="1131"/>
      <c r="L77" s="1131"/>
      <c r="M77" s="1131"/>
      <c r="N77" s="1131"/>
      <c r="O77" s="1131"/>
      <c r="P77" s="1131"/>
      <c r="Q77" s="1131"/>
      <c r="R77" s="1131"/>
      <c r="S77" s="1131"/>
      <c r="T77" s="2"/>
      <c r="U77" s="2"/>
      <c r="V77" s="2"/>
      <c r="W77" s="2"/>
      <c r="X77" s="2"/>
      <c r="Y77" s="2"/>
      <c r="Z77" s="2"/>
      <c r="AA77" s="2"/>
      <c r="AB77" s="2"/>
      <c r="AC77" s="2"/>
      <c r="AD77" s="2"/>
      <c r="AE77" s="2"/>
      <c r="AF77" s="2"/>
      <c r="AG77" s="2"/>
      <c r="AH77" s="2"/>
    </row>
    <row r="78" spans="1:34" ht="16.5" thickTop="1" thickBot="1">
      <c r="A78" s="2331" t="s">
        <v>763</v>
      </c>
      <c r="B78" s="2332"/>
      <c r="C78" s="298"/>
      <c r="D78" s="12"/>
      <c r="E78" s="12"/>
      <c r="F78" s="12"/>
      <c r="G78" s="26"/>
      <c r="H78" s="20"/>
      <c r="I78" s="20"/>
      <c r="J78" s="24"/>
      <c r="K78" s="20"/>
      <c r="L78" s="20"/>
      <c r="M78" s="20"/>
      <c r="N78" s="20"/>
      <c r="O78" s="20"/>
      <c r="P78" s="20"/>
      <c r="Q78" s="20"/>
      <c r="R78" s="20"/>
      <c r="S78" s="20"/>
    </row>
    <row r="79" spans="1:34" ht="15.75" thickTop="1">
      <c r="A79" s="1124"/>
      <c r="B79" s="1105" t="s">
        <v>764</v>
      </c>
      <c r="C79" s="415"/>
      <c r="D79" s="422"/>
      <c r="E79" s="422"/>
      <c r="F79" s="422"/>
      <c r="G79" s="831"/>
      <c r="H79" s="1131"/>
      <c r="I79" s="1131"/>
      <c r="J79" s="442"/>
      <c r="K79" s="1131"/>
      <c r="L79" s="1131"/>
      <c r="M79" s="1131"/>
      <c r="N79" s="1131"/>
      <c r="O79" s="1131"/>
      <c r="P79" s="1131"/>
      <c r="Q79" s="1131"/>
      <c r="R79" s="1131"/>
      <c r="S79" s="1131"/>
    </row>
    <row r="80" spans="1:34">
      <c r="A80" s="1124"/>
      <c r="B80" s="1105" t="s">
        <v>765</v>
      </c>
      <c r="C80" s="415"/>
      <c r="D80" s="422"/>
      <c r="E80" s="422"/>
      <c r="F80" s="422"/>
      <c r="G80" s="831"/>
      <c r="H80" s="1131"/>
      <c r="I80" s="1131"/>
      <c r="J80" s="442"/>
      <c r="K80" s="1131"/>
      <c r="L80" s="1131"/>
      <c r="M80" s="1131"/>
      <c r="N80" s="1131"/>
      <c r="O80" s="1131"/>
      <c r="P80" s="1131"/>
      <c r="Q80" s="1131"/>
      <c r="R80" s="1131"/>
      <c r="S80" s="1131"/>
    </row>
    <row r="81" spans="1:19">
      <c r="A81" s="1124"/>
      <c r="B81" s="1105" t="s">
        <v>766</v>
      </c>
      <c r="C81" s="415"/>
      <c r="D81" s="422"/>
      <c r="E81" s="422"/>
      <c r="F81" s="422"/>
      <c r="G81" s="831"/>
      <c r="H81" s="1131"/>
      <c r="I81" s="1131"/>
      <c r="J81" s="442"/>
      <c r="K81" s="1131"/>
      <c r="L81" s="1131"/>
      <c r="M81" s="1131"/>
      <c r="N81" s="1131"/>
      <c r="O81" s="1131"/>
      <c r="P81" s="1131"/>
      <c r="Q81" s="1131"/>
      <c r="R81" s="1131"/>
      <c r="S81" s="1131"/>
    </row>
    <row r="82" spans="1:19">
      <c r="A82" s="1124"/>
      <c r="B82" s="1105" t="s">
        <v>767</v>
      </c>
      <c r="C82" s="415"/>
      <c r="D82" s="422"/>
      <c r="E82" s="422"/>
      <c r="F82" s="422"/>
      <c r="G82" s="831"/>
      <c r="H82" s="1131"/>
      <c r="I82" s="1131"/>
      <c r="J82" s="442"/>
      <c r="K82" s="1131"/>
      <c r="L82" s="1131"/>
      <c r="M82" s="1131"/>
      <c r="N82" s="1131"/>
      <c r="O82" s="1131"/>
      <c r="P82" s="1131"/>
      <c r="Q82" s="1131"/>
      <c r="R82" s="1131"/>
      <c r="S82" s="1131"/>
    </row>
    <row r="83" spans="1:19" ht="15.75" thickBot="1">
      <c r="A83" s="443"/>
      <c r="B83" s="421"/>
      <c r="C83" s="23"/>
      <c r="D83" s="86"/>
      <c r="E83" s="86"/>
      <c r="F83" s="86"/>
      <c r="G83" s="27"/>
      <c r="H83" s="444"/>
      <c r="I83" s="444"/>
      <c r="J83" s="25"/>
      <c r="K83" s="444"/>
      <c r="L83" s="444"/>
      <c r="M83" s="444"/>
      <c r="N83" s="444"/>
      <c r="O83" s="444"/>
      <c r="P83" s="444"/>
      <c r="Q83" s="444"/>
      <c r="R83" s="444"/>
      <c r="S83" s="444"/>
    </row>
    <row r="84" spans="1:19" ht="16.5" thickTop="1" thickBot="1">
      <c r="A84" s="72" t="s">
        <v>768</v>
      </c>
      <c r="B84" s="73"/>
      <c r="C84" s="298"/>
      <c r="D84" s="12"/>
      <c r="E84" s="12"/>
      <c r="F84" s="12"/>
      <c r="G84" s="26"/>
      <c r="H84" s="20"/>
      <c r="I84" s="20"/>
      <c r="J84" s="24"/>
      <c r="K84" s="20"/>
      <c r="L84" s="20"/>
      <c r="M84" s="20"/>
      <c r="N84" s="20"/>
      <c r="O84" s="20"/>
      <c r="P84" s="20"/>
      <c r="Q84" s="20"/>
      <c r="R84" s="20"/>
      <c r="S84" s="20"/>
    </row>
    <row r="85" spans="1:19" ht="15.75" thickTop="1">
      <c r="A85" s="1120"/>
      <c r="B85" s="1132" t="s">
        <v>769</v>
      </c>
      <c r="C85" s="1088"/>
      <c r="D85" s="1089"/>
      <c r="E85" s="1089"/>
      <c r="F85" s="1089"/>
      <c r="G85" s="1121"/>
      <c r="H85" s="1133"/>
      <c r="I85" s="1133"/>
      <c r="J85" s="1134"/>
      <c r="K85" s="1133"/>
      <c r="L85" s="1133"/>
      <c r="M85" s="1133"/>
      <c r="N85" s="1133"/>
      <c r="O85" s="1133"/>
      <c r="P85" s="1133"/>
      <c r="Q85" s="1133"/>
      <c r="R85" s="1133"/>
      <c r="S85" s="1133"/>
    </row>
    <row r="86" spans="1:19">
      <c r="A86" s="1124"/>
      <c r="B86" s="1105" t="s">
        <v>770</v>
      </c>
      <c r="C86" s="415"/>
      <c r="D86" s="422"/>
      <c r="E86" s="422"/>
      <c r="F86" s="422"/>
      <c r="G86" s="831"/>
      <c r="H86" s="1135"/>
      <c r="I86" s="1135"/>
      <c r="J86" s="445"/>
      <c r="K86" s="1135"/>
      <c r="L86" s="1135"/>
      <c r="M86" s="1135"/>
      <c r="N86" s="1135"/>
      <c r="O86" s="1135"/>
      <c r="P86" s="1135"/>
      <c r="Q86" s="1135"/>
      <c r="R86" s="1135"/>
      <c r="S86" s="1135"/>
    </row>
    <row r="87" spans="1:19" ht="15.75" thickBot="1">
      <c r="A87" s="934"/>
      <c r="B87" s="1136" t="s">
        <v>771</v>
      </c>
      <c r="C87" s="1137"/>
      <c r="D87" s="1138"/>
      <c r="E87" s="1138"/>
      <c r="F87" s="1138"/>
      <c r="G87" s="1139"/>
      <c r="H87" s="1140"/>
      <c r="I87" s="1140"/>
      <c r="J87" s="1141"/>
      <c r="K87" s="1140"/>
      <c r="L87" s="1140"/>
      <c r="M87" s="1140"/>
      <c r="N87" s="1140"/>
      <c r="O87" s="1140"/>
      <c r="P87" s="1140"/>
      <c r="Q87" s="1140"/>
      <c r="R87" s="1140"/>
      <c r="S87" s="1140"/>
    </row>
    <row r="88" spans="1:19" ht="16.5" thickTop="1" thickBot="1">
      <c r="F88" s="2"/>
      <c r="G88" s="2"/>
      <c r="H88" s="2"/>
      <c r="I88" s="2"/>
      <c r="J88" s="2"/>
      <c r="K88" s="2"/>
      <c r="L88" s="2"/>
      <c r="M88" s="2"/>
      <c r="N88" s="2"/>
      <c r="O88" s="2"/>
      <c r="P88" s="2"/>
      <c r="Q88" s="2"/>
      <c r="R88" s="2"/>
      <c r="S88" s="2"/>
    </row>
    <row r="89" spans="1:19" ht="16.5" thickTop="1" thickBot="1">
      <c r="A89" s="37" t="s">
        <v>772</v>
      </c>
      <c r="B89" s="39"/>
      <c r="F89" s="2"/>
      <c r="G89" s="2"/>
      <c r="H89" s="2"/>
      <c r="I89" s="2"/>
      <c r="J89" s="2"/>
      <c r="K89" s="2"/>
      <c r="L89" s="2"/>
      <c r="M89" s="2"/>
      <c r="N89" s="2"/>
      <c r="O89" s="2"/>
      <c r="P89" s="2"/>
      <c r="Q89" s="2"/>
      <c r="R89" s="2"/>
      <c r="S89" s="2"/>
    </row>
    <row r="90" spans="1:19" ht="15.75" thickTop="1">
      <c r="A90" s="38" t="s">
        <v>693</v>
      </c>
      <c r="B90" s="929" t="str">
        <f>H5</f>
        <v>American Layout &amp; Land Surveying</v>
      </c>
      <c r="F90" s="2"/>
      <c r="G90" s="2"/>
      <c r="H90" s="2"/>
      <c r="I90" s="2"/>
      <c r="J90" s="2"/>
      <c r="K90" s="2"/>
      <c r="L90" s="2"/>
      <c r="M90" s="2"/>
      <c r="N90" s="2"/>
      <c r="O90" s="2"/>
      <c r="P90" s="2"/>
      <c r="Q90" s="2"/>
      <c r="R90" s="2"/>
      <c r="S90" s="2"/>
    </row>
    <row r="91" spans="1:19">
      <c r="A91" s="1142" t="s">
        <v>702</v>
      </c>
      <c r="B91" s="929" t="str">
        <f>H6</f>
        <v>Lisa Rizzi</v>
      </c>
      <c r="F91" s="2"/>
      <c r="G91" s="2"/>
      <c r="H91" s="2"/>
      <c r="I91" s="2"/>
      <c r="J91" s="2"/>
      <c r="K91" s="2"/>
      <c r="L91" s="2"/>
      <c r="M91" s="2"/>
      <c r="N91" s="2"/>
      <c r="O91" s="2"/>
      <c r="P91" s="2"/>
      <c r="Q91" s="2"/>
      <c r="R91" s="2"/>
      <c r="S91" s="2"/>
    </row>
    <row r="92" spans="1:19">
      <c r="A92" s="942" t="s">
        <v>708</v>
      </c>
      <c r="B92" s="1143" t="str">
        <f>H7</f>
        <v>(732) 807-6250</v>
      </c>
      <c r="F92" s="2"/>
      <c r="G92" s="2"/>
      <c r="H92" s="2"/>
      <c r="I92" s="2"/>
      <c r="J92" s="2"/>
      <c r="K92" s="2"/>
      <c r="L92" s="2"/>
      <c r="M92" s="2"/>
      <c r="N92" s="2"/>
      <c r="O92" s="2"/>
      <c r="P92" s="2"/>
      <c r="Q92" s="2"/>
      <c r="R92" s="2"/>
      <c r="S92" s="2"/>
    </row>
    <row r="93" spans="1:19">
      <c r="A93" s="942" t="s">
        <v>713</v>
      </c>
      <c r="B93" s="1144" t="str">
        <f>H8</f>
        <v>estimating@americansurveyors.us</v>
      </c>
      <c r="F93" s="2"/>
      <c r="G93" s="2"/>
      <c r="H93" s="2"/>
      <c r="I93" s="2"/>
      <c r="J93" s="2"/>
      <c r="K93" s="2"/>
      <c r="L93" s="2"/>
      <c r="M93" s="2"/>
      <c r="N93" s="2"/>
      <c r="O93" s="2"/>
      <c r="P93" s="2"/>
      <c r="Q93" s="2"/>
      <c r="R93" s="2"/>
      <c r="S93" s="2"/>
    </row>
    <row r="94" spans="1:19" ht="15.75" thickBot="1">
      <c r="A94" s="1145" t="s">
        <v>69</v>
      </c>
      <c r="B94" s="1146">
        <f>I58</f>
        <v>59300</v>
      </c>
      <c r="F94" s="2"/>
      <c r="G94" s="2"/>
      <c r="H94" s="2"/>
      <c r="I94" s="2"/>
      <c r="J94" s="2"/>
      <c r="K94" s="2"/>
      <c r="L94" s="2"/>
      <c r="M94" s="2"/>
      <c r="N94" s="2"/>
      <c r="O94" s="2"/>
      <c r="P94" s="2"/>
      <c r="Q94" s="2"/>
      <c r="R94" s="2"/>
      <c r="S94" s="2"/>
    </row>
    <row r="95" spans="1:19" ht="15.75" thickTop="1"/>
  </sheetData>
  <mergeCells count="41">
    <mergeCell ref="A62:B62"/>
    <mergeCell ref="A66:B66"/>
    <mergeCell ref="A70:B70"/>
    <mergeCell ref="A74:B74"/>
    <mergeCell ref="A78:B78"/>
    <mergeCell ref="P8:Q8"/>
    <mergeCell ref="P9:Q9"/>
    <mergeCell ref="H8:I8"/>
    <mergeCell ref="H9:I9"/>
    <mergeCell ref="N5:O5"/>
    <mergeCell ref="N6:O6"/>
    <mergeCell ref="N7:O7"/>
    <mergeCell ref="N8:O8"/>
    <mergeCell ref="N9:O9"/>
    <mergeCell ref="P5:Q5"/>
    <mergeCell ref="P6:Q6"/>
    <mergeCell ref="P7:Q7"/>
    <mergeCell ref="H5:I5"/>
    <mergeCell ref="H6:I6"/>
    <mergeCell ref="H7:I7"/>
    <mergeCell ref="J8:K8"/>
    <mergeCell ref="J9:K9"/>
    <mergeCell ref="L5:M5"/>
    <mergeCell ref="L6:M6"/>
    <mergeCell ref="L7:M7"/>
    <mergeCell ref="L8:M8"/>
    <mergeCell ref="L9:M9"/>
    <mergeCell ref="J5:K5"/>
    <mergeCell ref="J6:K6"/>
    <mergeCell ref="J7:K7"/>
    <mergeCell ref="J4:K4"/>
    <mergeCell ref="L4:M4"/>
    <mergeCell ref="H4:I4"/>
    <mergeCell ref="N4:O4"/>
    <mergeCell ref="P4:Q4"/>
    <mergeCell ref="R6:S6"/>
    <mergeCell ref="R7:S7"/>
    <mergeCell ref="R8:S8"/>
    <mergeCell ref="R9:S9"/>
    <mergeCell ref="R4:S4"/>
    <mergeCell ref="R5:S5"/>
  </mergeCells>
  <conditionalFormatting sqref="H11:H19 J11:J19 L11:L19 N11:N19 P11:P19 R11:R19 H21:H53 J21:J53 L21:L53 N21:N53 P21:P53 R21:R53">
    <cfRule type="cellIs" dxfId="657" priority="13" operator="equal">
      <formula>"X"</formula>
    </cfRule>
    <cfRule type="cellIs" dxfId="656" priority="14" operator="equal">
      <formula>"I"</formula>
    </cfRule>
  </conditionalFormatting>
  <hyperlinks>
    <hyperlink ref="B4" location="'Cost Summary'!A1" display="BACK TO SUMMARY SHEET" xr:uid="{78BA0CE5-6200-4DE0-8C9A-3713979F4E50}"/>
    <hyperlink ref="J8" r:id="rId1" xr:uid="{82CCBE97-7D08-4DC0-BFD5-07B1383B7255}"/>
    <hyperlink ref="L8" r:id="rId2" xr:uid="{BAF3C922-8583-4F50-B7A0-BC164F4ADD7C}"/>
    <hyperlink ref="H8" r:id="rId3" xr:uid="{B3CFBF95-ADD9-4352-A5D9-3845543C464D}"/>
  </hyperlinks>
  <pageMargins left="0.7" right="0.7" top="0.75" bottom="0.75" header="0.3" footer="0.3"/>
  <pageSetup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E112C-8A45-4BB5-B8BB-9DC362764DD3}">
  <dimension ref="A1:AO92"/>
  <sheetViews>
    <sheetView zoomScale="90" zoomScaleNormal="90" workbookViewId="0">
      <pane xSplit="2" ySplit="10" topLeftCell="I33" activePane="bottomRight" state="frozen"/>
      <selection pane="topRight" activeCell="C1" sqref="C1"/>
      <selection pane="bottomLeft" activeCell="A12" sqref="A12"/>
      <selection pane="bottomRight" activeCell="I33" sqref="I33"/>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1083" t="s">
        <v>288</v>
      </c>
      <c r="C6" s="415"/>
      <c r="D6" s="416"/>
      <c r="E6" s="417"/>
      <c r="F6" s="418"/>
      <c r="G6" s="419" t="s">
        <v>702</v>
      </c>
      <c r="H6" s="2325"/>
      <c r="I6" s="2326"/>
      <c r="J6" s="2325"/>
      <c r="K6" s="2326"/>
      <c r="L6" s="2325"/>
      <c r="M6" s="2326"/>
      <c r="N6" s="2325"/>
      <c r="O6" s="2326"/>
      <c r="P6" s="2313"/>
      <c r="Q6" s="2314"/>
      <c r="R6" s="2313"/>
      <c r="S6" s="2314"/>
      <c r="X6" s="261"/>
    </row>
    <row r="7" spans="1:24">
      <c r="A7" s="1082" t="s">
        <v>706</v>
      </c>
      <c r="B7" s="1084" t="s">
        <v>287</v>
      </c>
      <c r="C7" s="415"/>
      <c r="D7" s="416"/>
      <c r="E7" s="417"/>
      <c r="F7" s="418"/>
      <c r="G7" s="829" t="s">
        <v>708</v>
      </c>
      <c r="H7" s="2325"/>
      <c r="I7" s="2326"/>
      <c r="J7" s="2325"/>
      <c r="K7" s="2326"/>
      <c r="L7" s="2325"/>
      <c r="M7" s="2326"/>
      <c r="N7" s="2325"/>
      <c r="O7" s="2326"/>
      <c r="P7" s="2313"/>
      <c r="Q7" s="2314"/>
      <c r="R7" s="2313"/>
      <c r="S7" s="2314"/>
      <c r="X7" s="261"/>
    </row>
    <row r="8" spans="1:24">
      <c r="A8" s="1082" t="s">
        <v>712</v>
      </c>
      <c r="B8" s="1085"/>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0</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147"/>
      <c r="B11" s="1148" t="s">
        <v>725</v>
      </c>
      <c r="C11" s="1149"/>
      <c r="D11" s="1089"/>
      <c r="E11" s="1089"/>
      <c r="F11" s="1090"/>
      <c r="G11" s="1091"/>
      <c r="H11" s="1150"/>
      <c r="I11" s="1094"/>
      <c r="J11" s="1150"/>
      <c r="K11" s="285"/>
      <c r="L11" s="1150"/>
      <c r="M11" s="1093"/>
      <c r="N11" s="1150"/>
      <c r="O11" s="1093"/>
      <c r="P11" s="1150"/>
      <c r="Q11" s="1093"/>
      <c r="R11" s="1150"/>
      <c r="S11" s="1093"/>
    </row>
    <row r="12" spans="1:24">
      <c r="A12" s="1147"/>
      <c r="B12" s="1151" t="s">
        <v>726</v>
      </c>
      <c r="C12" s="446"/>
      <c r="D12" s="422"/>
      <c r="E12" s="422"/>
      <c r="F12" s="418"/>
      <c r="G12" s="423"/>
      <c r="H12" s="1152"/>
      <c r="I12" s="1094"/>
      <c r="J12" s="1152"/>
      <c r="K12" s="1093"/>
      <c r="L12" s="1152"/>
      <c r="M12" s="1093"/>
      <c r="N12" s="1152"/>
      <c r="O12" s="1093"/>
      <c r="P12" s="1152"/>
      <c r="Q12" s="1093"/>
      <c r="R12" s="1152"/>
      <c r="S12" s="1093"/>
    </row>
    <row r="13" spans="1:24">
      <c r="A13" s="1097"/>
      <c r="B13" s="1151" t="s">
        <v>728</v>
      </c>
      <c r="C13" s="446"/>
      <c r="D13" s="422"/>
      <c r="E13" s="422"/>
      <c r="F13" s="418"/>
      <c r="G13" s="423"/>
      <c r="H13" s="1152"/>
      <c r="I13" s="1094"/>
      <c r="J13" s="1152"/>
      <c r="K13" s="1093"/>
      <c r="L13" s="1152"/>
      <c r="M13" s="1093"/>
      <c r="N13" s="1152"/>
      <c r="O13" s="1093"/>
      <c r="P13" s="1152"/>
      <c r="Q13" s="1093"/>
      <c r="R13" s="1152"/>
      <c r="S13" s="1093"/>
    </row>
    <row r="14" spans="1:24">
      <c r="A14" s="1147"/>
      <c r="B14" s="1153" t="s">
        <v>729</v>
      </c>
      <c r="C14" s="446"/>
      <c r="D14" s="422"/>
      <c r="E14" s="422"/>
      <c r="F14" s="418"/>
      <c r="G14" s="423"/>
      <c r="H14" s="1152"/>
      <c r="I14" s="1094"/>
      <c r="J14" s="1152"/>
      <c r="K14" s="1093"/>
      <c r="L14" s="1152"/>
      <c r="M14" s="1093"/>
      <c r="N14" s="1152"/>
      <c r="O14" s="1093"/>
      <c r="P14" s="1152"/>
      <c r="Q14" s="1093"/>
      <c r="R14" s="1152"/>
      <c r="S14" s="1093"/>
    </row>
    <row r="15" spans="1:24">
      <c r="A15" s="1097"/>
      <c r="B15" s="1153" t="s">
        <v>731</v>
      </c>
      <c r="C15" s="446"/>
      <c r="D15" s="422"/>
      <c r="E15" s="422"/>
      <c r="F15" s="418"/>
      <c r="G15" s="423"/>
      <c r="H15" s="1152"/>
      <c r="I15" s="1094"/>
      <c r="J15" s="1152"/>
      <c r="K15" s="1094"/>
      <c r="L15" s="1152"/>
      <c r="M15" s="1094"/>
      <c r="N15" s="1152"/>
      <c r="O15" s="1094"/>
      <c r="P15" s="1152"/>
      <c r="Q15" s="1094"/>
      <c r="R15" s="1152"/>
      <c r="S15" s="1094"/>
    </row>
    <row r="16" spans="1:24">
      <c r="A16" s="1147"/>
      <c r="B16" s="1153" t="s">
        <v>732</v>
      </c>
      <c r="C16" s="446"/>
      <c r="D16" s="422"/>
      <c r="E16" s="422"/>
      <c r="F16" s="418"/>
      <c r="G16" s="423"/>
      <c r="H16" s="1152"/>
      <c r="I16" s="1094"/>
      <c r="J16" s="1152"/>
      <c r="K16" s="1093"/>
      <c r="L16" s="1152"/>
      <c r="M16" s="1093"/>
      <c r="N16" s="1152"/>
      <c r="O16" s="1093"/>
      <c r="P16" s="1152"/>
      <c r="Q16" s="1093"/>
      <c r="R16" s="1152"/>
      <c r="S16" s="1093"/>
    </row>
    <row r="17" spans="1:41">
      <c r="A17" s="1097"/>
      <c r="B17" s="1153" t="s">
        <v>733</v>
      </c>
      <c r="C17" s="446"/>
      <c r="D17" s="422"/>
      <c r="E17" s="422"/>
      <c r="F17" s="418"/>
      <c r="G17" s="423"/>
      <c r="H17" s="1152"/>
      <c r="I17" s="1094"/>
      <c r="J17" s="1152"/>
      <c r="K17" s="1093"/>
      <c r="L17" s="1152"/>
      <c r="M17" s="1093"/>
      <c r="N17" s="1152"/>
      <c r="O17" s="1093"/>
      <c r="P17" s="1152"/>
      <c r="Q17" s="1093"/>
      <c r="R17" s="1152"/>
      <c r="S17" s="1093"/>
    </row>
    <row r="18" spans="1:41">
      <c r="A18" s="1147"/>
      <c r="B18" s="1154" t="s">
        <v>736</v>
      </c>
      <c r="C18" s="446"/>
      <c r="D18" s="422"/>
      <c r="E18" s="422"/>
      <c r="F18" s="418"/>
      <c r="G18" s="423"/>
      <c r="H18" s="1152"/>
      <c r="I18" s="1094"/>
      <c r="J18" s="1152"/>
      <c r="K18" s="1093"/>
      <c r="L18" s="1152"/>
      <c r="M18" s="1093"/>
      <c r="N18" s="1152"/>
      <c r="O18" s="1093"/>
      <c r="P18" s="1152"/>
      <c r="Q18" s="1093"/>
      <c r="R18" s="1152"/>
      <c r="S18" s="1093"/>
    </row>
    <row r="19" spans="1:41">
      <c r="A19" s="1097"/>
      <c r="B19" s="1155" t="s">
        <v>737</v>
      </c>
      <c r="C19" s="447"/>
      <c r="D19" s="425"/>
      <c r="E19" s="425"/>
      <c r="F19" s="426"/>
      <c r="G19" s="427"/>
      <c r="H19" s="1156"/>
      <c r="I19" s="1157"/>
      <c r="J19" s="1156"/>
      <c r="K19" s="1158"/>
      <c r="L19" s="1156"/>
      <c r="M19" s="1158"/>
      <c r="N19" s="1156"/>
      <c r="O19" s="1158"/>
      <c r="P19" s="1156"/>
      <c r="Q19" s="1158"/>
      <c r="R19" s="1156"/>
      <c r="S19" s="1158"/>
    </row>
    <row r="20" spans="1:41">
      <c r="A20" s="1147"/>
      <c r="B20" s="1104"/>
      <c r="C20" s="70"/>
      <c r="D20" s="86"/>
      <c r="E20" s="86"/>
      <c r="F20" s="280"/>
      <c r="G20" s="274"/>
      <c r="H20" s="1152"/>
      <c r="I20" s="428"/>
      <c r="J20" s="1152"/>
      <c r="K20" s="428"/>
      <c r="L20" s="1152"/>
      <c r="M20" s="428"/>
      <c r="N20" s="1152"/>
      <c r="O20" s="428"/>
      <c r="P20" s="1152"/>
      <c r="Q20" s="428"/>
      <c r="R20" s="1152"/>
      <c r="S20" s="428"/>
    </row>
    <row r="21" spans="1:41" s="69" customFormat="1">
      <c r="A21" s="1097"/>
      <c r="B21" s="1105"/>
      <c r="C21" s="415"/>
      <c r="D21" s="422"/>
      <c r="E21" s="422"/>
      <c r="F21" s="429"/>
      <c r="G21" s="423"/>
      <c r="H21" s="1152"/>
      <c r="I21" s="1107"/>
      <c r="J21" s="1152"/>
      <c r="K21" s="1106"/>
      <c r="L21" s="1152"/>
      <c r="M21" s="1106"/>
      <c r="N21" s="1152"/>
      <c r="O21" s="1107"/>
      <c r="P21" s="1152"/>
      <c r="Q21" s="1107"/>
      <c r="R21" s="1152"/>
      <c r="S21" s="1106"/>
      <c r="T21"/>
      <c r="U21"/>
      <c r="V21"/>
      <c r="W21"/>
      <c r="X21"/>
      <c r="Y21"/>
      <c r="Z21"/>
      <c r="AA21"/>
      <c r="AB21"/>
      <c r="AC21"/>
      <c r="AD21"/>
      <c r="AE21"/>
      <c r="AF21"/>
      <c r="AG21"/>
      <c r="AH21"/>
      <c r="AI21"/>
      <c r="AJ21"/>
      <c r="AK21"/>
      <c r="AL21"/>
      <c r="AM21"/>
      <c r="AN21"/>
      <c r="AO21"/>
    </row>
    <row r="22" spans="1:41">
      <c r="A22" s="1147"/>
      <c r="B22" s="1159"/>
      <c r="C22" s="1088"/>
      <c r="D22" s="1160"/>
      <c r="E22" s="1089"/>
      <c r="F22" s="1161"/>
      <c r="G22" s="1162"/>
      <c r="H22" s="1152"/>
      <c r="I22" s="1093"/>
      <c r="J22" s="1152"/>
      <c r="K22" s="1093"/>
      <c r="L22" s="1152"/>
      <c r="M22" s="1093"/>
      <c r="N22" s="1152"/>
      <c r="O22" s="1093"/>
      <c r="P22" s="1152"/>
      <c r="Q22" s="1093"/>
      <c r="R22" s="1152"/>
      <c r="S22" s="1093"/>
    </row>
    <row r="23" spans="1:41">
      <c r="A23" s="1097"/>
      <c r="B23" s="1159"/>
      <c r="C23" s="415"/>
      <c r="D23" s="430"/>
      <c r="E23" s="422"/>
      <c r="F23" s="431"/>
      <c r="G23" s="1162"/>
      <c r="H23" s="1152"/>
      <c r="I23" s="1093"/>
      <c r="J23" s="1152"/>
      <c r="K23" s="1093"/>
      <c r="L23" s="1152"/>
      <c r="M23" s="1093"/>
      <c r="N23" s="1152"/>
      <c r="O23" s="1093"/>
      <c r="P23" s="1152"/>
      <c r="Q23" s="1093"/>
      <c r="R23" s="1152"/>
      <c r="S23" s="1093"/>
    </row>
    <row r="24" spans="1:41">
      <c r="A24" s="1147"/>
      <c r="B24" s="1159"/>
      <c r="C24" s="415"/>
      <c r="D24" s="430"/>
      <c r="E24" s="422"/>
      <c r="F24" s="431"/>
      <c r="G24" s="1162"/>
      <c r="H24" s="1152"/>
      <c r="I24" s="1093"/>
      <c r="J24" s="1152"/>
      <c r="K24" s="1093"/>
      <c r="L24" s="1152"/>
      <c r="M24" s="1093"/>
      <c r="N24" s="1152"/>
      <c r="O24" s="1093"/>
      <c r="P24" s="1152"/>
      <c r="Q24" s="1093"/>
      <c r="R24" s="1152"/>
      <c r="S24" s="1093"/>
    </row>
    <row r="25" spans="1:41">
      <c r="A25" s="1097"/>
      <c r="B25" s="1159"/>
      <c r="C25" s="415"/>
      <c r="D25" s="430"/>
      <c r="E25" s="422"/>
      <c r="F25" s="431"/>
      <c r="G25" s="1162"/>
      <c r="H25" s="1152"/>
      <c r="I25" s="1093"/>
      <c r="J25" s="1152"/>
      <c r="K25" s="1093"/>
      <c r="L25" s="1152"/>
      <c r="M25" s="1093"/>
      <c r="N25" s="1152"/>
      <c r="O25" s="1093"/>
      <c r="P25" s="1152"/>
      <c r="Q25" s="1093"/>
      <c r="R25" s="1152"/>
      <c r="S25" s="1093"/>
    </row>
    <row r="26" spans="1:41">
      <c r="A26" s="1147"/>
      <c r="B26" s="1159"/>
      <c r="C26" s="415"/>
      <c r="D26" s="430"/>
      <c r="E26" s="422"/>
      <c r="F26" s="431"/>
      <c r="G26" s="1162"/>
      <c r="H26" s="1152"/>
      <c r="I26" s="1093"/>
      <c r="J26" s="1152"/>
      <c r="K26" s="1093"/>
      <c r="L26" s="1152"/>
      <c r="M26" s="1093"/>
      <c r="N26" s="1152"/>
      <c r="O26" s="1093"/>
      <c r="P26" s="1152"/>
      <c r="Q26" s="1093"/>
      <c r="R26" s="1152"/>
      <c r="S26" s="1093"/>
    </row>
    <row r="27" spans="1:41">
      <c r="A27" s="1097"/>
      <c r="B27" s="1159"/>
      <c r="C27" s="415"/>
      <c r="D27" s="430"/>
      <c r="E27" s="422"/>
      <c r="F27" s="431"/>
      <c r="G27" s="1162"/>
      <c r="H27" s="1152"/>
      <c r="I27" s="1093"/>
      <c r="J27" s="1152"/>
      <c r="K27" s="1093"/>
      <c r="L27" s="1152"/>
      <c r="M27" s="1093"/>
      <c r="N27" s="1152"/>
      <c r="O27" s="1093"/>
      <c r="P27" s="1152"/>
      <c r="Q27" s="1093"/>
      <c r="R27" s="1152"/>
      <c r="S27" s="1093"/>
    </row>
    <row r="28" spans="1:41">
      <c r="A28" s="1147"/>
      <c r="B28" s="1159"/>
      <c r="C28" s="415"/>
      <c r="D28" s="430"/>
      <c r="E28" s="422"/>
      <c r="F28" s="431"/>
      <c r="G28" s="1162"/>
      <c r="H28" s="1152"/>
      <c r="I28" s="1093"/>
      <c r="J28" s="1152"/>
      <c r="K28" s="1093"/>
      <c r="L28" s="1152"/>
      <c r="M28" s="1093"/>
      <c r="N28" s="1152"/>
      <c r="O28" s="1093"/>
      <c r="P28" s="1152"/>
      <c r="Q28" s="1093"/>
      <c r="R28" s="1152"/>
      <c r="S28" s="1093"/>
    </row>
    <row r="29" spans="1:41">
      <c r="A29" s="1097"/>
      <c r="B29" s="1159"/>
      <c r="C29" s="415"/>
      <c r="D29" s="430"/>
      <c r="E29" s="422"/>
      <c r="F29" s="431"/>
      <c r="G29" s="1162"/>
      <c r="H29" s="1152"/>
      <c r="I29" s="1093"/>
      <c r="J29" s="1152"/>
      <c r="K29" s="1093"/>
      <c r="L29" s="1152"/>
      <c r="M29" s="1093"/>
      <c r="N29" s="1152"/>
      <c r="O29" s="1093"/>
      <c r="P29" s="1152"/>
      <c r="Q29" s="1093"/>
      <c r="R29" s="1152"/>
      <c r="S29" s="1093"/>
    </row>
    <row r="30" spans="1:41">
      <c r="A30" s="1147"/>
      <c r="B30" s="1159"/>
      <c r="C30" s="415"/>
      <c r="D30" s="430"/>
      <c r="E30" s="422"/>
      <c r="F30" s="431"/>
      <c r="G30" s="1162"/>
      <c r="H30" s="1152"/>
      <c r="I30" s="1093"/>
      <c r="J30" s="1152"/>
      <c r="K30" s="1093"/>
      <c r="L30" s="1152"/>
      <c r="M30" s="1093"/>
      <c r="N30" s="1152"/>
      <c r="O30" s="1093"/>
      <c r="P30" s="1152"/>
      <c r="Q30" s="1093"/>
      <c r="R30" s="1152"/>
      <c r="S30" s="1093"/>
    </row>
    <row r="31" spans="1:41">
      <c r="A31" s="1097"/>
      <c r="B31" s="1159"/>
      <c r="C31" s="415"/>
      <c r="D31" s="430"/>
      <c r="E31" s="422"/>
      <c r="F31" s="431"/>
      <c r="G31" s="1162"/>
      <c r="H31" s="1152"/>
      <c r="I31" s="1093"/>
      <c r="J31" s="1152"/>
      <c r="K31" s="1093"/>
      <c r="L31" s="1152"/>
      <c r="M31" s="1093"/>
      <c r="N31" s="1152"/>
      <c r="O31" s="1093"/>
      <c r="P31" s="1152"/>
      <c r="Q31" s="1093"/>
      <c r="R31" s="1152"/>
      <c r="S31" s="1093"/>
    </row>
    <row r="32" spans="1:41">
      <c r="A32" s="1147"/>
      <c r="B32" s="1163"/>
      <c r="C32" s="23"/>
      <c r="D32" s="430"/>
      <c r="E32" s="422"/>
      <c r="F32" s="431"/>
      <c r="G32" s="1162"/>
      <c r="H32" s="1152"/>
      <c r="I32" s="1093"/>
      <c r="J32" s="1152"/>
      <c r="K32" s="1093"/>
      <c r="L32" s="1152"/>
      <c r="M32" s="1093"/>
      <c r="N32" s="1152"/>
      <c r="O32" s="1093"/>
      <c r="P32" s="1152"/>
      <c r="Q32" s="1093"/>
      <c r="R32" s="1152"/>
      <c r="S32" s="1093"/>
    </row>
    <row r="33" spans="1:19">
      <c r="A33" s="1097"/>
      <c r="B33" s="1163"/>
      <c r="C33" s="23"/>
      <c r="D33" s="87"/>
      <c r="E33" s="86"/>
      <c r="F33" s="431"/>
      <c r="G33" s="1162"/>
      <c r="H33" s="1152"/>
      <c r="I33" s="1093"/>
      <c r="J33" s="1152"/>
      <c r="K33" s="1093"/>
      <c r="L33" s="1152"/>
      <c r="M33" s="1093"/>
      <c r="N33" s="1152"/>
      <c r="O33" s="1093"/>
      <c r="P33" s="1152"/>
      <c r="Q33" s="1093"/>
      <c r="R33" s="1152"/>
      <c r="S33" s="1093"/>
    </row>
    <row r="34" spans="1:19">
      <c r="A34" s="1147"/>
      <c r="B34" s="1163"/>
      <c r="C34" s="23"/>
      <c r="D34" s="87"/>
      <c r="E34" s="86"/>
      <c r="F34" s="431"/>
      <c r="G34" s="1162"/>
      <c r="H34" s="1152"/>
      <c r="I34" s="1093"/>
      <c r="J34" s="1152"/>
      <c r="K34" s="1093"/>
      <c r="L34" s="1152"/>
      <c r="M34" s="1093"/>
      <c r="N34" s="1152"/>
      <c r="O34" s="1093"/>
      <c r="P34" s="1152"/>
      <c r="Q34" s="1093"/>
      <c r="R34" s="1152"/>
      <c r="S34" s="1093"/>
    </row>
    <row r="35" spans="1:19">
      <c r="A35" s="1147"/>
      <c r="B35" s="1163"/>
      <c r="C35" s="23"/>
      <c r="D35" s="87"/>
      <c r="E35" s="86"/>
      <c r="F35" s="431"/>
      <c r="G35" s="1162"/>
      <c r="H35" s="1152"/>
      <c r="I35" s="1093"/>
      <c r="J35" s="1152"/>
      <c r="K35" s="1093"/>
      <c r="L35" s="1152"/>
      <c r="M35" s="1093"/>
      <c r="N35" s="1152"/>
      <c r="O35" s="1093"/>
      <c r="P35" s="1152"/>
      <c r="Q35" s="1093"/>
      <c r="R35" s="1152"/>
      <c r="S35" s="1093"/>
    </row>
    <row r="36" spans="1:19">
      <c r="A36" s="1147"/>
      <c r="B36" s="1163"/>
      <c r="C36" s="23"/>
      <c r="D36" s="87"/>
      <c r="E36" s="86"/>
      <c r="F36" s="431"/>
      <c r="G36" s="1162"/>
      <c r="H36" s="1152"/>
      <c r="I36" s="1093"/>
      <c r="J36" s="1152"/>
      <c r="K36" s="1093"/>
      <c r="L36" s="1152"/>
      <c r="M36" s="1093"/>
      <c r="N36" s="1152"/>
      <c r="O36" s="1093"/>
      <c r="P36" s="1152"/>
      <c r="Q36" s="1093"/>
      <c r="R36" s="1152"/>
      <c r="S36" s="1093"/>
    </row>
    <row r="37" spans="1:19">
      <c r="A37" s="1147"/>
      <c r="B37" s="1163"/>
      <c r="C37" s="23"/>
      <c r="D37" s="87"/>
      <c r="E37" s="86"/>
      <c r="F37" s="431"/>
      <c r="G37" s="1162"/>
      <c r="H37" s="1152"/>
      <c r="I37" s="1093"/>
      <c r="J37" s="1152"/>
      <c r="K37" s="1093"/>
      <c r="L37" s="1152"/>
      <c r="M37" s="1093"/>
      <c r="N37" s="1152"/>
      <c r="O37" s="1093"/>
      <c r="P37" s="1152"/>
      <c r="Q37" s="1093"/>
      <c r="R37" s="1152"/>
      <c r="S37" s="1093"/>
    </row>
    <row r="38" spans="1:19">
      <c r="A38" s="1147"/>
      <c r="B38" s="1163"/>
      <c r="C38" s="23"/>
      <c r="D38" s="87"/>
      <c r="E38" s="86"/>
      <c r="F38" s="431"/>
      <c r="G38" s="1162"/>
      <c r="H38" s="1152"/>
      <c r="I38" s="1093"/>
      <c r="J38" s="1152"/>
      <c r="K38" s="1093"/>
      <c r="L38" s="1152"/>
      <c r="M38" s="1093"/>
      <c r="N38" s="1152"/>
      <c r="O38" s="1093"/>
      <c r="P38" s="1152"/>
      <c r="Q38" s="1093"/>
      <c r="R38" s="1152"/>
      <c r="S38" s="1093"/>
    </row>
    <row r="39" spans="1:19">
      <c r="A39" s="1147"/>
      <c r="B39" s="1163"/>
      <c r="C39" s="23"/>
      <c r="D39" s="87"/>
      <c r="E39" s="86"/>
      <c r="F39" s="431"/>
      <c r="G39" s="1162"/>
      <c r="H39" s="1152"/>
      <c r="I39" s="1093"/>
      <c r="J39" s="1152"/>
      <c r="K39" s="1093"/>
      <c r="L39" s="1152"/>
      <c r="M39" s="1093"/>
      <c r="N39" s="1152"/>
      <c r="O39" s="1093"/>
      <c r="P39" s="1152"/>
      <c r="Q39" s="1093"/>
      <c r="R39" s="1152"/>
      <c r="S39" s="1093"/>
    </row>
    <row r="40" spans="1:19">
      <c r="A40" s="1147"/>
      <c r="B40" s="1163"/>
      <c r="C40" s="23"/>
      <c r="D40" s="87"/>
      <c r="E40" s="86"/>
      <c r="F40" s="431"/>
      <c r="G40" s="1162"/>
      <c r="H40" s="1152"/>
      <c r="I40" s="1093"/>
      <c r="J40" s="1152"/>
      <c r="K40" s="1093"/>
      <c r="L40" s="1152"/>
      <c r="M40" s="1093"/>
      <c r="N40" s="1152"/>
      <c r="O40" s="1093"/>
      <c r="P40" s="1152"/>
      <c r="Q40" s="1093"/>
      <c r="R40" s="1152"/>
      <c r="S40" s="1093"/>
    </row>
    <row r="41" spans="1:19">
      <c r="A41" s="1147"/>
      <c r="B41" s="1163"/>
      <c r="C41" s="23"/>
      <c r="D41" s="87"/>
      <c r="E41" s="86"/>
      <c r="F41" s="431"/>
      <c r="G41" s="1162"/>
      <c r="H41" s="1152"/>
      <c r="I41" s="1093"/>
      <c r="J41" s="1152"/>
      <c r="K41" s="1093"/>
      <c r="L41" s="1152"/>
      <c r="M41" s="1093"/>
      <c r="N41" s="1152"/>
      <c r="O41" s="1093"/>
      <c r="P41" s="1152"/>
      <c r="Q41" s="1093"/>
      <c r="R41" s="1152"/>
      <c r="S41" s="1093"/>
    </row>
    <row r="42" spans="1:19">
      <c r="A42" s="1147"/>
      <c r="B42" s="1163"/>
      <c r="C42" s="23"/>
      <c r="D42" s="87"/>
      <c r="E42" s="86"/>
      <c r="F42" s="431"/>
      <c r="G42" s="1162"/>
      <c r="H42" s="1152"/>
      <c r="I42" s="1093"/>
      <c r="J42" s="1152"/>
      <c r="K42" s="1093"/>
      <c r="L42" s="1152"/>
      <c r="M42" s="1093"/>
      <c r="N42" s="1152"/>
      <c r="O42" s="1093"/>
      <c r="P42" s="1152"/>
      <c r="Q42" s="1093"/>
      <c r="R42" s="1152"/>
      <c r="S42" s="1093"/>
    </row>
    <row r="43" spans="1:19">
      <c r="A43" s="1147"/>
      <c r="B43" s="1163"/>
      <c r="C43" s="23"/>
      <c r="D43" s="87"/>
      <c r="E43" s="86"/>
      <c r="F43" s="431"/>
      <c r="G43" s="1162"/>
      <c r="H43" s="1152"/>
      <c r="I43" s="1093"/>
      <c r="J43" s="1152"/>
      <c r="K43" s="1093"/>
      <c r="L43" s="1152"/>
      <c r="M43" s="1093"/>
      <c r="N43" s="1152"/>
      <c r="O43" s="1093"/>
      <c r="P43" s="1152"/>
      <c r="Q43" s="1093"/>
      <c r="R43" s="1152"/>
      <c r="S43" s="1093"/>
    </row>
    <row r="44" spans="1:19">
      <c r="A44" s="1147"/>
      <c r="B44" s="1163"/>
      <c r="C44" s="23"/>
      <c r="D44" s="87"/>
      <c r="E44" s="86"/>
      <c r="F44" s="431"/>
      <c r="G44" s="1162"/>
      <c r="H44" s="1152"/>
      <c r="I44" s="1093"/>
      <c r="J44" s="1152"/>
      <c r="K44" s="1093"/>
      <c r="L44" s="1152"/>
      <c r="M44" s="1093"/>
      <c r="N44" s="1152"/>
      <c r="O44" s="1093"/>
      <c r="P44" s="1152"/>
      <c r="Q44" s="1093"/>
      <c r="R44" s="1152"/>
      <c r="S44" s="1093"/>
    </row>
    <row r="45" spans="1:19">
      <c r="A45" s="1147"/>
      <c r="B45" s="1163"/>
      <c r="C45" s="23"/>
      <c r="D45" s="87"/>
      <c r="E45" s="86"/>
      <c r="F45" s="431"/>
      <c r="G45" s="1162"/>
      <c r="H45" s="1152"/>
      <c r="I45" s="1093"/>
      <c r="J45" s="1152"/>
      <c r="K45" s="1093"/>
      <c r="L45" s="1152"/>
      <c r="M45" s="1093"/>
      <c r="N45" s="1152"/>
      <c r="O45" s="1093"/>
      <c r="P45" s="1152"/>
      <c r="Q45" s="1093"/>
      <c r="R45" s="1152"/>
      <c r="S45" s="1093"/>
    </row>
    <row r="46" spans="1:19">
      <c r="A46" s="1147"/>
      <c r="B46" s="1163"/>
      <c r="C46" s="23"/>
      <c r="D46" s="87"/>
      <c r="E46" s="86"/>
      <c r="F46" s="431"/>
      <c r="G46" s="1162"/>
      <c r="H46" s="1152"/>
      <c r="I46" s="1093"/>
      <c r="J46" s="1152"/>
      <c r="K46" s="1093"/>
      <c r="L46" s="1152"/>
      <c r="M46" s="1093"/>
      <c r="N46" s="1152"/>
      <c r="O46" s="1093"/>
      <c r="P46" s="1152"/>
      <c r="Q46" s="1093"/>
      <c r="R46" s="1152"/>
      <c r="S46" s="1093"/>
    </row>
    <row r="47" spans="1:19">
      <c r="A47" s="1147"/>
      <c r="B47" s="1163"/>
      <c r="C47" s="23"/>
      <c r="D47" s="87"/>
      <c r="E47" s="86"/>
      <c r="F47" s="431"/>
      <c r="G47" s="1162"/>
      <c r="H47" s="1152"/>
      <c r="I47" s="1093"/>
      <c r="J47" s="1152"/>
      <c r="K47" s="1093"/>
      <c r="L47" s="1152"/>
      <c r="M47" s="1093"/>
      <c r="N47" s="1152"/>
      <c r="O47" s="1093"/>
      <c r="P47" s="1152"/>
      <c r="Q47" s="1093"/>
      <c r="R47" s="1152"/>
      <c r="S47" s="1093"/>
    </row>
    <row r="48" spans="1:19">
      <c r="A48" s="1147"/>
      <c r="B48" s="1163"/>
      <c r="C48" s="23"/>
      <c r="D48" s="87"/>
      <c r="E48" s="86"/>
      <c r="F48" s="431"/>
      <c r="G48" s="1162"/>
      <c r="H48" s="1152"/>
      <c r="I48" s="1093"/>
      <c r="J48" s="1152"/>
      <c r="K48" s="1093"/>
      <c r="L48" s="1152"/>
      <c r="M48" s="1093"/>
      <c r="N48" s="1152"/>
      <c r="O48" s="1093"/>
      <c r="P48" s="1152"/>
      <c r="Q48" s="1093"/>
      <c r="R48" s="1152"/>
      <c r="S48" s="1093"/>
    </row>
    <row r="49" spans="1:34">
      <c r="A49" s="1147"/>
      <c r="B49" s="1163"/>
      <c r="C49" s="23"/>
      <c r="D49" s="87"/>
      <c r="E49" s="86"/>
      <c r="F49" s="431"/>
      <c r="G49" s="830"/>
      <c r="H49" s="1152"/>
      <c r="I49" s="1093"/>
      <c r="J49" s="1152"/>
      <c r="K49" s="1093"/>
      <c r="L49" s="1152"/>
      <c r="M49" s="1093"/>
      <c r="N49" s="1152"/>
      <c r="O49" s="1093"/>
      <c r="P49" s="1152"/>
      <c r="Q49" s="1093"/>
      <c r="R49" s="1152"/>
      <c r="S49" s="1093"/>
    </row>
    <row r="50" spans="1:34" ht="15.75" thickBot="1">
      <c r="A50" s="1147"/>
      <c r="B50" s="1163"/>
      <c r="C50" s="23"/>
      <c r="D50" s="87"/>
      <c r="E50" s="86"/>
      <c r="F50" s="431"/>
      <c r="G50" s="830"/>
      <c r="H50" s="1152"/>
      <c r="I50" s="1093"/>
      <c r="J50" s="1152"/>
      <c r="K50" s="1093"/>
      <c r="L50" s="1152"/>
      <c r="M50" s="1093"/>
      <c r="N50" s="1152"/>
      <c r="O50" s="1093"/>
      <c r="P50" s="1152"/>
      <c r="Q50" s="1093"/>
      <c r="R50" s="1152"/>
      <c r="S50" s="1093"/>
    </row>
    <row r="51" spans="1:34" ht="15.75" thickTop="1">
      <c r="A51" s="296"/>
      <c r="B51" s="301"/>
      <c r="C51" s="297"/>
      <c r="D51" s="15"/>
      <c r="E51" s="16"/>
      <c r="F51" s="282" t="s">
        <v>753</v>
      </c>
      <c r="G51" s="272"/>
      <c r="H51" s="273"/>
      <c r="I51" s="273">
        <f>SUM(I11:I50)</f>
        <v>0</v>
      </c>
      <c r="J51" s="273"/>
      <c r="K51" s="273">
        <f>SUM(K11:K50)</f>
        <v>0</v>
      </c>
      <c r="L51" s="273"/>
      <c r="M51" s="273">
        <f>SUM(M11:M50)</f>
        <v>0</v>
      </c>
      <c r="N51" s="273"/>
      <c r="O51" s="273">
        <f>SUM(O11:O50)</f>
        <v>0</v>
      </c>
      <c r="P51" s="273"/>
      <c r="Q51" s="273">
        <f>SUM(Q11:Q50)</f>
        <v>0</v>
      </c>
      <c r="R51" s="273"/>
      <c r="S51" s="273">
        <f>SUM(S11:S50)</f>
        <v>0</v>
      </c>
    </row>
    <row r="52" spans="1:34">
      <c r="A52" s="1114"/>
      <c r="B52" s="1164"/>
      <c r="C52" s="432"/>
      <c r="D52" s="433"/>
      <c r="E52" s="434"/>
      <c r="F52" s="435" t="s">
        <v>754</v>
      </c>
      <c r="G52" s="436"/>
      <c r="H52" s="1165">
        <v>0</v>
      </c>
      <c r="I52" s="1166"/>
      <c r="J52" s="1165">
        <v>0</v>
      </c>
      <c r="K52" s="1166"/>
      <c r="L52" s="1165">
        <v>0</v>
      </c>
      <c r="M52" s="1166"/>
      <c r="N52" s="1165">
        <v>0</v>
      </c>
      <c r="O52" s="1166"/>
      <c r="P52" s="1165">
        <v>0</v>
      </c>
      <c r="Q52" s="1166"/>
      <c r="R52" s="1165">
        <v>0</v>
      </c>
      <c r="S52" s="1166"/>
    </row>
    <row r="53" spans="1:34">
      <c r="A53" s="1114"/>
      <c r="B53" s="1164"/>
      <c r="C53" s="432"/>
      <c r="D53" s="433"/>
      <c r="E53" s="434"/>
      <c r="F53" s="435" t="s">
        <v>755</v>
      </c>
      <c r="G53" s="436"/>
      <c r="H53" s="1166"/>
      <c r="I53" s="1166">
        <f>H52*I51</f>
        <v>0</v>
      </c>
      <c r="J53" s="1166"/>
      <c r="K53" s="1166">
        <f>J52*K51</f>
        <v>0</v>
      </c>
      <c r="L53" s="1166"/>
      <c r="M53" s="1166">
        <f>L52*M51</f>
        <v>0</v>
      </c>
      <c r="N53" s="1166"/>
      <c r="O53" s="1166">
        <f>N52*O51</f>
        <v>0</v>
      </c>
      <c r="P53" s="1166"/>
      <c r="Q53" s="1166">
        <f>P52*Q51</f>
        <v>0</v>
      </c>
      <c r="R53" s="1166"/>
      <c r="S53" s="1166">
        <f>R52*S51</f>
        <v>0</v>
      </c>
    </row>
    <row r="54" spans="1:34">
      <c r="A54" s="1114"/>
      <c r="B54" s="1164"/>
      <c r="C54" s="432"/>
      <c r="D54" s="433"/>
      <c r="E54" s="434"/>
      <c r="F54" s="435"/>
      <c r="G54" s="436"/>
      <c r="H54" s="1166"/>
      <c r="I54" s="1166"/>
      <c r="J54" s="1166"/>
      <c r="K54" s="1166"/>
      <c r="L54" s="1166"/>
      <c r="M54" s="1166"/>
      <c r="N54" s="1166"/>
      <c r="O54" s="1166"/>
      <c r="P54" s="1166"/>
      <c r="Q54" s="1166"/>
      <c r="R54" s="1166"/>
      <c r="S54" s="1166"/>
    </row>
    <row r="55" spans="1:34">
      <c r="A55" s="1114"/>
      <c r="B55" s="1164"/>
      <c r="C55" s="432"/>
      <c r="D55" s="433"/>
      <c r="E55" s="434"/>
      <c r="F55" s="435" t="s">
        <v>756</v>
      </c>
      <c r="G55" s="436"/>
      <c r="H55" s="1166"/>
      <c r="I55" s="1166">
        <f>SUM(I51:I53)</f>
        <v>0</v>
      </c>
      <c r="J55" s="1166"/>
      <c r="K55" s="1166">
        <f>SUM(K51:K53)</f>
        <v>0</v>
      </c>
      <c r="L55" s="1166"/>
      <c r="M55" s="1166">
        <f>SUM(M51:M53)</f>
        <v>0</v>
      </c>
      <c r="N55" s="1166"/>
      <c r="O55" s="1166">
        <f>SUM(O51:O53)</f>
        <v>0</v>
      </c>
      <c r="P55" s="1166"/>
      <c r="Q55" s="1166">
        <f>SUM(Q51:Q53)</f>
        <v>0</v>
      </c>
      <c r="R55" s="1166"/>
      <c r="S55" s="1166">
        <f>SUM(S51:S53)</f>
        <v>0</v>
      </c>
    </row>
    <row r="56" spans="1:34">
      <c r="A56" s="1114"/>
      <c r="B56" s="1164"/>
      <c r="C56" s="432"/>
      <c r="D56" s="433"/>
      <c r="E56" s="434"/>
      <c r="F56" s="437" t="s">
        <v>757</v>
      </c>
      <c r="G56" s="438"/>
      <c r="H56" s="1167"/>
      <c r="I56" s="1167">
        <f>I55/'Area Calculations'!$G$4</f>
        <v>0</v>
      </c>
      <c r="J56" s="1167"/>
      <c r="K56" s="1167">
        <f>K55/'Area Calculations'!$G$4</f>
        <v>0</v>
      </c>
      <c r="L56" s="1167"/>
      <c r="M56" s="1167">
        <f>M55/'Area Calculations'!$G$4</f>
        <v>0</v>
      </c>
      <c r="N56" s="1167"/>
      <c r="O56" s="1167">
        <f>O55/'Area Calculations'!$G$4</f>
        <v>0</v>
      </c>
      <c r="P56" s="1167"/>
      <c r="Q56" s="1167">
        <f>Q55/'Area Calculations'!$G$4</f>
        <v>0</v>
      </c>
      <c r="R56" s="1167"/>
      <c r="S56" s="1167">
        <f>S55/'Area Calculations'!$G$4</f>
        <v>0</v>
      </c>
    </row>
    <row r="57" spans="1:34">
      <c r="A57" s="1114"/>
      <c r="B57" s="1164"/>
      <c r="C57" s="432"/>
      <c r="D57" s="433"/>
      <c r="E57" s="434"/>
      <c r="F57" s="437" t="s">
        <v>758</v>
      </c>
      <c r="G57" s="438"/>
      <c r="H57" s="1167"/>
      <c r="I57" s="1167">
        <f>I55/'Area Calculations'!$G$9</f>
        <v>0</v>
      </c>
      <c r="J57" s="1167"/>
      <c r="K57" s="1167">
        <f>K55/'Area Calculations'!$G$9</f>
        <v>0</v>
      </c>
      <c r="L57" s="1167"/>
      <c r="M57" s="1167">
        <f>M55/'Area Calculations'!$G$9</f>
        <v>0</v>
      </c>
      <c r="N57" s="1167"/>
      <c r="O57" s="1167">
        <f>O55/'Area Calculations'!$G$9</f>
        <v>0</v>
      </c>
      <c r="P57" s="1167"/>
      <c r="Q57" s="1167">
        <f>Q55/'Area Calculations'!$G$9</f>
        <v>0</v>
      </c>
      <c r="R57" s="1167"/>
      <c r="S57" s="1167">
        <f>S55/'Area Calculations'!$G$9</f>
        <v>0</v>
      </c>
    </row>
    <row r="58" spans="1:34" ht="15.75" thickBot="1">
      <c r="A58" s="1114"/>
      <c r="B58" s="1164"/>
      <c r="C58" s="432"/>
      <c r="D58" s="433"/>
      <c r="E58" s="434"/>
      <c r="F58" s="439"/>
      <c r="G58" s="436"/>
      <c r="H58" s="1168"/>
      <c r="I58" s="1168"/>
      <c r="J58" s="1168"/>
      <c r="K58" s="1168"/>
      <c r="L58" s="1168"/>
      <c r="M58" s="1168"/>
      <c r="N58" s="1168"/>
      <c r="O58" s="1168"/>
      <c r="P58" s="1168"/>
      <c r="Q58" s="1168"/>
      <c r="R58" s="1168"/>
      <c r="S58" s="1168"/>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1169"/>
      <c r="B60" s="1105"/>
      <c r="C60" s="1088"/>
      <c r="D60" s="1089"/>
      <c r="E60" s="1089"/>
      <c r="F60" s="1089"/>
      <c r="G60" s="1170"/>
      <c r="H60" s="1171"/>
      <c r="I60" s="1172"/>
      <c r="J60" s="1172"/>
      <c r="K60" s="1172"/>
      <c r="L60" s="1172"/>
      <c r="M60" s="1172"/>
      <c r="N60" s="1172"/>
      <c r="O60" s="1172"/>
      <c r="P60" s="1172"/>
      <c r="Q60" s="1172"/>
      <c r="R60" s="1172"/>
      <c r="S60" s="1172"/>
    </row>
    <row r="61" spans="1:34">
      <c r="A61" s="1169"/>
      <c r="B61" s="1105"/>
      <c r="C61" s="1088"/>
      <c r="D61" s="1089"/>
      <c r="E61" s="1089"/>
      <c r="F61" s="1089"/>
      <c r="G61" s="1170"/>
      <c r="H61" s="1171"/>
      <c r="I61" s="1172"/>
      <c r="J61" s="1172"/>
      <c r="K61" s="1172"/>
      <c r="L61" s="1172"/>
      <c r="M61" s="1172"/>
      <c r="N61" s="1172"/>
      <c r="O61" s="1172"/>
      <c r="P61" s="1172"/>
      <c r="Q61" s="1172"/>
      <c r="R61" s="1172"/>
      <c r="S61" s="1172"/>
    </row>
    <row r="62" spans="1:34" ht="15.75" thickBot="1">
      <c r="A62" s="1169"/>
      <c r="B62" s="1105"/>
      <c r="C62" s="1088"/>
      <c r="D62" s="1089"/>
      <c r="E62" s="1089"/>
      <c r="F62" s="1089"/>
      <c r="G62" s="1170"/>
      <c r="H62" s="1171"/>
      <c r="I62" s="1172"/>
      <c r="J62" s="1172"/>
      <c r="K62" s="1172"/>
      <c r="L62" s="1172"/>
      <c r="M62" s="1172"/>
      <c r="N62" s="1172"/>
      <c r="O62" s="1172"/>
      <c r="P62" s="1172"/>
      <c r="Q62" s="1172"/>
      <c r="R62" s="1172"/>
      <c r="S62" s="1172"/>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1169"/>
      <c r="B64" s="1105"/>
      <c r="C64" s="1088"/>
      <c r="D64" s="1089"/>
      <c r="E64" s="1089"/>
      <c r="F64" s="1089"/>
      <c r="G64" s="1170"/>
      <c r="H64" s="1171"/>
      <c r="I64" s="1172"/>
      <c r="J64" s="1172"/>
      <c r="K64" s="1172"/>
      <c r="L64" s="1172"/>
      <c r="M64" s="1172"/>
      <c r="N64" s="1172"/>
      <c r="O64" s="1172"/>
      <c r="P64" s="1172"/>
      <c r="Q64" s="1172"/>
      <c r="R64" s="1172"/>
      <c r="S64" s="1172"/>
      <c r="T64"/>
      <c r="U64"/>
      <c r="V64"/>
      <c r="W64"/>
      <c r="X64"/>
      <c r="Y64"/>
      <c r="Z64"/>
      <c r="AA64"/>
      <c r="AB64"/>
      <c r="AC64"/>
      <c r="AD64"/>
      <c r="AE64"/>
      <c r="AF64"/>
      <c r="AG64"/>
      <c r="AH64"/>
    </row>
    <row r="65" spans="1:34" s="2" customFormat="1">
      <c r="A65" s="1169"/>
      <c r="B65" s="1105"/>
      <c r="C65" s="1088"/>
      <c r="D65" s="1089"/>
      <c r="E65" s="1089"/>
      <c r="F65" s="1089"/>
      <c r="G65" s="1170"/>
      <c r="H65" s="1171"/>
      <c r="I65" s="1172"/>
      <c r="J65" s="1172"/>
      <c r="K65" s="1172"/>
      <c r="L65" s="1172"/>
      <c r="M65" s="1172"/>
      <c r="N65" s="1172"/>
      <c r="O65" s="1172"/>
      <c r="P65" s="1172"/>
      <c r="Q65" s="1172"/>
      <c r="R65" s="1172"/>
      <c r="S65" s="1172"/>
      <c r="T65"/>
      <c r="U65"/>
      <c r="V65"/>
      <c r="W65"/>
      <c r="X65"/>
      <c r="Y65"/>
      <c r="Z65"/>
      <c r="AA65"/>
      <c r="AB65"/>
      <c r="AC65"/>
      <c r="AD65"/>
      <c r="AE65"/>
      <c r="AF65"/>
      <c r="AG65"/>
      <c r="AH65"/>
    </row>
    <row r="66" spans="1:34" ht="15.75" thickBot="1">
      <c r="A66" s="1169"/>
      <c r="B66" s="1105"/>
      <c r="C66" s="1088"/>
      <c r="D66" s="1089"/>
      <c r="E66" s="1089"/>
      <c r="F66" s="1089"/>
      <c r="G66" s="1170"/>
      <c r="H66" s="1171"/>
      <c r="I66" s="1172"/>
      <c r="J66" s="1172"/>
      <c r="K66" s="1172"/>
      <c r="L66" s="1172"/>
      <c r="M66" s="1172"/>
      <c r="N66" s="1172"/>
      <c r="O66" s="1172"/>
      <c r="P66" s="1172"/>
      <c r="Q66" s="1172"/>
      <c r="R66" s="1172"/>
      <c r="S66" s="1172"/>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1169"/>
      <c r="B68" s="1105"/>
      <c r="C68" s="1088"/>
      <c r="D68" s="1089"/>
      <c r="E68" s="1089"/>
      <c r="F68" s="1089"/>
      <c r="G68" s="1170"/>
      <c r="H68" s="1171"/>
      <c r="I68" s="1172"/>
      <c r="J68" s="1172"/>
      <c r="K68" s="1172"/>
      <c r="L68" s="1172"/>
      <c r="M68" s="1172"/>
      <c r="N68" s="1172"/>
      <c r="O68" s="1172"/>
      <c r="P68" s="1172"/>
      <c r="Q68" s="1172"/>
      <c r="R68" s="1172"/>
      <c r="S68" s="1172"/>
      <c r="T68"/>
      <c r="U68"/>
      <c r="V68"/>
      <c r="W68"/>
      <c r="X68"/>
      <c r="Y68"/>
      <c r="Z68"/>
      <c r="AA68"/>
      <c r="AB68"/>
      <c r="AC68"/>
      <c r="AD68"/>
      <c r="AE68"/>
      <c r="AF68"/>
      <c r="AG68"/>
      <c r="AH68"/>
    </row>
    <row r="69" spans="1:34" s="2" customFormat="1">
      <c r="A69" s="1124"/>
      <c r="B69" s="1105"/>
      <c r="C69" s="415"/>
      <c r="D69" s="422"/>
      <c r="E69" s="422"/>
      <c r="F69" s="422"/>
      <c r="G69" s="831"/>
      <c r="H69" s="440"/>
      <c r="I69" s="1173"/>
      <c r="J69" s="1173"/>
      <c r="K69" s="1173"/>
      <c r="L69" s="1173"/>
      <c r="M69" s="1173"/>
      <c r="N69" s="1173"/>
      <c r="O69" s="1173"/>
      <c r="P69" s="1173"/>
      <c r="Q69" s="1173"/>
      <c r="R69" s="1173"/>
      <c r="S69" s="1173"/>
      <c r="T69"/>
      <c r="U69"/>
      <c r="V69"/>
      <c r="W69"/>
      <c r="X69"/>
      <c r="Y69"/>
      <c r="Z69"/>
      <c r="AA69"/>
      <c r="AB69"/>
      <c r="AC69"/>
      <c r="AD69"/>
      <c r="AE69"/>
      <c r="AF69"/>
      <c r="AG69"/>
      <c r="AH69"/>
    </row>
    <row r="70" spans="1:34" s="2" customFormat="1" ht="15.75" thickBot="1">
      <c r="A70" s="1126"/>
      <c r="B70" s="1174"/>
      <c r="C70" s="415"/>
      <c r="D70" s="422"/>
      <c r="E70" s="422"/>
      <c r="F70" s="422"/>
      <c r="G70" s="831"/>
      <c r="H70" s="441"/>
      <c r="I70" s="1175"/>
      <c r="J70" s="1175"/>
      <c r="K70" s="1175"/>
      <c r="L70" s="1175"/>
      <c r="M70" s="1175"/>
      <c r="N70" s="1175"/>
      <c r="O70" s="1175"/>
      <c r="P70" s="1175"/>
      <c r="Q70" s="1175"/>
      <c r="R70" s="1175"/>
      <c r="S70" s="1175"/>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1176"/>
      <c r="B72" s="1177"/>
      <c r="C72" s="1088"/>
      <c r="D72" s="1089"/>
      <c r="E72" s="1089"/>
      <c r="F72" s="1089"/>
      <c r="G72" s="1170"/>
      <c r="H72" s="1171"/>
      <c r="I72" s="1172"/>
      <c r="J72" s="1172"/>
      <c r="K72" s="1172"/>
      <c r="L72" s="1172"/>
      <c r="M72" s="1172"/>
      <c r="N72" s="1172"/>
      <c r="O72" s="1172"/>
      <c r="P72" s="1172"/>
      <c r="Q72" s="1172"/>
      <c r="R72" s="1172"/>
      <c r="S72" s="1172"/>
      <c r="T72" s="2"/>
      <c r="U72" s="2"/>
      <c r="V72" s="2"/>
      <c r="W72" s="2"/>
      <c r="X72" s="2"/>
      <c r="Y72" s="2"/>
      <c r="Z72" s="2"/>
      <c r="AA72" s="2"/>
      <c r="AB72" s="2"/>
      <c r="AC72" s="2"/>
      <c r="AD72" s="2"/>
      <c r="AE72" s="2"/>
      <c r="AF72" s="2"/>
      <c r="AG72" s="2"/>
      <c r="AH72" s="2"/>
    </row>
    <row r="73" spans="1:34">
      <c r="A73" s="1126"/>
      <c r="B73" s="1174"/>
      <c r="C73" s="415"/>
      <c r="D73" s="422"/>
      <c r="E73" s="422"/>
      <c r="F73" s="422"/>
      <c r="G73" s="831"/>
      <c r="H73" s="442"/>
      <c r="I73" s="1178"/>
      <c r="J73" s="1178"/>
      <c r="K73" s="1178"/>
      <c r="L73" s="1178"/>
      <c r="M73" s="1178"/>
      <c r="N73" s="1178"/>
      <c r="O73" s="1178"/>
      <c r="P73" s="1178"/>
      <c r="Q73" s="1178"/>
      <c r="R73" s="1178"/>
      <c r="S73" s="1178"/>
      <c r="T73" s="2"/>
      <c r="U73" s="2"/>
      <c r="V73" s="2"/>
      <c r="W73" s="2"/>
      <c r="X73" s="2"/>
      <c r="Y73" s="2"/>
      <c r="Z73" s="2"/>
      <c r="AA73" s="2"/>
      <c r="AB73" s="2"/>
      <c r="AC73" s="2"/>
      <c r="AD73" s="2"/>
      <c r="AE73" s="2"/>
      <c r="AF73" s="2"/>
      <c r="AG73" s="2"/>
      <c r="AH73" s="2"/>
    </row>
    <row r="74" spans="1:34" ht="15.75" thickBot="1">
      <c r="A74" s="1126"/>
      <c r="B74" s="1174"/>
      <c r="C74" s="415"/>
      <c r="D74" s="422"/>
      <c r="E74" s="422"/>
      <c r="F74" s="422"/>
      <c r="G74" s="831"/>
      <c r="H74" s="442"/>
      <c r="I74" s="1178"/>
      <c r="J74" s="1178"/>
      <c r="K74" s="1178"/>
      <c r="L74" s="1178"/>
      <c r="M74" s="1178"/>
      <c r="N74" s="1178"/>
      <c r="O74" s="1178"/>
      <c r="P74" s="1178"/>
      <c r="Q74" s="1178"/>
      <c r="R74" s="1178"/>
      <c r="S74" s="1178"/>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1105" t="s">
        <v>764</v>
      </c>
      <c r="C76" s="415"/>
      <c r="D76" s="422"/>
      <c r="E76" s="422"/>
      <c r="F76" s="422"/>
      <c r="G76" s="831"/>
      <c r="H76" s="442"/>
      <c r="I76" s="1178"/>
      <c r="J76" s="1178"/>
      <c r="K76" s="1178"/>
      <c r="L76" s="1178"/>
      <c r="M76" s="1178"/>
      <c r="N76" s="1178"/>
      <c r="O76" s="1178"/>
      <c r="P76" s="1178"/>
      <c r="Q76" s="1178"/>
      <c r="R76" s="1178"/>
      <c r="S76" s="1178"/>
    </row>
    <row r="77" spans="1:34">
      <c r="A77" s="1124"/>
      <c r="B77" s="1105" t="s">
        <v>765</v>
      </c>
      <c r="C77" s="415"/>
      <c r="D77" s="422"/>
      <c r="E77" s="422"/>
      <c r="F77" s="422"/>
      <c r="G77" s="831"/>
      <c r="H77" s="442"/>
      <c r="I77" s="1178"/>
      <c r="J77" s="1178"/>
      <c r="K77" s="1178"/>
      <c r="L77" s="1178"/>
      <c r="M77" s="1178"/>
      <c r="N77" s="1178"/>
      <c r="O77" s="1178"/>
      <c r="P77" s="1178"/>
      <c r="Q77" s="1178"/>
      <c r="R77" s="1178"/>
      <c r="S77" s="1178"/>
    </row>
    <row r="78" spans="1:34">
      <c r="A78" s="1124"/>
      <c r="B78" s="1105" t="s">
        <v>766</v>
      </c>
      <c r="C78" s="415"/>
      <c r="D78" s="422"/>
      <c r="E78" s="422"/>
      <c r="F78" s="422"/>
      <c r="G78" s="831"/>
      <c r="H78" s="442"/>
      <c r="I78" s="1178"/>
      <c r="J78" s="1178"/>
      <c r="K78" s="1178"/>
      <c r="L78" s="1178"/>
      <c r="M78" s="1178"/>
      <c r="N78" s="1178"/>
      <c r="O78" s="1178"/>
      <c r="P78" s="1178"/>
      <c r="Q78" s="1178"/>
      <c r="R78" s="1178"/>
      <c r="S78" s="1178"/>
    </row>
    <row r="79" spans="1:34">
      <c r="A79" s="1124"/>
      <c r="B79" s="1105" t="s">
        <v>767</v>
      </c>
      <c r="C79" s="415"/>
      <c r="D79" s="422"/>
      <c r="E79" s="422"/>
      <c r="F79" s="422"/>
      <c r="G79" s="831"/>
      <c r="H79" s="442"/>
      <c r="I79" s="1178"/>
      <c r="J79" s="1178"/>
      <c r="K79" s="1178"/>
      <c r="L79" s="1178"/>
      <c r="M79" s="1178"/>
      <c r="N79" s="1178"/>
      <c r="O79" s="1178"/>
      <c r="P79" s="1178"/>
      <c r="Q79" s="1178"/>
      <c r="R79" s="1178"/>
      <c r="S79" s="1178"/>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1169"/>
      <c r="B82" s="1179" t="s">
        <v>769</v>
      </c>
      <c r="C82" s="1088"/>
      <c r="D82" s="1089"/>
      <c r="E82" s="1089"/>
      <c r="F82" s="1089"/>
      <c r="G82" s="1170"/>
      <c r="H82" s="1180"/>
      <c r="I82" s="1181"/>
      <c r="J82" s="1181"/>
      <c r="K82" s="1181"/>
      <c r="L82" s="1181"/>
      <c r="M82" s="1181"/>
      <c r="N82" s="1181"/>
      <c r="O82" s="1181"/>
      <c r="P82" s="1181"/>
      <c r="Q82" s="1181"/>
      <c r="R82" s="1181"/>
      <c r="S82" s="1181"/>
    </row>
    <row r="83" spans="1:19">
      <c r="A83" s="1124"/>
      <c r="B83" s="1105" t="s">
        <v>770</v>
      </c>
      <c r="C83" s="415"/>
      <c r="D83" s="422"/>
      <c r="E83" s="422"/>
      <c r="F83" s="422"/>
      <c r="G83" s="831"/>
      <c r="H83" s="445"/>
      <c r="I83" s="1182"/>
      <c r="J83" s="1182"/>
      <c r="K83" s="1182"/>
      <c r="L83" s="1182"/>
      <c r="M83" s="1182"/>
      <c r="N83" s="1182"/>
      <c r="O83" s="1182"/>
      <c r="P83" s="1182"/>
      <c r="Q83" s="1182"/>
      <c r="R83" s="1182"/>
      <c r="S83" s="1182"/>
    </row>
    <row r="84" spans="1:19" ht="15.75" thickBot="1">
      <c r="A84" s="1183"/>
      <c r="B84" s="1184" t="s">
        <v>771</v>
      </c>
      <c r="C84" s="1185"/>
      <c r="D84" s="1186"/>
      <c r="E84" s="1186"/>
      <c r="F84" s="1186"/>
      <c r="G84" s="1187"/>
      <c r="H84" s="1188"/>
      <c r="I84" s="1189"/>
      <c r="J84" s="1189"/>
      <c r="K84" s="1189"/>
      <c r="L84" s="1189"/>
      <c r="M84" s="1189"/>
      <c r="N84" s="1189"/>
      <c r="O84" s="1189"/>
      <c r="P84" s="1189"/>
      <c r="Q84" s="1189"/>
      <c r="R84" s="1189"/>
      <c r="S84" s="1189"/>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190"/>
      <c r="F87" s="2"/>
      <c r="G87" s="2"/>
      <c r="H87" s="2"/>
      <c r="I87" s="2"/>
      <c r="J87" s="2"/>
      <c r="K87" s="2"/>
      <c r="L87" s="2"/>
      <c r="M87" s="2"/>
      <c r="N87" s="2"/>
      <c r="O87" s="2"/>
      <c r="P87" s="2"/>
      <c r="Q87" s="2"/>
      <c r="R87" s="2"/>
      <c r="S87" s="2"/>
    </row>
    <row r="88" spans="1:19">
      <c r="A88" s="1142" t="s">
        <v>702</v>
      </c>
      <c r="B88" s="1190"/>
      <c r="F88" s="2"/>
      <c r="G88" s="2"/>
      <c r="H88" s="2"/>
      <c r="I88" s="2"/>
      <c r="J88" s="2"/>
      <c r="K88" s="2"/>
      <c r="L88" s="2"/>
      <c r="M88" s="2"/>
      <c r="N88" s="2"/>
      <c r="O88" s="2"/>
      <c r="P88" s="2"/>
      <c r="Q88" s="2"/>
      <c r="R88" s="2"/>
      <c r="S88" s="2"/>
    </row>
    <row r="89" spans="1:19">
      <c r="A89" s="1191" t="s">
        <v>708</v>
      </c>
      <c r="B89" s="1192"/>
      <c r="F89" s="2"/>
      <c r="G89" s="2"/>
      <c r="H89" s="2"/>
      <c r="I89" s="2"/>
      <c r="J89" s="2"/>
      <c r="K89" s="2"/>
      <c r="L89" s="2"/>
      <c r="M89" s="2"/>
      <c r="N89" s="2"/>
      <c r="O89" s="2"/>
      <c r="P89" s="2"/>
      <c r="Q89" s="2"/>
      <c r="R89" s="2"/>
      <c r="S89" s="2"/>
    </row>
    <row r="90" spans="1:19">
      <c r="A90" s="1191" t="s">
        <v>713</v>
      </c>
      <c r="B90" s="1193"/>
      <c r="F90" s="2"/>
      <c r="G90" s="2"/>
      <c r="H90" s="2"/>
      <c r="I90" s="2"/>
      <c r="J90" s="2"/>
      <c r="K90" s="2"/>
      <c r="L90" s="2"/>
      <c r="M90" s="2"/>
      <c r="N90" s="2"/>
      <c r="O90" s="2"/>
      <c r="P90" s="2"/>
      <c r="Q90" s="2"/>
      <c r="R90" s="2"/>
      <c r="S90" s="2"/>
    </row>
    <row r="91" spans="1:19" ht="15.75" thickBot="1">
      <c r="A91" s="1194" t="s">
        <v>69</v>
      </c>
      <c r="B91" s="1195"/>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5:S5"/>
    <mergeCell ref="H4:I4"/>
    <mergeCell ref="J4:K4"/>
    <mergeCell ref="L4:M4"/>
    <mergeCell ref="N4:O4"/>
    <mergeCell ref="P4:Q4"/>
    <mergeCell ref="R4:S4"/>
    <mergeCell ref="H5:I5"/>
    <mergeCell ref="J5:K5"/>
    <mergeCell ref="L5:M5"/>
    <mergeCell ref="N5:O5"/>
    <mergeCell ref="P5:Q5"/>
    <mergeCell ref="R7:S7"/>
    <mergeCell ref="H6:I6"/>
    <mergeCell ref="J6:K6"/>
    <mergeCell ref="L6:M6"/>
    <mergeCell ref="N6:O6"/>
    <mergeCell ref="P6:Q6"/>
    <mergeCell ref="R6:S6"/>
    <mergeCell ref="H7:I7"/>
    <mergeCell ref="J7:K7"/>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s>
  <conditionalFormatting sqref="H11:H18 J11:J18 L11:L18 N11:N18 P11:P18 R11:R18">
    <cfRule type="cellIs" dxfId="655" priority="13" operator="equal">
      <formula>"X"</formula>
    </cfRule>
    <cfRule type="cellIs" dxfId="654" priority="14" operator="equal">
      <formula>"I"</formula>
    </cfRule>
  </conditionalFormatting>
  <conditionalFormatting sqref="H20:H50">
    <cfRule type="cellIs" dxfId="653" priority="1" operator="equal">
      <formula>"X"</formula>
    </cfRule>
    <cfRule type="cellIs" dxfId="652" priority="2" operator="equal">
      <formula>"I"</formula>
    </cfRule>
  </conditionalFormatting>
  <conditionalFormatting sqref="J20:J50">
    <cfRule type="cellIs" dxfId="651" priority="3" operator="equal">
      <formula>"X"</formula>
    </cfRule>
    <cfRule type="cellIs" dxfId="650" priority="4" operator="equal">
      <formula>"I"</formula>
    </cfRule>
  </conditionalFormatting>
  <conditionalFormatting sqref="L20:L50">
    <cfRule type="cellIs" dxfId="649" priority="5" operator="equal">
      <formula>"X"</formula>
    </cfRule>
    <cfRule type="cellIs" dxfId="648" priority="6" operator="equal">
      <formula>"I"</formula>
    </cfRule>
  </conditionalFormatting>
  <conditionalFormatting sqref="N20:N50">
    <cfRule type="cellIs" dxfId="647" priority="7" operator="equal">
      <formula>"X"</formula>
    </cfRule>
    <cfRule type="cellIs" dxfId="646" priority="8" operator="equal">
      <formula>"I"</formula>
    </cfRule>
  </conditionalFormatting>
  <conditionalFormatting sqref="P20:P50">
    <cfRule type="cellIs" dxfId="645" priority="9" operator="equal">
      <formula>"X"</formula>
    </cfRule>
    <cfRule type="cellIs" dxfId="644" priority="10" operator="equal">
      <formula>"I"</formula>
    </cfRule>
  </conditionalFormatting>
  <conditionalFormatting sqref="R20:R50">
    <cfRule type="cellIs" dxfId="643" priority="11" operator="equal">
      <formula>"X"</formula>
    </cfRule>
    <cfRule type="cellIs" dxfId="642" priority="12" operator="equal">
      <formula>"I"</formula>
    </cfRule>
  </conditionalFormatting>
  <hyperlinks>
    <hyperlink ref="B4" location="'Cost Summary'!A1" display="BACK TO SUMMARY SHEET" xr:uid="{76FC4D21-3FB0-40C4-B5AF-A53DD41514F3}"/>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5C4F-9CB9-463E-B733-8CE80943D5FE}">
  <sheetPr>
    <tabColor rgb="FF00B0F0"/>
  </sheetPr>
  <dimension ref="A1:AO98"/>
  <sheetViews>
    <sheetView zoomScale="90" zoomScaleNormal="90" workbookViewId="0">
      <pane xSplit="2" ySplit="10" topLeftCell="C20" activePane="bottomRight" state="frozen"/>
      <selection pane="topRight" activeCell="C1" sqref="C1"/>
      <selection pane="bottomLeft" activeCell="A21" sqref="A21"/>
      <selection pane="bottomRight" activeCell="L38" sqref="L38"/>
    </sheetView>
  </sheetViews>
  <sheetFormatPr defaultRowHeight="15"/>
  <cols>
    <col min="1" max="1" width="11" customWidth="1"/>
    <col min="2" max="2" width="70.7109375" style="1" customWidth="1"/>
    <col min="3" max="3" width="12.7109375" style="2" customWidth="1"/>
    <col min="4" max="4" width="12.7109375" style="260" customWidth="1"/>
    <col min="5" max="5" width="7.7109375" style="68"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F1" s="275"/>
      <c r="G1" s="269" t="s">
        <v>679</v>
      </c>
      <c r="X1" s="261"/>
    </row>
    <row r="2" spans="1:24">
      <c r="F2" s="276" t="s">
        <v>680</v>
      </c>
      <c r="G2" s="269" t="s">
        <v>681</v>
      </c>
      <c r="X2" s="261"/>
    </row>
    <row r="3" spans="1:24" ht="15.75" thickBot="1">
      <c r="F3" s="277" t="s">
        <v>682</v>
      </c>
      <c r="G3" s="269" t="s">
        <v>683</v>
      </c>
      <c r="X3" s="261"/>
    </row>
    <row r="4" spans="1:24" ht="15.75" thickBot="1">
      <c r="B4" s="262" t="s">
        <v>684</v>
      </c>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c r="I5" s="2322"/>
      <c r="J5" s="2321" t="s">
        <v>775</v>
      </c>
      <c r="K5" s="2322"/>
      <c r="L5" s="2321" t="s">
        <v>776</v>
      </c>
      <c r="M5" s="2322"/>
      <c r="N5" s="2321"/>
      <c r="O5" s="2322"/>
      <c r="P5" s="2333"/>
      <c r="Q5" s="2334"/>
      <c r="R5" s="2333"/>
      <c r="S5" s="2334"/>
      <c r="X5" s="261"/>
    </row>
    <row r="6" spans="1:24">
      <c r="A6" s="1082" t="s">
        <v>700</v>
      </c>
      <c r="B6" s="1196" t="s">
        <v>91</v>
      </c>
      <c r="C6" s="415"/>
      <c r="D6" s="416"/>
      <c r="E6" s="417"/>
      <c r="F6" s="418"/>
      <c r="G6" s="419" t="s">
        <v>702</v>
      </c>
      <c r="H6" s="2325"/>
      <c r="I6" s="2326"/>
      <c r="J6" s="2325" t="s">
        <v>777</v>
      </c>
      <c r="K6" s="2326"/>
      <c r="L6" s="2325" t="s">
        <v>778</v>
      </c>
      <c r="M6" s="2326"/>
      <c r="N6" s="2325"/>
      <c r="O6" s="2326"/>
      <c r="P6" s="2313"/>
      <c r="Q6" s="2314"/>
      <c r="R6" s="2313"/>
      <c r="S6" s="2314"/>
      <c r="X6" s="261"/>
    </row>
    <row r="7" spans="1:24">
      <c r="A7" s="1082" t="s">
        <v>706</v>
      </c>
      <c r="B7" s="1197" t="s">
        <v>779</v>
      </c>
      <c r="C7" s="415"/>
      <c r="D7" s="416"/>
      <c r="E7" s="417"/>
      <c r="F7" s="418"/>
      <c r="G7" s="829" t="s">
        <v>708</v>
      </c>
      <c r="H7" s="2325"/>
      <c r="I7" s="2326"/>
      <c r="J7" s="2325" t="s">
        <v>780</v>
      </c>
      <c r="K7" s="2326"/>
      <c r="L7" s="2325" t="s">
        <v>781</v>
      </c>
      <c r="M7" s="2326"/>
      <c r="N7" s="2325"/>
      <c r="O7" s="2326"/>
      <c r="P7" s="2313"/>
      <c r="Q7" s="2314"/>
      <c r="R7" s="2313"/>
      <c r="S7" s="2314"/>
      <c r="X7" s="261"/>
    </row>
    <row r="8" spans="1:24">
      <c r="A8" s="1082" t="s">
        <v>712</v>
      </c>
      <c r="B8" s="1198"/>
      <c r="C8" s="415"/>
      <c r="D8" s="416"/>
      <c r="E8" s="417"/>
      <c r="F8" s="418"/>
      <c r="G8" s="829" t="s">
        <v>713</v>
      </c>
      <c r="H8" s="2329"/>
      <c r="I8" s="2328"/>
      <c r="J8" s="2327" t="s">
        <v>782</v>
      </c>
      <c r="K8" s="2328"/>
      <c r="L8" s="2327" t="s">
        <v>783</v>
      </c>
      <c r="M8" s="2328"/>
      <c r="N8" s="2329"/>
      <c r="O8" s="2328"/>
      <c r="P8" s="2315"/>
      <c r="Q8" s="2316"/>
      <c r="R8" s="2315"/>
      <c r="S8" s="2316"/>
      <c r="X8" s="261"/>
    </row>
    <row r="9" spans="1:24" ht="15.75" thickBot="1">
      <c r="A9" s="420" t="s">
        <v>69</v>
      </c>
      <c r="B9" s="421"/>
      <c r="C9" s="23"/>
      <c r="D9" s="265"/>
      <c r="E9" s="266"/>
      <c r="F9" s="283"/>
      <c r="G9" s="284" t="s">
        <v>69</v>
      </c>
      <c r="H9" s="2317">
        <f>I61</f>
        <v>1781647.2108928571</v>
      </c>
      <c r="I9" s="2318"/>
      <c r="J9" s="2317">
        <f>K61</f>
        <v>199490</v>
      </c>
      <c r="K9" s="2318"/>
      <c r="L9" s="2317">
        <f>M61</f>
        <v>155983.11375000002</v>
      </c>
      <c r="M9" s="2318"/>
      <c r="N9" s="2330">
        <f>O61</f>
        <v>0</v>
      </c>
      <c r="O9" s="2330"/>
      <c r="P9" s="2317">
        <f>Q61</f>
        <v>0</v>
      </c>
      <c r="Q9" s="2318"/>
      <c r="R9" s="2317">
        <f>S61</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c r="A11" s="1086"/>
      <c r="B11" s="1087" t="s">
        <v>725</v>
      </c>
      <c r="C11" s="1088"/>
      <c r="D11" s="1199"/>
      <c r="E11" s="1200"/>
      <c r="F11" s="1090"/>
      <c r="G11" s="1091"/>
      <c r="H11" s="1092"/>
      <c r="I11" s="1094"/>
      <c r="J11" s="1092"/>
      <c r="K11" s="348"/>
      <c r="L11" s="1092"/>
      <c r="M11" s="1093"/>
      <c r="N11" s="1092"/>
      <c r="O11" s="1093"/>
      <c r="P11" s="1092"/>
      <c r="Q11" s="1093"/>
      <c r="R11" s="1092"/>
      <c r="S11" s="1093"/>
    </row>
    <row r="12" spans="1:24">
      <c r="A12" s="1086"/>
      <c r="B12" s="1201" t="s">
        <v>726</v>
      </c>
      <c r="C12" s="415"/>
      <c r="D12" s="416"/>
      <c r="E12" s="417"/>
      <c r="F12" s="418"/>
      <c r="G12" s="423"/>
      <c r="H12" s="1202"/>
      <c r="I12" s="1094"/>
      <c r="J12" s="1202"/>
      <c r="K12" s="1093"/>
      <c r="L12" s="1202"/>
      <c r="M12" s="1093"/>
      <c r="N12" s="1202"/>
      <c r="O12" s="1093"/>
      <c r="P12" s="1202"/>
      <c r="Q12" s="1093"/>
      <c r="R12" s="1202"/>
      <c r="S12" s="1093"/>
    </row>
    <row r="13" spans="1:24">
      <c r="A13" s="1097"/>
      <c r="B13" s="1201" t="s">
        <v>728</v>
      </c>
      <c r="C13" s="415"/>
      <c r="D13" s="416"/>
      <c r="E13" s="417"/>
      <c r="F13" s="418"/>
      <c r="G13" s="423"/>
      <c r="H13" s="1202"/>
      <c r="I13" s="1094"/>
      <c r="J13" s="1202"/>
      <c r="K13" s="1093"/>
      <c r="L13" s="1202"/>
      <c r="M13" s="1093"/>
      <c r="N13" s="1202"/>
      <c r="O13" s="1093"/>
      <c r="P13" s="1202"/>
      <c r="Q13" s="1093"/>
      <c r="R13" s="1202"/>
      <c r="S13" s="1093"/>
    </row>
    <row r="14" spans="1:24">
      <c r="A14" s="1086"/>
      <c r="B14" s="1203" t="s">
        <v>729</v>
      </c>
      <c r="C14" s="415"/>
      <c r="D14" s="416"/>
      <c r="E14" s="417"/>
      <c r="F14" s="418"/>
      <c r="G14" s="423"/>
      <c r="H14" s="1202"/>
      <c r="I14" s="1094"/>
      <c r="J14" s="1202"/>
      <c r="K14" s="1093"/>
      <c r="L14" s="1202"/>
      <c r="M14" s="1093"/>
      <c r="N14" s="1202"/>
      <c r="O14" s="1093"/>
      <c r="P14" s="1202"/>
      <c r="Q14" s="1093"/>
      <c r="R14" s="1202"/>
      <c r="S14" s="1093"/>
    </row>
    <row r="15" spans="1:24">
      <c r="A15" s="1097"/>
      <c r="B15" s="1203" t="s">
        <v>731</v>
      </c>
      <c r="C15" s="415"/>
      <c r="D15" s="416"/>
      <c r="E15" s="417"/>
      <c r="F15" s="418"/>
      <c r="G15" s="423"/>
      <c r="H15" s="1202"/>
      <c r="I15" s="1094"/>
      <c r="J15" s="1202"/>
      <c r="K15" s="1094"/>
      <c r="L15" s="1202"/>
      <c r="M15" s="1094"/>
      <c r="N15" s="1202"/>
      <c r="O15" s="1094"/>
      <c r="P15" s="1202"/>
      <c r="Q15" s="1094"/>
      <c r="R15" s="1202"/>
      <c r="S15" s="1094"/>
    </row>
    <row r="16" spans="1:24">
      <c r="A16" s="1086"/>
      <c r="B16" s="1203" t="s">
        <v>732</v>
      </c>
      <c r="C16" s="415"/>
      <c r="D16" s="416"/>
      <c r="E16" s="417"/>
      <c r="F16" s="418"/>
      <c r="G16" s="423"/>
      <c r="H16" s="1202"/>
      <c r="I16" s="1094"/>
      <c r="J16" s="1202"/>
      <c r="K16" s="1093"/>
      <c r="L16" s="1202"/>
      <c r="M16" s="1093"/>
      <c r="N16" s="1202"/>
      <c r="O16" s="1093"/>
      <c r="P16" s="1202"/>
      <c r="Q16" s="1093"/>
      <c r="R16" s="1202"/>
      <c r="S16" s="1093"/>
    </row>
    <row r="17" spans="1:41">
      <c r="A17" s="1097"/>
      <c r="B17" s="1203" t="s">
        <v>733</v>
      </c>
      <c r="C17" s="415"/>
      <c r="D17" s="416"/>
      <c r="E17" s="417"/>
      <c r="F17" s="418"/>
      <c r="G17" s="423"/>
      <c r="H17" s="1202"/>
      <c r="I17" s="1094"/>
      <c r="J17" s="1202"/>
      <c r="K17" s="1093"/>
      <c r="L17" s="1202"/>
      <c r="M17" s="1093"/>
      <c r="N17" s="1202"/>
      <c r="O17" s="1093"/>
      <c r="P17" s="1202"/>
      <c r="Q17" s="1093"/>
      <c r="R17" s="1202"/>
      <c r="S17" s="1093"/>
    </row>
    <row r="18" spans="1:41">
      <c r="A18" s="1086"/>
      <c r="B18" s="1099" t="s">
        <v>736</v>
      </c>
      <c r="C18" s="415"/>
      <c r="D18" s="416"/>
      <c r="E18" s="417"/>
      <c r="F18" s="418"/>
      <c r="G18" s="423"/>
      <c r="H18" s="1202"/>
      <c r="I18" s="1094"/>
      <c r="J18" s="1202"/>
      <c r="K18" s="1093"/>
      <c r="L18" s="1202"/>
      <c r="M18" s="1093"/>
      <c r="N18" s="1202"/>
      <c r="O18" s="1093"/>
      <c r="P18" s="1202"/>
      <c r="Q18" s="1093"/>
      <c r="R18" s="1202"/>
      <c r="S18" s="1093"/>
    </row>
    <row r="19" spans="1:41">
      <c r="A19" s="1097"/>
      <c r="B19" s="1100" t="s">
        <v>737</v>
      </c>
      <c r="C19" s="424"/>
      <c r="D19" s="448"/>
      <c r="E19" s="449"/>
      <c r="F19" s="426"/>
      <c r="G19" s="427"/>
      <c r="H19" s="1101"/>
      <c r="I19" s="1157"/>
      <c r="J19" s="1101"/>
      <c r="K19" s="1158"/>
      <c r="L19" s="1101"/>
      <c r="M19" s="1158"/>
      <c r="N19" s="1101"/>
      <c r="O19" s="1158"/>
      <c r="P19" s="1101"/>
      <c r="Q19" s="1158"/>
      <c r="R19" s="1101"/>
      <c r="S19" s="1158"/>
    </row>
    <row r="20" spans="1:41">
      <c r="A20" s="1086"/>
      <c r="B20" s="1104"/>
      <c r="C20" s="23"/>
      <c r="D20" s="265"/>
      <c r="E20" s="266"/>
      <c r="F20" s="280"/>
      <c r="G20" s="274"/>
      <c r="H20" s="1202"/>
      <c r="I20" s="428"/>
      <c r="J20" s="1202"/>
      <c r="K20" s="428"/>
      <c r="L20" s="1202"/>
      <c r="M20" s="428"/>
      <c r="N20" s="1202"/>
      <c r="O20" s="428"/>
      <c r="P20" s="1202"/>
      <c r="Q20" s="428"/>
      <c r="R20" s="1202"/>
      <c r="S20" s="428"/>
    </row>
    <row r="21" spans="1:41" s="69" customFormat="1">
      <c r="A21" s="1097"/>
      <c r="B21" s="1105"/>
      <c r="C21" s="415"/>
      <c r="D21" s="416"/>
      <c r="E21" s="417"/>
      <c r="F21" s="429"/>
      <c r="G21" s="423"/>
      <c r="H21" s="1202"/>
      <c r="I21" s="1107"/>
      <c r="J21" s="1202"/>
      <c r="K21" s="1106"/>
      <c r="L21" s="1202"/>
      <c r="M21" s="1106"/>
      <c r="N21" s="1202"/>
      <c r="O21" s="1107"/>
      <c r="P21" s="1202"/>
      <c r="Q21" s="1107"/>
      <c r="R21" s="1202"/>
      <c r="S21" s="1106"/>
      <c r="T21"/>
      <c r="U21"/>
      <c r="V21"/>
      <c r="W21"/>
      <c r="X21"/>
      <c r="Y21"/>
      <c r="Z21"/>
      <c r="AA21"/>
      <c r="AB21"/>
      <c r="AC21"/>
      <c r="AD21"/>
      <c r="AE21"/>
      <c r="AF21"/>
      <c r="AG21"/>
      <c r="AH21"/>
      <c r="AI21"/>
      <c r="AJ21"/>
      <c r="AK21"/>
      <c r="AL21"/>
      <c r="AM21"/>
      <c r="AN21"/>
      <c r="AO21"/>
    </row>
    <row r="22" spans="1:41">
      <c r="A22" s="1086"/>
      <c r="B22" s="1204" t="s">
        <v>784</v>
      </c>
      <c r="C22" s="1088"/>
      <c r="D22" s="1205">
        <v>2274</v>
      </c>
      <c r="E22" s="1200" t="s">
        <v>529</v>
      </c>
      <c r="F22" s="1206">
        <v>12</v>
      </c>
      <c r="G22" s="1207">
        <f>D22*F22</f>
        <v>27288</v>
      </c>
      <c r="H22" s="1202"/>
      <c r="I22" s="1093">
        <f>G22</f>
        <v>27288</v>
      </c>
      <c r="J22" s="1202"/>
      <c r="K22" s="1093"/>
      <c r="L22" s="1202"/>
      <c r="M22" s="1093"/>
      <c r="N22" s="1202"/>
      <c r="O22" s="1093"/>
      <c r="P22" s="1202"/>
      <c r="Q22" s="1093"/>
      <c r="R22" s="1202"/>
      <c r="S22" s="1093"/>
    </row>
    <row r="23" spans="1:41">
      <c r="A23" s="1097"/>
      <c r="B23" s="1204" t="s">
        <v>785</v>
      </c>
      <c r="C23" s="1088"/>
      <c r="D23" s="450">
        <v>2</v>
      </c>
      <c r="E23" s="417" t="s">
        <v>468</v>
      </c>
      <c r="F23" s="431">
        <v>10000</v>
      </c>
      <c r="G23" s="1207">
        <f t="shared" ref="G23:G41" si="0">D23*F23</f>
        <v>20000</v>
      </c>
      <c r="H23" s="1202"/>
      <c r="I23" s="1093">
        <f t="shared" ref="I23:I55" si="1">G23</f>
        <v>20000</v>
      </c>
      <c r="J23" s="1202"/>
      <c r="K23" s="1093"/>
      <c r="L23" s="1202"/>
      <c r="M23" s="1093"/>
      <c r="N23" s="1202"/>
      <c r="O23" s="1093"/>
      <c r="P23" s="1202"/>
      <c r="Q23" s="1093"/>
      <c r="R23" s="1202"/>
      <c r="S23" s="1093"/>
    </row>
    <row r="24" spans="1:41">
      <c r="A24" s="1086"/>
      <c r="B24" s="1204" t="s">
        <v>786</v>
      </c>
      <c r="C24" s="1088"/>
      <c r="D24" s="450">
        <v>1</v>
      </c>
      <c r="E24" s="417" t="s">
        <v>462</v>
      </c>
      <c r="F24" s="431">
        <v>3000</v>
      </c>
      <c r="G24" s="1207">
        <f t="shared" si="0"/>
        <v>3000</v>
      </c>
      <c r="H24" s="1202"/>
      <c r="I24" s="1093">
        <f t="shared" si="1"/>
        <v>3000</v>
      </c>
      <c r="J24" s="1202"/>
      <c r="K24" s="1093"/>
      <c r="L24" s="1202"/>
      <c r="M24" s="1093"/>
      <c r="N24" s="1202"/>
      <c r="O24" s="1093"/>
      <c r="P24" s="1202"/>
      <c r="Q24" s="1093"/>
      <c r="R24" s="1202"/>
      <c r="S24" s="1093"/>
    </row>
    <row r="25" spans="1:41">
      <c r="A25" s="1097"/>
      <c r="B25" s="1204" t="s">
        <v>787</v>
      </c>
      <c r="C25" s="1088"/>
      <c r="D25" s="450">
        <v>1</v>
      </c>
      <c r="E25" s="417" t="s">
        <v>462</v>
      </c>
      <c r="F25" s="431">
        <v>50000</v>
      </c>
      <c r="G25" s="1207">
        <f t="shared" si="0"/>
        <v>50000</v>
      </c>
      <c r="H25" s="1202"/>
      <c r="I25" s="1093">
        <f t="shared" si="1"/>
        <v>50000</v>
      </c>
      <c r="J25" s="1202"/>
      <c r="K25" s="1093"/>
      <c r="L25" s="1202"/>
      <c r="M25" s="1093"/>
      <c r="N25" s="1202"/>
      <c r="O25" s="1093"/>
      <c r="P25" s="1202"/>
      <c r="Q25" s="1093"/>
      <c r="R25" s="1202"/>
      <c r="S25" s="1093"/>
    </row>
    <row r="26" spans="1:41">
      <c r="A26" s="1086"/>
      <c r="B26" s="1204" t="s">
        <v>788</v>
      </c>
      <c r="C26" s="1088"/>
      <c r="D26" s="450">
        <f>54077+(51436*5)</f>
        <v>311257</v>
      </c>
      <c r="E26" s="417" t="s">
        <v>511</v>
      </c>
      <c r="F26" s="431">
        <v>0.15</v>
      </c>
      <c r="G26" s="1207">
        <f t="shared" si="0"/>
        <v>46688.549999999996</v>
      </c>
      <c r="H26" s="1202"/>
      <c r="I26" s="1093">
        <f t="shared" si="1"/>
        <v>46688.549999999996</v>
      </c>
      <c r="J26" s="1202"/>
      <c r="K26" s="1093">
        <v>46710</v>
      </c>
      <c r="L26" s="1202"/>
      <c r="M26" s="1093">
        <v>9337.7099999999991</v>
      </c>
      <c r="N26" s="1202"/>
      <c r="O26" s="1093"/>
      <c r="P26" s="1202"/>
      <c r="Q26" s="1093"/>
      <c r="R26" s="1202"/>
      <c r="S26" s="1093"/>
    </row>
    <row r="27" spans="1:41">
      <c r="A27" s="1086"/>
      <c r="B27" s="1204" t="s">
        <v>789</v>
      </c>
      <c r="C27" s="1088"/>
      <c r="D27" s="450">
        <f>578663-D26</f>
        <v>267406</v>
      </c>
      <c r="E27" s="417" t="s">
        <v>511</v>
      </c>
      <c r="F27" s="431">
        <v>0.5</v>
      </c>
      <c r="G27" s="1207">
        <f t="shared" ref="G27" si="2">D27*F27</f>
        <v>133703</v>
      </c>
      <c r="H27" s="1202"/>
      <c r="I27" s="1093">
        <f t="shared" ref="I27" si="3">G27</f>
        <v>133703</v>
      </c>
      <c r="J27" s="1202"/>
      <c r="K27" s="1093">
        <v>108780</v>
      </c>
      <c r="L27" s="1202"/>
      <c r="M27" s="1093">
        <f>78673+10500+24396.81-M26</f>
        <v>104232.1</v>
      </c>
      <c r="N27" s="1202"/>
      <c r="O27" s="1093"/>
      <c r="P27" s="1202"/>
      <c r="Q27" s="1093"/>
      <c r="R27" s="1202"/>
      <c r="S27" s="1093"/>
    </row>
    <row r="28" spans="1:41">
      <c r="A28" s="1086"/>
      <c r="B28" s="1204" t="s">
        <v>790</v>
      </c>
      <c r="C28" s="1088"/>
      <c r="D28" s="450">
        <f>'08 50 Storefront &amp; Windows'!AC66</f>
        <v>33930.643000000004</v>
      </c>
      <c r="E28" s="417" t="s">
        <v>511</v>
      </c>
      <c r="F28" s="431">
        <v>1.25</v>
      </c>
      <c r="G28" s="1207">
        <f t="shared" ref="G28" si="4">D28*F28</f>
        <v>42413.303750000006</v>
      </c>
      <c r="H28" s="1202"/>
      <c r="I28" s="1093">
        <f t="shared" ref="I28" si="5">G28</f>
        <v>42413.303750000006</v>
      </c>
      <c r="J28" s="1202"/>
      <c r="K28" s="1093">
        <v>44000</v>
      </c>
      <c r="L28" s="1202"/>
      <c r="M28" s="1208">
        <f>$G28</f>
        <v>42413.303750000006</v>
      </c>
      <c r="N28" s="1202"/>
      <c r="O28" s="1093"/>
      <c r="P28" s="1202"/>
      <c r="Q28" s="1093"/>
      <c r="R28" s="1202"/>
      <c r="S28" s="1093"/>
    </row>
    <row r="29" spans="1:41">
      <c r="A29" s="1086"/>
      <c r="B29" s="1204" t="s">
        <v>791</v>
      </c>
      <c r="C29" s="1088"/>
      <c r="D29" s="450"/>
      <c r="E29" s="417" t="s">
        <v>462</v>
      </c>
      <c r="F29" s="431">
        <v>10000</v>
      </c>
      <c r="G29" s="1207">
        <f t="shared" si="0"/>
        <v>0</v>
      </c>
      <c r="H29" s="1202"/>
      <c r="I29" s="1093">
        <f t="shared" si="1"/>
        <v>0</v>
      </c>
      <c r="J29" s="1202"/>
      <c r="K29" s="1093"/>
      <c r="L29" s="1202"/>
      <c r="M29" s="1093"/>
      <c r="N29" s="1202"/>
      <c r="O29" s="1093"/>
      <c r="P29" s="1202"/>
      <c r="Q29" s="1093"/>
      <c r="R29" s="1202"/>
      <c r="S29" s="1093"/>
    </row>
    <row r="30" spans="1:41">
      <c r="A30" s="1097"/>
      <c r="B30" s="1204" t="s">
        <v>792</v>
      </c>
      <c r="C30" s="1088"/>
      <c r="D30" s="450"/>
      <c r="E30" s="417" t="s">
        <v>462</v>
      </c>
      <c r="F30" s="431">
        <v>8000</v>
      </c>
      <c r="G30" s="1207">
        <f t="shared" si="0"/>
        <v>0</v>
      </c>
      <c r="H30" s="1202"/>
      <c r="I30" s="1093">
        <f t="shared" si="1"/>
        <v>0</v>
      </c>
      <c r="J30" s="1202"/>
      <c r="K30" s="1093"/>
      <c r="L30" s="1202"/>
      <c r="M30" s="1093"/>
      <c r="N30" s="1202"/>
      <c r="O30" s="1093"/>
      <c r="P30" s="1202"/>
      <c r="Q30" s="1093"/>
      <c r="R30" s="1202"/>
      <c r="S30" s="1093"/>
    </row>
    <row r="31" spans="1:41">
      <c r="A31" s="1086"/>
      <c r="B31" s="1204" t="s">
        <v>793</v>
      </c>
      <c r="C31" s="1088"/>
      <c r="D31" s="450"/>
      <c r="E31" s="417" t="s">
        <v>794</v>
      </c>
      <c r="F31" s="431"/>
      <c r="G31" s="1207">
        <f t="shared" ref="G31:G38" si="6">D31*F31</f>
        <v>0</v>
      </c>
      <c r="H31" s="1202"/>
      <c r="I31" s="1093">
        <f t="shared" ref="I31:I38" si="7">G31</f>
        <v>0</v>
      </c>
      <c r="J31" s="1202"/>
      <c r="K31" s="1093"/>
      <c r="L31" s="1202"/>
      <c r="M31" s="1093"/>
      <c r="N31" s="1202"/>
      <c r="O31" s="1093"/>
      <c r="P31" s="1202"/>
      <c r="Q31" s="1093"/>
      <c r="R31" s="1202"/>
      <c r="S31" s="1093"/>
    </row>
    <row r="32" spans="1:41">
      <c r="A32" s="1086"/>
      <c r="B32" s="1209" t="s">
        <v>795</v>
      </c>
      <c r="C32" s="1088"/>
      <c r="D32" s="682">
        <v>2</v>
      </c>
      <c r="E32" s="683" t="s">
        <v>468</v>
      </c>
      <c r="F32" s="451">
        <v>35000</v>
      </c>
      <c r="G32" s="1210">
        <f t="shared" si="6"/>
        <v>70000</v>
      </c>
      <c r="H32" s="1211"/>
      <c r="I32" s="1208">
        <f t="shared" si="7"/>
        <v>70000</v>
      </c>
      <c r="J32" s="1202"/>
      <c r="K32" s="1093"/>
      <c r="L32" s="1202"/>
      <c r="M32" s="1093"/>
      <c r="N32" s="1202"/>
      <c r="O32" s="1093"/>
      <c r="P32" s="1202"/>
      <c r="Q32" s="1093"/>
      <c r="R32" s="1202"/>
      <c r="S32" s="1093"/>
    </row>
    <row r="33" spans="1:19">
      <c r="A33" s="1086"/>
      <c r="B33" s="1209" t="s">
        <v>796</v>
      </c>
      <c r="C33" s="1088"/>
      <c r="D33" s="682">
        <f>'GCs &amp; GRs'!K4</f>
        <v>99.857142857142861</v>
      </c>
      <c r="E33" s="683" t="s">
        <v>445</v>
      </c>
      <c r="F33" s="451">
        <f>2*8*5*35</f>
        <v>2800</v>
      </c>
      <c r="G33" s="1210">
        <f t="shared" ref="G33:G34" si="8">D33*F33</f>
        <v>279600</v>
      </c>
      <c r="H33" s="1211"/>
      <c r="I33" s="1208">
        <f t="shared" ref="I33:I34" si="9">G33</f>
        <v>279600</v>
      </c>
      <c r="J33" s="1202"/>
      <c r="K33" s="1093"/>
      <c r="L33" s="1202"/>
      <c r="M33" s="1093"/>
      <c r="N33" s="1202"/>
      <c r="O33" s="1093"/>
      <c r="P33" s="1202"/>
      <c r="Q33" s="1093"/>
      <c r="R33" s="1202"/>
      <c r="S33" s="1093"/>
    </row>
    <row r="34" spans="1:19">
      <c r="A34" s="1086"/>
      <c r="B34" s="1209" t="s">
        <v>797</v>
      </c>
      <c r="C34" s="1088"/>
      <c r="D34" s="682">
        <f>'GCs &amp; GRs'!K4</f>
        <v>99.857142857142861</v>
      </c>
      <c r="E34" s="683" t="s">
        <v>445</v>
      </c>
      <c r="F34" s="451">
        <f>20/5*5*5*2</f>
        <v>200</v>
      </c>
      <c r="G34" s="1210">
        <f t="shared" si="8"/>
        <v>19971.428571428572</v>
      </c>
      <c r="H34" s="1211"/>
      <c r="I34" s="1208">
        <f t="shared" si="9"/>
        <v>19971.428571428572</v>
      </c>
      <c r="J34" s="1202"/>
      <c r="K34" s="1093"/>
      <c r="L34" s="1202"/>
      <c r="M34" s="1093"/>
      <c r="N34" s="1202"/>
      <c r="O34" s="1093"/>
      <c r="P34" s="1202"/>
      <c r="Q34" s="1093"/>
      <c r="R34" s="1202"/>
      <c r="S34" s="1093"/>
    </row>
    <row r="35" spans="1:19">
      <c r="A35" s="1086"/>
      <c r="B35" s="1209" t="s">
        <v>798</v>
      </c>
      <c r="C35" s="1088"/>
      <c r="D35" s="682">
        <f>'GCs &amp; GRs'!K4</f>
        <v>99.857142857142861</v>
      </c>
      <c r="E35" s="683" t="s">
        <v>445</v>
      </c>
      <c r="F35" s="451">
        <f>2*8*5*35</f>
        <v>2800</v>
      </c>
      <c r="G35" s="1210">
        <f t="shared" si="6"/>
        <v>279600</v>
      </c>
      <c r="H35" s="1211"/>
      <c r="I35" s="1208">
        <f t="shared" si="7"/>
        <v>279600</v>
      </c>
      <c r="J35" s="1202"/>
      <c r="K35" s="1093"/>
      <c r="L35" s="1202"/>
      <c r="M35" s="1093"/>
      <c r="N35" s="1202"/>
      <c r="O35" s="1093"/>
      <c r="P35" s="1202"/>
      <c r="Q35" s="1093"/>
      <c r="R35" s="1202"/>
      <c r="S35" s="1093"/>
    </row>
    <row r="36" spans="1:19">
      <c r="A36" s="1097"/>
      <c r="B36" s="1204" t="s">
        <v>799</v>
      </c>
      <c r="C36" s="1088"/>
      <c r="D36" s="450">
        <f>'GCs &amp; GRs'!K4</f>
        <v>99.857142857142861</v>
      </c>
      <c r="E36" s="417" t="s">
        <v>445</v>
      </c>
      <c r="F36" s="431">
        <f>4*600</f>
        <v>2400</v>
      </c>
      <c r="G36" s="1207">
        <f t="shared" si="6"/>
        <v>239657.14285714287</v>
      </c>
      <c r="H36" s="1202"/>
      <c r="I36" s="1093">
        <f t="shared" si="7"/>
        <v>239657.14285714287</v>
      </c>
      <c r="J36" s="1202"/>
      <c r="K36" s="1093"/>
      <c r="L36" s="1202"/>
      <c r="M36" s="1093"/>
      <c r="N36" s="1202"/>
      <c r="O36" s="1093"/>
      <c r="P36" s="1202"/>
      <c r="Q36" s="1093"/>
      <c r="R36" s="1202"/>
      <c r="S36" s="1093"/>
    </row>
    <row r="37" spans="1:19">
      <c r="A37" s="1086"/>
      <c r="B37" s="1212" t="s">
        <v>354</v>
      </c>
      <c r="C37" s="1088"/>
      <c r="D37" s="682">
        <v>8</v>
      </c>
      <c r="E37" s="683" t="s">
        <v>800</v>
      </c>
      <c r="F37" s="451">
        <f>40000/8</f>
        <v>5000</v>
      </c>
      <c r="G37" s="1210">
        <f t="shared" si="6"/>
        <v>40000</v>
      </c>
      <c r="H37" s="1211"/>
      <c r="I37" s="1208"/>
      <c r="J37" s="1202"/>
      <c r="K37" s="1093"/>
      <c r="L37" s="1202"/>
      <c r="M37" s="1093"/>
      <c r="N37" s="1202"/>
      <c r="O37" s="1093"/>
      <c r="P37" s="1202"/>
      <c r="Q37" s="1093"/>
      <c r="R37" s="1202"/>
      <c r="S37" s="1093"/>
    </row>
    <row r="38" spans="1:19">
      <c r="A38" s="1086"/>
      <c r="B38" s="1113" t="s">
        <v>616</v>
      </c>
      <c r="C38" s="1088"/>
      <c r="D38" s="450">
        <f>'GCs &amp; GRs'!K4</f>
        <v>99.857142857142861</v>
      </c>
      <c r="E38" s="417" t="s">
        <v>445</v>
      </c>
      <c r="F38" s="431">
        <f>2*8*55</f>
        <v>880</v>
      </c>
      <c r="G38" s="1207">
        <f t="shared" si="6"/>
        <v>87874.285714285725</v>
      </c>
      <c r="H38" s="1202"/>
      <c r="I38" s="1093">
        <f t="shared" si="7"/>
        <v>87874.285714285725</v>
      </c>
      <c r="J38" s="1202"/>
      <c r="K38" s="1093"/>
      <c r="L38" s="1202"/>
      <c r="M38" s="1093"/>
      <c r="N38" s="1202"/>
      <c r="O38" s="1093"/>
      <c r="P38" s="1202"/>
      <c r="Q38" s="1093"/>
      <c r="R38" s="1202"/>
      <c r="S38" s="1093"/>
    </row>
    <row r="39" spans="1:19">
      <c r="A39" s="1097"/>
      <c r="B39" s="1113" t="s">
        <v>801</v>
      </c>
      <c r="C39" s="1088"/>
      <c r="D39" s="345">
        <f>D27</f>
        <v>267406</v>
      </c>
      <c r="E39" s="266" t="s">
        <v>511</v>
      </c>
      <c r="F39" s="431">
        <v>0.25</v>
      </c>
      <c r="G39" s="1207">
        <f t="shared" si="0"/>
        <v>66851.5</v>
      </c>
      <c r="H39" s="1202"/>
      <c r="I39" s="1093">
        <f t="shared" si="1"/>
        <v>66851.5</v>
      </c>
      <c r="J39" s="1202"/>
      <c r="K39" s="1093"/>
      <c r="L39" s="1202"/>
      <c r="M39" s="1093"/>
      <c r="N39" s="1202"/>
      <c r="O39" s="1093"/>
      <c r="P39" s="1202"/>
      <c r="Q39" s="1093"/>
      <c r="R39" s="1202"/>
      <c r="S39" s="1093"/>
    </row>
    <row r="40" spans="1:19">
      <c r="A40" s="1086"/>
      <c r="B40" s="1113" t="s">
        <v>802</v>
      </c>
      <c r="C40" s="1088"/>
      <c r="D40" s="345">
        <v>1</v>
      </c>
      <c r="E40" s="266" t="s">
        <v>462</v>
      </c>
      <c r="F40" s="431">
        <v>50000</v>
      </c>
      <c r="G40" s="1207">
        <f t="shared" si="0"/>
        <v>50000</v>
      </c>
      <c r="H40" s="1202"/>
      <c r="I40" s="1093">
        <f t="shared" si="1"/>
        <v>50000</v>
      </c>
      <c r="J40" s="1202"/>
      <c r="K40" s="1093"/>
      <c r="L40" s="1202"/>
      <c r="M40" s="1093"/>
      <c r="N40" s="1202"/>
      <c r="O40" s="1093"/>
      <c r="P40" s="1202"/>
      <c r="Q40" s="1093"/>
      <c r="R40" s="1202"/>
      <c r="S40" s="1093"/>
    </row>
    <row r="41" spans="1:19">
      <c r="A41" s="1086"/>
      <c r="B41" s="1213" t="s">
        <v>803</v>
      </c>
      <c r="C41" s="1214"/>
      <c r="D41" s="724"/>
      <c r="E41" s="725" t="s">
        <v>462</v>
      </c>
      <c r="F41" s="451">
        <v>5000</v>
      </c>
      <c r="G41" s="1210">
        <f t="shared" si="0"/>
        <v>0</v>
      </c>
      <c r="H41" s="1211"/>
      <c r="I41" s="1208">
        <f t="shared" si="1"/>
        <v>0</v>
      </c>
      <c r="J41" s="1202"/>
      <c r="K41" s="1093"/>
      <c r="L41" s="1202"/>
      <c r="M41" s="1093"/>
      <c r="N41" s="1202"/>
      <c r="O41" s="1093"/>
      <c r="P41" s="1202"/>
      <c r="Q41" s="1093"/>
      <c r="R41" s="1202"/>
      <c r="S41" s="1093"/>
    </row>
    <row r="42" spans="1:19">
      <c r="A42" s="1086"/>
      <c r="B42" s="1113" t="s">
        <v>804</v>
      </c>
      <c r="C42" s="1088"/>
      <c r="D42" s="345">
        <v>1</v>
      </c>
      <c r="E42" s="266" t="s">
        <v>462</v>
      </c>
      <c r="F42" s="431">
        <v>15000</v>
      </c>
      <c r="G42" s="1207">
        <f>D42*F42</f>
        <v>15000</v>
      </c>
      <c r="H42" s="1202"/>
      <c r="I42" s="1093">
        <f t="shared" si="1"/>
        <v>15000</v>
      </c>
      <c r="J42" s="1202"/>
      <c r="K42" s="1093"/>
      <c r="L42" s="1202"/>
      <c r="M42" s="1093"/>
      <c r="N42" s="1202"/>
      <c r="O42" s="1093"/>
      <c r="P42" s="1202"/>
      <c r="Q42" s="1093"/>
      <c r="R42" s="1202"/>
      <c r="S42" s="1093"/>
    </row>
    <row r="43" spans="1:19">
      <c r="A43" s="1086"/>
      <c r="B43" s="1113"/>
      <c r="C43" s="23"/>
      <c r="D43" s="345"/>
      <c r="E43" s="266"/>
      <c r="F43" s="431"/>
      <c r="G43" s="1207"/>
      <c r="H43" s="1202"/>
      <c r="I43" s="1093">
        <f t="shared" si="1"/>
        <v>0</v>
      </c>
      <c r="J43" s="1202"/>
      <c r="K43" s="1093"/>
      <c r="L43" s="1202"/>
      <c r="M43" s="1093"/>
      <c r="N43" s="1202"/>
      <c r="O43" s="1093"/>
      <c r="P43" s="1202"/>
      <c r="Q43" s="1093"/>
      <c r="R43" s="1202"/>
      <c r="S43" s="1093"/>
    </row>
    <row r="44" spans="1:19">
      <c r="A44" s="1086"/>
      <c r="B44" s="1215" t="s">
        <v>805</v>
      </c>
      <c r="C44" s="646"/>
      <c r="D44" s="647">
        <v>14</v>
      </c>
      <c r="E44" s="672" t="s">
        <v>800</v>
      </c>
      <c r="F44" s="648">
        <v>25000</v>
      </c>
      <c r="G44" s="1216">
        <f>D44*F44</f>
        <v>350000</v>
      </c>
      <c r="H44" s="1217"/>
      <c r="I44" s="1218">
        <f>G44</f>
        <v>350000</v>
      </c>
      <c r="J44" s="1202"/>
      <c r="K44" s="1093"/>
      <c r="L44" s="1202"/>
      <c r="M44" s="1093"/>
      <c r="N44" s="1202"/>
      <c r="O44" s="1093"/>
      <c r="P44" s="1202"/>
      <c r="Q44" s="1093"/>
      <c r="R44" s="1202"/>
      <c r="S44" s="1093"/>
    </row>
    <row r="45" spans="1:19">
      <c r="A45" s="1086"/>
      <c r="B45" s="1113"/>
      <c r="C45" s="23"/>
      <c r="D45" s="345"/>
      <c r="E45" s="266"/>
      <c r="F45" s="431"/>
      <c r="G45" s="1207"/>
      <c r="H45" s="1202"/>
      <c r="I45" s="1093">
        <f t="shared" si="1"/>
        <v>0</v>
      </c>
      <c r="J45" s="1202"/>
      <c r="K45" s="1093"/>
      <c r="L45" s="1202"/>
      <c r="M45" s="1093"/>
      <c r="N45" s="1202"/>
      <c r="O45" s="1093"/>
      <c r="P45" s="1202"/>
      <c r="Q45" s="1093"/>
      <c r="R45" s="1202"/>
      <c r="S45" s="1093"/>
    </row>
    <row r="46" spans="1:19">
      <c r="A46" s="1086"/>
      <c r="B46" s="1113"/>
      <c r="C46" s="23"/>
      <c r="D46" s="345"/>
      <c r="E46" s="266"/>
      <c r="F46" s="431"/>
      <c r="G46" s="1207"/>
      <c r="H46" s="1202"/>
      <c r="I46" s="1093">
        <f t="shared" si="1"/>
        <v>0</v>
      </c>
      <c r="J46" s="1202"/>
      <c r="K46" s="1093"/>
      <c r="L46" s="1202"/>
      <c r="M46" s="1093"/>
      <c r="N46" s="1202"/>
      <c r="O46" s="1093"/>
      <c r="P46" s="1202"/>
      <c r="Q46" s="1093"/>
      <c r="R46" s="1202"/>
      <c r="S46" s="1093"/>
    </row>
    <row r="47" spans="1:19">
      <c r="A47" s="1086"/>
      <c r="B47" s="1113"/>
      <c r="C47" s="23"/>
      <c r="D47" s="345"/>
      <c r="E47" s="266"/>
      <c r="F47" s="431"/>
      <c r="G47" s="1207"/>
      <c r="H47" s="1202"/>
      <c r="I47" s="1093">
        <f t="shared" si="1"/>
        <v>0</v>
      </c>
      <c r="J47" s="1202"/>
      <c r="K47" s="1093"/>
      <c r="L47" s="1202"/>
      <c r="M47" s="1093"/>
      <c r="N47" s="1202"/>
      <c r="O47" s="1093"/>
      <c r="P47" s="1202"/>
      <c r="Q47" s="1093"/>
      <c r="R47" s="1202"/>
      <c r="S47" s="1093"/>
    </row>
    <row r="48" spans="1:19">
      <c r="A48" s="1086"/>
      <c r="B48" s="1113"/>
      <c r="C48" s="23"/>
      <c r="D48" s="345"/>
      <c r="E48" s="266"/>
      <c r="F48" s="431"/>
      <c r="G48" s="1207"/>
      <c r="H48" s="1202"/>
      <c r="I48" s="1093">
        <f t="shared" si="1"/>
        <v>0</v>
      </c>
      <c r="J48" s="1202"/>
      <c r="K48" s="1093"/>
      <c r="L48" s="1202"/>
      <c r="M48" s="1093"/>
      <c r="N48" s="1202"/>
      <c r="O48" s="1093"/>
      <c r="P48" s="1202"/>
      <c r="Q48" s="1093"/>
      <c r="R48" s="1202"/>
      <c r="S48" s="1093"/>
    </row>
    <row r="49" spans="1:19">
      <c r="A49" s="1086"/>
      <c r="B49" s="1113"/>
      <c r="C49" s="23"/>
      <c r="D49" s="345"/>
      <c r="E49" s="266"/>
      <c r="F49" s="431"/>
      <c r="G49" s="1207"/>
      <c r="H49" s="1202"/>
      <c r="I49" s="1093">
        <f t="shared" si="1"/>
        <v>0</v>
      </c>
      <c r="J49" s="1202"/>
      <c r="K49" s="1093"/>
      <c r="L49" s="1202"/>
      <c r="M49" s="1093"/>
      <c r="N49" s="1202"/>
      <c r="O49" s="1093"/>
      <c r="P49" s="1202"/>
      <c r="Q49" s="1093"/>
      <c r="R49" s="1202"/>
      <c r="S49" s="1093"/>
    </row>
    <row r="50" spans="1:19">
      <c r="A50" s="1086"/>
      <c r="B50" s="1113"/>
      <c r="C50" s="23"/>
      <c r="D50" s="345"/>
      <c r="E50" s="266"/>
      <c r="F50" s="431"/>
      <c r="G50" s="1207"/>
      <c r="H50" s="1202"/>
      <c r="I50" s="1093">
        <f t="shared" si="1"/>
        <v>0</v>
      </c>
      <c r="J50" s="1202"/>
      <c r="K50" s="1093"/>
      <c r="L50" s="1202"/>
      <c r="M50" s="1093"/>
      <c r="N50" s="1202"/>
      <c r="O50" s="1093"/>
      <c r="P50" s="1202"/>
      <c r="Q50" s="1093"/>
      <c r="R50" s="1202"/>
      <c r="S50" s="1093"/>
    </row>
    <row r="51" spans="1:19">
      <c r="A51" s="1086"/>
      <c r="B51" s="1113"/>
      <c r="C51" s="23"/>
      <c r="D51" s="345"/>
      <c r="E51" s="266"/>
      <c r="F51" s="431"/>
      <c r="G51" s="1207"/>
      <c r="H51" s="1202"/>
      <c r="I51" s="1093">
        <f t="shared" si="1"/>
        <v>0</v>
      </c>
      <c r="J51" s="1202"/>
      <c r="K51" s="1093"/>
      <c r="L51" s="1202"/>
      <c r="M51" s="1093"/>
      <c r="N51" s="1202"/>
      <c r="O51" s="1093"/>
      <c r="P51" s="1202"/>
      <c r="Q51" s="1093"/>
      <c r="R51" s="1202"/>
      <c r="S51" s="1093"/>
    </row>
    <row r="52" spans="1:19">
      <c r="A52" s="1086"/>
      <c r="B52" s="1113"/>
      <c r="C52" s="23"/>
      <c r="D52" s="345"/>
      <c r="E52" s="266"/>
      <c r="F52" s="431"/>
      <c r="G52" s="1207"/>
      <c r="H52" s="1202"/>
      <c r="I52" s="1093">
        <f t="shared" si="1"/>
        <v>0</v>
      </c>
      <c r="J52" s="1202"/>
      <c r="K52" s="1093"/>
      <c r="L52" s="1202"/>
      <c r="M52" s="1093"/>
      <c r="N52" s="1202"/>
      <c r="O52" s="1093"/>
      <c r="P52" s="1202"/>
      <c r="Q52" s="1093"/>
      <c r="R52" s="1202"/>
      <c r="S52" s="1093"/>
    </row>
    <row r="53" spans="1:19">
      <c r="A53" s="1086"/>
      <c r="B53" s="1113"/>
      <c r="C53" s="23"/>
      <c r="D53" s="345"/>
      <c r="E53" s="266"/>
      <c r="F53" s="431"/>
      <c r="G53" s="1207"/>
      <c r="H53" s="1202"/>
      <c r="I53" s="1093">
        <f t="shared" si="1"/>
        <v>0</v>
      </c>
      <c r="J53" s="1202"/>
      <c r="K53" s="1093"/>
      <c r="L53" s="1202"/>
      <c r="M53" s="1093"/>
      <c r="N53" s="1202"/>
      <c r="O53" s="1093"/>
      <c r="P53" s="1202"/>
      <c r="Q53" s="1093"/>
      <c r="R53" s="1202"/>
      <c r="S53" s="1093"/>
    </row>
    <row r="54" spans="1:19">
      <c r="A54" s="1086"/>
      <c r="B54" s="1113"/>
      <c r="C54" s="23"/>
      <c r="D54" s="345"/>
      <c r="E54" s="266"/>
      <c r="F54" s="431"/>
      <c r="G54" s="1207"/>
      <c r="H54" s="1202"/>
      <c r="I54" s="1093">
        <f t="shared" si="1"/>
        <v>0</v>
      </c>
      <c r="J54" s="1202"/>
      <c r="K54" s="1093"/>
      <c r="L54" s="1202"/>
      <c r="M54" s="1093"/>
      <c r="N54" s="1202"/>
      <c r="O54" s="1093"/>
      <c r="P54" s="1202"/>
      <c r="Q54" s="1093"/>
      <c r="R54" s="1202"/>
      <c r="S54" s="1093"/>
    </row>
    <row r="55" spans="1:19">
      <c r="A55" s="1086"/>
      <c r="B55" s="1113"/>
      <c r="C55" s="23"/>
      <c r="D55" s="345"/>
      <c r="E55" s="266"/>
      <c r="F55" s="431"/>
      <c r="G55" s="830"/>
      <c r="H55" s="1202"/>
      <c r="I55" s="1093">
        <f t="shared" si="1"/>
        <v>0</v>
      </c>
      <c r="J55" s="1202"/>
      <c r="K55" s="1093"/>
      <c r="L55" s="1202"/>
      <c r="M55" s="1093"/>
      <c r="N55" s="1202"/>
      <c r="O55" s="1093"/>
      <c r="P55" s="1202"/>
      <c r="Q55" s="1093"/>
      <c r="R55" s="1202"/>
      <c r="S55" s="1093"/>
    </row>
    <row r="56" spans="1:19" ht="15.75" thickBot="1">
      <c r="A56" s="1086"/>
      <c r="B56" s="1113"/>
      <c r="C56" s="23"/>
      <c r="D56" s="345"/>
      <c r="E56" s="266"/>
      <c r="F56" s="431"/>
      <c r="G56" s="830"/>
      <c r="H56" s="1202"/>
      <c r="I56" s="1093"/>
      <c r="J56" s="1202"/>
      <c r="K56" s="1093"/>
      <c r="L56" s="1202"/>
      <c r="M56" s="1093"/>
      <c r="N56" s="1202"/>
      <c r="O56" s="1093"/>
      <c r="P56" s="1202"/>
      <c r="Q56" s="1093"/>
      <c r="R56" s="1202"/>
      <c r="S56" s="1093"/>
    </row>
    <row r="57" spans="1:19" ht="15.75" thickTop="1">
      <c r="A57" s="296"/>
      <c r="B57" s="301"/>
      <c r="C57" s="297"/>
      <c r="D57" s="346"/>
      <c r="E57" s="349"/>
      <c r="F57" s="282" t="s">
        <v>753</v>
      </c>
      <c r="G57" s="272" t="s">
        <v>69</v>
      </c>
      <c r="H57" s="273"/>
      <c r="I57" s="273">
        <f>SUM(I22:I56)</f>
        <v>1781647.2108928571</v>
      </c>
      <c r="J57" s="273"/>
      <c r="K57" s="273">
        <f>SUM(K22:K56)</f>
        <v>199490</v>
      </c>
      <c r="L57" s="273"/>
      <c r="M57" s="273">
        <f>SUM(M22:M56)</f>
        <v>155983.11375000002</v>
      </c>
      <c r="N57" s="273"/>
      <c r="O57" s="273">
        <f>SUM(O22:O56)</f>
        <v>0</v>
      </c>
      <c r="P57" s="273"/>
      <c r="Q57" s="273">
        <f>SUM(Q22:Q56)</f>
        <v>0</v>
      </c>
      <c r="R57" s="273"/>
      <c r="S57" s="273">
        <f>SUM(S22:S56)</f>
        <v>0</v>
      </c>
    </row>
    <row r="58" spans="1:19">
      <c r="A58" s="1114"/>
      <c r="B58" s="1164"/>
      <c r="C58" s="432"/>
      <c r="D58" s="452"/>
      <c r="E58" s="453"/>
      <c r="F58" s="435" t="s">
        <v>754</v>
      </c>
      <c r="G58" s="436"/>
      <c r="H58" s="1165">
        <v>0</v>
      </c>
      <c r="I58" s="1166"/>
      <c r="J58" s="1165">
        <v>0</v>
      </c>
      <c r="K58" s="1166"/>
      <c r="L58" s="1165">
        <v>0</v>
      </c>
      <c r="M58" s="1166"/>
      <c r="N58" s="1165">
        <v>0</v>
      </c>
      <c r="O58" s="1166"/>
      <c r="P58" s="1165">
        <v>0</v>
      </c>
      <c r="Q58" s="1166"/>
      <c r="R58" s="1165">
        <v>0</v>
      </c>
      <c r="S58" s="1166"/>
    </row>
    <row r="59" spans="1:19">
      <c r="A59" s="1114"/>
      <c r="B59" s="1164"/>
      <c r="C59" s="432"/>
      <c r="D59" s="452"/>
      <c r="E59" s="453"/>
      <c r="F59" s="435" t="s">
        <v>755</v>
      </c>
      <c r="G59" s="436"/>
      <c r="H59" s="1166"/>
      <c r="I59" s="1166">
        <f>H58*I57</f>
        <v>0</v>
      </c>
      <c r="J59" s="1166"/>
      <c r="K59" s="1166">
        <f>J58*K57</f>
        <v>0</v>
      </c>
      <c r="L59" s="1166"/>
      <c r="M59" s="1166">
        <f>L58*M57</f>
        <v>0</v>
      </c>
      <c r="N59" s="1166"/>
      <c r="O59" s="1166">
        <f>N58*O57</f>
        <v>0</v>
      </c>
      <c r="P59" s="1166"/>
      <c r="Q59" s="1166">
        <f>P58*Q57</f>
        <v>0</v>
      </c>
      <c r="R59" s="1166"/>
      <c r="S59" s="1166">
        <f>R58*S57</f>
        <v>0</v>
      </c>
    </row>
    <row r="60" spans="1:19">
      <c r="A60" s="1114"/>
      <c r="B60" s="1164"/>
      <c r="C60" s="432"/>
      <c r="D60" s="452"/>
      <c r="E60" s="453"/>
      <c r="F60" s="435"/>
      <c r="G60" s="436"/>
      <c r="H60" s="1166"/>
      <c r="I60" s="1166"/>
      <c r="J60" s="1166"/>
      <c r="K60" s="1166"/>
      <c r="L60" s="1166"/>
      <c r="M60" s="1166"/>
      <c r="N60" s="1166"/>
      <c r="O60" s="1166"/>
      <c r="P60" s="1166"/>
      <c r="Q60" s="1166"/>
      <c r="R60" s="1166"/>
      <c r="S60" s="1166"/>
    </row>
    <row r="61" spans="1:19">
      <c r="A61" s="1114"/>
      <c r="B61" s="1164"/>
      <c r="C61" s="432"/>
      <c r="D61" s="452"/>
      <c r="E61" s="453"/>
      <c r="F61" s="435" t="s">
        <v>756</v>
      </c>
      <c r="G61" s="436"/>
      <c r="H61" s="1166"/>
      <c r="I61" s="1166">
        <f>SUM(I57:I59)</f>
        <v>1781647.2108928571</v>
      </c>
      <c r="J61" s="1166"/>
      <c r="K61" s="1166">
        <f>SUM(K57:K59)</f>
        <v>199490</v>
      </c>
      <c r="L61" s="1166"/>
      <c r="M61" s="1166">
        <f>SUM(M57:M59)</f>
        <v>155983.11375000002</v>
      </c>
      <c r="N61" s="1166"/>
      <c r="O61" s="1166">
        <f>SUM(O57:O59)</f>
        <v>0</v>
      </c>
      <c r="P61" s="1166"/>
      <c r="Q61" s="1166">
        <f>SUM(Q57:Q59)</f>
        <v>0</v>
      </c>
      <c r="R61" s="1166"/>
      <c r="S61" s="1166">
        <f>SUM(S57:S59)</f>
        <v>0</v>
      </c>
    </row>
    <row r="62" spans="1:19">
      <c r="A62" s="1114"/>
      <c r="B62" s="1164"/>
      <c r="C62" s="432"/>
      <c r="D62" s="452"/>
      <c r="E62" s="453"/>
      <c r="F62" s="437" t="s">
        <v>757</v>
      </c>
      <c r="G62" s="438"/>
      <c r="H62" s="1167"/>
      <c r="I62" s="1167">
        <f>I61/'Area Calculations'!$G$4</f>
        <v>3.078902938139914</v>
      </c>
      <c r="J62" s="1167"/>
      <c r="K62" s="1167">
        <f>K61/'Area Calculations'!$G$4</f>
        <v>0.34474296784138608</v>
      </c>
      <c r="L62" s="1167"/>
      <c r="M62" s="1167">
        <f>M61/'Area Calculations'!$G$4</f>
        <v>0.2695577801760265</v>
      </c>
      <c r="N62" s="1167"/>
      <c r="O62" s="1167">
        <f>O61/'Area Calculations'!$G$4</f>
        <v>0</v>
      </c>
      <c r="P62" s="1167"/>
      <c r="Q62" s="1167">
        <f>Q61/'Area Calculations'!$G$4</f>
        <v>0</v>
      </c>
      <c r="R62" s="1167"/>
      <c r="S62" s="1167">
        <f>S61/'Area Calculations'!$G$4</f>
        <v>0</v>
      </c>
    </row>
    <row r="63" spans="1:19">
      <c r="A63" s="1114"/>
      <c r="B63" s="1164"/>
      <c r="C63" s="432"/>
      <c r="D63" s="452"/>
      <c r="E63" s="453"/>
      <c r="F63" s="437" t="s">
        <v>758</v>
      </c>
      <c r="G63" s="438"/>
      <c r="H63" s="1167"/>
      <c r="I63" s="1167">
        <f>I61/'Area Calculations'!$G$9</f>
        <v>16650.908513017355</v>
      </c>
      <c r="J63" s="1167"/>
      <c r="K63" s="1167">
        <f>K61/'Area Calculations'!$G$9</f>
        <v>1864.3925233644859</v>
      </c>
      <c r="L63" s="1167"/>
      <c r="M63" s="1167">
        <f>M61/'Area Calculations'!$G$9</f>
        <v>1457.7861098130843</v>
      </c>
      <c r="N63" s="1167"/>
      <c r="O63" s="1167">
        <f>O61/'Area Calculations'!$G$9</f>
        <v>0</v>
      </c>
      <c r="P63" s="1167"/>
      <c r="Q63" s="1167">
        <f>Q61/'Area Calculations'!$G$9</f>
        <v>0</v>
      </c>
      <c r="R63" s="1167"/>
      <c r="S63" s="1167">
        <f>S61/'Area Calculations'!$G$9</f>
        <v>0</v>
      </c>
    </row>
    <row r="64" spans="1:19" ht="15.75" thickBot="1">
      <c r="A64" s="1114"/>
      <c r="B64" s="1164"/>
      <c r="C64" s="432"/>
      <c r="D64" s="452"/>
      <c r="E64" s="453"/>
      <c r="F64" s="439"/>
      <c r="G64" s="436"/>
      <c r="H64" s="1168"/>
      <c r="I64" s="1168"/>
      <c r="J64" s="1168"/>
      <c r="K64" s="1168"/>
      <c r="L64" s="1168"/>
      <c r="M64" s="1168"/>
      <c r="N64" s="1168"/>
      <c r="O64" s="1168"/>
      <c r="P64" s="1168"/>
      <c r="Q64" s="1168"/>
      <c r="R64" s="1168"/>
      <c r="S64" s="1168"/>
    </row>
    <row r="65" spans="1:34" ht="16.5" thickTop="1" thickBot="1">
      <c r="A65" s="2331" t="s">
        <v>759</v>
      </c>
      <c r="B65" s="2332"/>
      <c r="C65" s="298"/>
      <c r="D65" s="347"/>
      <c r="E65" s="350"/>
      <c r="F65" s="12"/>
      <c r="G65" s="26"/>
      <c r="H65" s="24"/>
      <c r="I65" s="20"/>
      <c r="J65" s="20"/>
      <c r="K65" s="20"/>
      <c r="L65" s="20"/>
      <c r="M65" s="20"/>
      <c r="N65" s="20"/>
      <c r="O65" s="20"/>
      <c r="P65" s="20"/>
      <c r="Q65" s="20"/>
      <c r="R65" s="20"/>
      <c r="S65" s="20"/>
    </row>
    <row r="66" spans="1:34" ht="15.75" thickTop="1">
      <c r="A66" s="1219"/>
      <c r="B66" s="1105"/>
      <c r="C66" s="1088"/>
      <c r="D66" s="1199"/>
      <c r="E66" s="1200"/>
      <c r="F66" s="1220"/>
      <c r="G66" s="1221"/>
      <c r="H66" s="1222"/>
      <c r="I66" s="1223"/>
      <c r="J66" s="1223"/>
      <c r="K66" s="1223"/>
      <c r="L66" s="1223"/>
      <c r="M66" s="1223"/>
      <c r="N66" s="1223"/>
      <c r="O66" s="1223"/>
      <c r="P66" s="1223"/>
      <c r="Q66" s="1223"/>
      <c r="R66" s="1223"/>
      <c r="S66" s="1223"/>
    </row>
    <row r="67" spans="1:34">
      <c r="A67" s="1219"/>
      <c r="B67" s="1105"/>
      <c r="C67" s="1088"/>
      <c r="D67" s="1199"/>
      <c r="E67" s="1200"/>
      <c r="F67" s="1220"/>
      <c r="G67" s="1221"/>
      <c r="H67" s="1222"/>
      <c r="I67" s="1223"/>
      <c r="J67" s="1223"/>
      <c r="K67" s="1223"/>
      <c r="L67" s="1223"/>
      <c r="M67" s="1223"/>
      <c r="N67" s="1223"/>
      <c r="O67" s="1223"/>
      <c r="P67" s="1223"/>
      <c r="Q67" s="1223"/>
      <c r="R67" s="1223"/>
      <c r="S67" s="1223"/>
    </row>
    <row r="68" spans="1:34" ht="15.75" thickBot="1">
      <c r="A68" s="1219"/>
      <c r="B68" s="1105"/>
      <c r="C68" s="1088"/>
      <c r="D68" s="1199"/>
      <c r="E68" s="1200"/>
      <c r="F68" s="1220"/>
      <c r="G68" s="1221"/>
      <c r="H68" s="1222"/>
      <c r="I68" s="1223"/>
      <c r="J68" s="1223"/>
      <c r="K68" s="1223"/>
      <c r="L68" s="1223"/>
      <c r="M68" s="1223"/>
      <c r="N68" s="1223"/>
      <c r="O68" s="1223"/>
      <c r="P68" s="1223"/>
      <c r="Q68" s="1223"/>
      <c r="R68" s="1223"/>
      <c r="S68" s="1223"/>
    </row>
    <row r="69" spans="1:34" s="2" customFormat="1" ht="16.5" thickTop="1" thickBot="1">
      <c r="A69" s="2331" t="s">
        <v>760</v>
      </c>
      <c r="B69" s="2332"/>
      <c r="C69" s="298"/>
      <c r="D69" s="347"/>
      <c r="E69" s="350"/>
      <c r="F69" s="12"/>
      <c r="G69" s="26"/>
      <c r="H69" s="24"/>
      <c r="I69" s="20"/>
      <c r="J69" s="20"/>
      <c r="K69" s="20"/>
      <c r="L69" s="20"/>
      <c r="M69" s="20"/>
      <c r="N69" s="20"/>
      <c r="O69" s="20"/>
      <c r="P69" s="20"/>
      <c r="Q69" s="20"/>
      <c r="R69" s="20"/>
      <c r="S69" s="20"/>
      <c r="T69"/>
      <c r="U69"/>
      <c r="V69"/>
      <c r="W69"/>
      <c r="X69"/>
      <c r="Y69"/>
      <c r="Z69"/>
      <c r="AA69"/>
      <c r="AB69"/>
      <c r="AC69"/>
      <c r="AD69"/>
      <c r="AE69"/>
      <c r="AF69"/>
      <c r="AG69"/>
      <c r="AH69"/>
    </row>
    <row r="70" spans="1:34" s="2" customFormat="1" ht="15.75" thickTop="1">
      <c r="A70" s="1219"/>
      <c r="B70" s="1105"/>
      <c r="C70" s="1088"/>
      <c r="D70" s="1199"/>
      <c r="E70" s="1200"/>
      <c r="F70" s="1220"/>
      <c r="G70" s="1221"/>
      <c r="H70" s="1222"/>
      <c r="I70" s="1223"/>
      <c r="J70" s="1223"/>
      <c r="K70" s="1223"/>
      <c r="L70" s="1223"/>
      <c r="M70" s="1223"/>
      <c r="N70" s="1223"/>
      <c r="O70" s="1223"/>
      <c r="P70" s="1223"/>
      <c r="Q70" s="1223"/>
      <c r="R70" s="1223"/>
      <c r="S70" s="1223"/>
      <c r="T70"/>
      <c r="U70"/>
      <c r="V70"/>
      <c r="W70"/>
      <c r="X70"/>
      <c r="Y70"/>
      <c r="Z70"/>
      <c r="AA70"/>
      <c r="AB70"/>
      <c r="AC70"/>
      <c r="AD70"/>
      <c r="AE70"/>
      <c r="AF70"/>
      <c r="AG70"/>
      <c r="AH70"/>
    </row>
    <row r="71" spans="1:34" s="2" customFormat="1">
      <c r="A71" s="1219"/>
      <c r="B71" s="1105"/>
      <c r="C71" s="1088"/>
      <c r="D71" s="1199"/>
      <c r="E71" s="1200"/>
      <c r="F71" s="1220"/>
      <c r="G71" s="1221"/>
      <c r="H71" s="1222"/>
      <c r="I71" s="1223"/>
      <c r="J71" s="1223"/>
      <c r="K71" s="1223"/>
      <c r="L71" s="1223"/>
      <c r="M71" s="1223"/>
      <c r="N71" s="1223"/>
      <c r="O71" s="1223"/>
      <c r="P71" s="1223"/>
      <c r="Q71" s="1223"/>
      <c r="R71" s="1223"/>
      <c r="S71" s="1223"/>
      <c r="T71"/>
      <c r="U71"/>
      <c r="V71"/>
      <c r="W71"/>
      <c r="X71"/>
      <c r="Y71"/>
      <c r="Z71"/>
      <c r="AA71"/>
      <c r="AB71"/>
      <c r="AC71"/>
      <c r="AD71"/>
      <c r="AE71"/>
      <c r="AF71"/>
      <c r="AG71"/>
      <c r="AH71"/>
    </row>
    <row r="72" spans="1:34" ht="15.75" thickBot="1">
      <c r="A72" s="1219"/>
      <c r="B72" s="1105"/>
      <c r="C72" s="1088"/>
      <c r="D72" s="1199"/>
      <c r="E72" s="1200"/>
      <c r="F72" s="1220"/>
      <c r="G72" s="1221"/>
      <c r="H72" s="1222"/>
      <c r="I72" s="1223"/>
      <c r="J72" s="1223"/>
      <c r="K72" s="1223"/>
      <c r="L72" s="1223"/>
      <c r="M72" s="1223"/>
      <c r="N72" s="1223"/>
      <c r="O72" s="1223"/>
      <c r="P72" s="1223"/>
      <c r="Q72" s="1223"/>
      <c r="R72" s="1223"/>
      <c r="S72" s="1223"/>
    </row>
    <row r="73" spans="1:34" s="2" customFormat="1" ht="16.5" thickTop="1" thickBot="1">
      <c r="A73" s="2331" t="s">
        <v>761</v>
      </c>
      <c r="B73" s="2332"/>
      <c r="C73" s="298"/>
      <c r="D73" s="347"/>
      <c r="E73" s="350"/>
      <c r="F73" s="12"/>
      <c r="G73" s="26"/>
      <c r="H73" s="24"/>
      <c r="I73" s="20"/>
      <c r="J73" s="20"/>
      <c r="K73" s="20"/>
      <c r="L73" s="20"/>
      <c r="M73" s="20"/>
      <c r="N73" s="20"/>
      <c r="O73" s="20"/>
      <c r="P73" s="20"/>
      <c r="Q73" s="20"/>
      <c r="R73" s="20"/>
      <c r="S73" s="20"/>
      <c r="T73"/>
      <c r="U73"/>
      <c r="V73"/>
      <c r="W73"/>
      <c r="X73"/>
      <c r="Y73"/>
      <c r="Z73"/>
      <c r="AA73"/>
      <c r="AB73"/>
      <c r="AC73"/>
      <c r="AD73"/>
      <c r="AE73"/>
      <c r="AF73"/>
      <c r="AG73"/>
      <c r="AH73"/>
    </row>
    <row r="74" spans="1:34" s="2" customFormat="1" ht="15.75" thickTop="1">
      <c r="A74" s="1219"/>
      <c r="B74" s="1105"/>
      <c r="C74" s="1088"/>
      <c r="D74" s="1199"/>
      <c r="E74" s="1200"/>
      <c r="F74" s="1220"/>
      <c r="G74" s="1221"/>
      <c r="H74" s="1222"/>
      <c r="I74" s="1223"/>
      <c r="J74" s="1223"/>
      <c r="K74" s="1223"/>
      <c r="L74" s="1223"/>
      <c r="M74" s="1223"/>
      <c r="N74" s="1223"/>
      <c r="O74" s="1223"/>
      <c r="P74" s="1223"/>
      <c r="Q74" s="1223"/>
      <c r="R74" s="1223"/>
      <c r="S74" s="1223"/>
      <c r="T74"/>
      <c r="U74"/>
      <c r="V74"/>
      <c r="W74"/>
      <c r="X74"/>
      <c r="Y74"/>
      <c r="Z74"/>
      <c r="AA74"/>
      <c r="AB74"/>
      <c r="AC74"/>
      <c r="AD74"/>
      <c r="AE74"/>
      <c r="AF74"/>
      <c r="AG74"/>
      <c r="AH74"/>
    </row>
    <row r="75" spans="1:34" s="2" customFormat="1">
      <c r="A75" s="1124"/>
      <c r="B75" s="1105"/>
      <c r="C75" s="415"/>
      <c r="D75" s="416"/>
      <c r="E75" s="417"/>
      <c r="F75" s="422"/>
      <c r="G75" s="831"/>
      <c r="H75" s="440"/>
      <c r="I75" s="1173"/>
      <c r="J75" s="1173"/>
      <c r="K75" s="1173"/>
      <c r="L75" s="1173"/>
      <c r="M75" s="1173"/>
      <c r="N75" s="1173"/>
      <c r="O75" s="1173"/>
      <c r="P75" s="1173"/>
      <c r="Q75" s="1173"/>
      <c r="R75" s="1173"/>
      <c r="S75" s="1173"/>
      <c r="T75"/>
      <c r="U75"/>
      <c r="V75"/>
      <c r="W75"/>
      <c r="X75"/>
      <c r="Y75"/>
      <c r="Z75"/>
      <c r="AA75"/>
      <c r="AB75"/>
      <c r="AC75"/>
      <c r="AD75"/>
      <c r="AE75"/>
      <c r="AF75"/>
      <c r="AG75"/>
      <c r="AH75"/>
    </row>
    <row r="76" spans="1:34" s="2" customFormat="1" ht="15.75" thickBot="1">
      <c r="A76" s="1126"/>
      <c r="B76" s="1174"/>
      <c r="C76" s="415"/>
      <c r="D76" s="416"/>
      <c r="E76" s="417"/>
      <c r="F76" s="422"/>
      <c r="G76" s="831"/>
      <c r="H76" s="441"/>
      <c r="I76" s="1175"/>
      <c r="J76" s="1175"/>
      <c r="K76" s="1175"/>
      <c r="L76" s="1175"/>
      <c r="M76" s="1175"/>
      <c r="N76" s="1175"/>
      <c r="O76" s="1175"/>
      <c r="P76" s="1175"/>
      <c r="Q76" s="1175"/>
      <c r="R76" s="1175"/>
      <c r="S76" s="1175"/>
    </row>
    <row r="77" spans="1:34" s="2" customFormat="1" ht="16.5" thickTop="1" thickBot="1">
      <c r="A77" s="2331" t="s">
        <v>762</v>
      </c>
      <c r="B77" s="2332"/>
      <c r="C77" s="298"/>
      <c r="D77" s="347"/>
      <c r="E77" s="350"/>
      <c r="F77" s="12"/>
      <c r="G77" s="26"/>
      <c r="H77" s="24"/>
      <c r="I77" s="20"/>
      <c r="J77" s="20"/>
      <c r="K77" s="20"/>
      <c r="L77" s="20"/>
      <c r="M77" s="20"/>
      <c r="N77" s="20"/>
      <c r="O77" s="20"/>
      <c r="P77" s="20"/>
      <c r="Q77" s="20"/>
      <c r="R77" s="20"/>
      <c r="S77" s="20"/>
      <c r="T77"/>
      <c r="U77"/>
      <c r="V77"/>
      <c r="W77"/>
      <c r="X77"/>
      <c r="Y77"/>
      <c r="Z77"/>
      <c r="AA77"/>
      <c r="AB77"/>
      <c r="AC77"/>
      <c r="AD77"/>
      <c r="AE77"/>
      <c r="AF77"/>
      <c r="AG77"/>
      <c r="AH77"/>
    </row>
    <row r="78" spans="1:34" ht="15.75" thickTop="1">
      <c r="A78" s="1224"/>
      <c r="B78" s="1225"/>
      <c r="C78" s="1088"/>
      <c r="D78" s="1199"/>
      <c r="E78" s="1200"/>
      <c r="F78" s="1220"/>
      <c r="G78" s="1221"/>
      <c r="H78" s="1222"/>
      <c r="I78" s="1223"/>
      <c r="J78" s="1223"/>
      <c r="K78" s="1223"/>
      <c r="L78" s="1223"/>
      <c r="M78" s="1223"/>
      <c r="N78" s="1223"/>
      <c r="O78" s="1223"/>
      <c r="P78" s="1223"/>
      <c r="Q78" s="1223"/>
      <c r="R78" s="1223"/>
      <c r="S78" s="1223"/>
      <c r="T78" s="2"/>
      <c r="U78" s="2"/>
      <c r="V78" s="2"/>
      <c r="W78" s="2"/>
      <c r="X78" s="2"/>
      <c r="Y78" s="2"/>
      <c r="Z78" s="2"/>
      <c r="AA78" s="2"/>
      <c r="AB78" s="2"/>
      <c r="AC78" s="2"/>
      <c r="AD78" s="2"/>
      <c r="AE78" s="2"/>
      <c r="AF78" s="2"/>
      <c r="AG78" s="2"/>
      <c r="AH78" s="2"/>
    </row>
    <row r="79" spans="1:34">
      <c r="A79" s="1126"/>
      <c r="B79" s="1174"/>
      <c r="C79" s="415"/>
      <c r="D79" s="416"/>
      <c r="E79" s="417"/>
      <c r="F79" s="422"/>
      <c r="G79" s="831"/>
      <c r="H79" s="442"/>
      <c r="I79" s="1178"/>
      <c r="J79" s="1178"/>
      <c r="K79" s="1178"/>
      <c r="L79" s="1178"/>
      <c r="M79" s="1178"/>
      <c r="N79" s="1178"/>
      <c r="O79" s="1178"/>
      <c r="P79" s="1178"/>
      <c r="Q79" s="1178"/>
      <c r="R79" s="1178"/>
      <c r="S79" s="1178"/>
      <c r="T79" s="2"/>
      <c r="U79" s="2"/>
      <c r="V79" s="2"/>
      <c r="W79" s="2"/>
      <c r="X79" s="2"/>
      <c r="Y79" s="2"/>
      <c r="Z79" s="2"/>
      <c r="AA79" s="2"/>
      <c r="AB79" s="2"/>
      <c r="AC79" s="2"/>
      <c r="AD79" s="2"/>
      <c r="AE79" s="2"/>
      <c r="AF79" s="2"/>
      <c r="AG79" s="2"/>
      <c r="AH79" s="2"/>
    </row>
    <row r="80" spans="1:34" ht="15.75" thickBot="1">
      <c r="A80" s="1126"/>
      <c r="B80" s="1174"/>
      <c r="C80" s="415"/>
      <c r="D80" s="416"/>
      <c r="E80" s="417"/>
      <c r="F80" s="422"/>
      <c r="G80" s="831"/>
      <c r="H80" s="442"/>
      <c r="I80" s="1178"/>
      <c r="J80" s="1178"/>
      <c r="K80" s="1178"/>
      <c r="L80" s="1178"/>
      <c r="M80" s="1178"/>
      <c r="N80" s="1178"/>
      <c r="O80" s="1178"/>
      <c r="P80" s="1178"/>
      <c r="Q80" s="1178"/>
      <c r="R80" s="1178"/>
      <c r="S80" s="1178"/>
      <c r="T80" s="2"/>
      <c r="U80" s="2"/>
      <c r="V80" s="2"/>
      <c r="W80" s="2"/>
      <c r="X80" s="2"/>
      <c r="Y80" s="2"/>
      <c r="Z80" s="2"/>
      <c r="AA80" s="2"/>
      <c r="AB80" s="2"/>
      <c r="AC80" s="2"/>
      <c r="AD80" s="2"/>
      <c r="AE80" s="2"/>
      <c r="AF80" s="2"/>
      <c r="AG80" s="2"/>
      <c r="AH80" s="2"/>
    </row>
    <row r="81" spans="1:19" ht="16.5" thickTop="1" thickBot="1">
      <c r="A81" s="2331" t="s">
        <v>763</v>
      </c>
      <c r="B81" s="2332"/>
      <c r="C81" s="298"/>
      <c r="D81" s="347"/>
      <c r="E81" s="350"/>
      <c r="F81" s="12"/>
      <c r="G81" s="26"/>
      <c r="H81" s="24"/>
      <c r="I81" s="20"/>
      <c r="J81" s="20"/>
      <c r="K81" s="20"/>
      <c r="L81" s="20"/>
      <c r="M81" s="20"/>
      <c r="N81" s="20"/>
      <c r="O81" s="20"/>
      <c r="P81" s="20"/>
      <c r="Q81" s="20"/>
      <c r="R81" s="20"/>
      <c r="S81" s="20"/>
    </row>
    <row r="82" spans="1:19" ht="15.75" thickTop="1">
      <c r="A82" s="1124"/>
      <c r="B82" s="1105" t="s">
        <v>764</v>
      </c>
      <c r="C82" s="415"/>
      <c r="D82" s="416"/>
      <c r="E82" s="417"/>
      <c r="F82" s="422"/>
      <c r="G82" s="831"/>
      <c r="H82" s="442"/>
      <c r="I82" s="1178"/>
      <c r="J82" s="1178"/>
      <c r="K82" s="1178"/>
      <c r="L82" s="1178"/>
      <c r="M82" s="1178"/>
      <c r="N82" s="1178"/>
      <c r="O82" s="1178"/>
      <c r="P82" s="1178"/>
      <c r="Q82" s="1178"/>
      <c r="R82" s="1178"/>
      <c r="S82" s="1178"/>
    </row>
    <row r="83" spans="1:19">
      <c r="A83" s="1124"/>
      <c r="B83" s="1105" t="s">
        <v>765</v>
      </c>
      <c r="C83" s="415"/>
      <c r="D83" s="416"/>
      <c r="E83" s="417"/>
      <c r="F83" s="422"/>
      <c r="G83" s="831"/>
      <c r="H83" s="442"/>
      <c r="I83" s="1178"/>
      <c r="J83" s="1178"/>
      <c r="K83" s="1178"/>
      <c r="L83" s="1178"/>
      <c r="M83" s="1178"/>
      <c r="N83" s="1178"/>
      <c r="O83" s="1178"/>
      <c r="P83" s="1178"/>
      <c r="Q83" s="1178"/>
      <c r="R83" s="1178"/>
      <c r="S83" s="1178"/>
    </row>
    <row r="84" spans="1:19">
      <c r="A84" s="1124"/>
      <c r="B84" s="1105" t="s">
        <v>766</v>
      </c>
      <c r="C84" s="415"/>
      <c r="D84" s="416"/>
      <c r="E84" s="417"/>
      <c r="F84" s="422"/>
      <c r="G84" s="831"/>
      <c r="H84" s="442"/>
      <c r="I84" s="1178"/>
      <c r="J84" s="1178"/>
      <c r="K84" s="1178"/>
      <c r="L84" s="1178"/>
      <c r="M84" s="1178"/>
      <c r="N84" s="1178"/>
      <c r="O84" s="1178"/>
      <c r="P84" s="1178"/>
      <c r="Q84" s="1178"/>
      <c r="R84" s="1178"/>
      <c r="S84" s="1178"/>
    </row>
    <row r="85" spans="1:19">
      <c r="A85" s="1124"/>
      <c r="B85" s="1105" t="s">
        <v>767</v>
      </c>
      <c r="C85" s="415"/>
      <c r="D85" s="416"/>
      <c r="E85" s="417"/>
      <c r="F85" s="422"/>
      <c r="G85" s="831"/>
      <c r="H85" s="442"/>
      <c r="I85" s="1178"/>
      <c r="J85" s="1178"/>
      <c r="K85" s="1178"/>
      <c r="L85" s="1178"/>
      <c r="M85" s="1178"/>
      <c r="N85" s="1178"/>
      <c r="O85" s="1178"/>
      <c r="P85" s="1178"/>
      <c r="Q85" s="1178"/>
      <c r="R85" s="1178"/>
      <c r="S85" s="1178"/>
    </row>
    <row r="86" spans="1:19" ht="15.75" thickBot="1">
      <c r="A86" s="443"/>
      <c r="B86" s="421"/>
      <c r="C86" s="23"/>
      <c r="D86" s="265"/>
      <c r="E86" s="266"/>
      <c r="F86" s="86"/>
      <c r="G86" s="27"/>
      <c r="H86" s="25"/>
      <c r="I86" s="444"/>
      <c r="J86" s="444"/>
      <c r="K86" s="444"/>
      <c r="L86" s="444"/>
      <c r="M86" s="444"/>
      <c r="N86" s="444"/>
      <c r="O86" s="444"/>
      <c r="P86" s="444"/>
      <c r="Q86" s="444"/>
      <c r="R86" s="444"/>
      <c r="S86" s="444"/>
    </row>
    <row r="87" spans="1:19" ht="16.5" thickTop="1" thickBot="1">
      <c r="A87" s="72" t="s">
        <v>768</v>
      </c>
      <c r="B87" s="73"/>
      <c r="C87" s="298"/>
      <c r="D87" s="347"/>
      <c r="E87" s="350"/>
      <c r="F87" s="12"/>
      <c r="G87" s="26"/>
      <c r="H87" s="24"/>
      <c r="I87" s="20"/>
      <c r="J87" s="20"/>
      <c r="K87" s="20"/>
      <c r="L87" s="20"/>
      <c r="M87" s="20"/>
      <c r="N87" s="20"/>
      <c r="O87" s="20"/>
      <c r="P87" s="20"/>
      <c r="Q87" s="20"/>
      <c r="R87" s="20"/>
      <c r="S87" s="20"/>
    </row>
    <row r="88" spans="1:19" ht="15.75" thickTop="1">
      <c r="A88" s="1219"/>
      <c r="B88" s="1226" t="s">
        <v>769</v>
      </c>
      <c r="C88" s="1088"/>
      <c r="D88" s="1199"/>
      <c r="E88" s="1200"/>
      <c r="F88" s="1220"/>
      <c r="G88" s="1221"/>
      <c r="H88" s="1227"/>
      <c r="I88" s="1228"/>
      <c r="J88" s="1228"/>
      <c r="K88" s="1228"/>
      <c r="L88" s="1228"/>
      <c r="M88" s="1228"/>
      <c r="N88" s="1228"/>
      <c r="O88" s="1228"/>
      <c r="P88" s="1228"/>
      <c r="Q88" s="1228"/>
      <c r="R88" s="1228"/>
      <c r="S88" s="1228"/>
    </row>
    <row r="89" spans="1:19">
      <c r="A89" s="1124"/>
      <c r="B89" s="1105" t="s">
        <v>770</v>
      </c>
      <c r="C89" s="415"/>
      <c r="D89" s="416"/>
      <c r="E89" s="417"/>
      <c r="F89" s="422"/>
      <c r="G89" s="831"/>
      <c r="H89" s="445"/>
      <c r="I89" s="1182"/>
      <c r="J89" s="1182"/>
      <c r="K89" s="1182"/>
      <c r="L89" s="1182"/>
      <c r="M89" s="1182"/>
      <c r="N89" s="1182"/>
      <c r="O89" s="1182"/>
      <c r="P89" s="1182"/>
      <c r="Q89" s="1182"/>
      <c r="R89" s="1182"/>
      <c r="S89" s="1182"/>
    </row>
    <row r="90" spans="1:19" ht="15.75" thickBot="1">
      <c r="A90" s="1183"/>
      <c r="B90" s="1184" t="s">
        <v>771</v>
      </c>
      <c r="C90" s="1185"/>
      <c r="D90" s="1229"/>
      <c r="E90" s="1230"/>
      <c r="F90" s="1186"/>
      <c r="G90" s="1187"/>
      <c r="H90" s="1188"/>
      <c r="I90" s="1189"/>
      <c r="J90" s="1189"/>
      <c r="K90" s="1189"/>
      <c r="L90" s="1189"/>
      <c r="M90" s="1189"/>
      <c r="N90" s="1189"/>
      <c r="O90" s="1189"/>
      <c r="P90" s="1189"/>
      <c r="Q90" s="1189"/>
      <c r="R90" s="1189"/>
      <c r="S90" s="1189"/>
    </row>
    <row r="91" spans="1:19" ht="16.5" thickTop="1" thickBot="1">
      <c r="F91" s="2"/>
      <c r="G91" s="2"/>
      <c r="H91" s="2"/>
      <c r="I91" s="2"/>
      <c r="J91" s="2"/>
      <c r="K91" s="2"/>
      <c r="L91" s="2"/>
      <c r="M91" s="2"/>
      <c r="N91" s="2"/>
      <c r="O91" s="2"/>
      <c r="P91" s="2"/>
      <c r="Q91" s="2"/>
      <c r="R91" s="2"/>
      <c r="S91" s="2"/>
    </row>
    <row r="92" spans="1:19" ht="16.5" thickTop="1" thickBot="1">
      <c r="A92" s="37" t="s">
        <v>772</v>
      </c>
      <c r="B92" s="39"/>
      <c r="F92" s="2"/>
      <c r="G92" s="2"/>
      <c r="H92" s="2"/>
      <c r="I92" s="2"/>
      <c r="J92" s="2"/>
      <c r="K92" s="2"/>
      <c r="L92" s="2"/>
      <c r="M92" s="2"/>
      <c r="N92" s="2"/>
      <c r="O92" s="2"/>
      <c r="P92" s="2"/>
      <c r="Q92" s="2"/>
      <c r="R92" s="2"/>
      <c r="S92" s="2"/>
    </row>
    <row r="93" spans="1:19" ht="15.75" thickTop="1">
      <c r="A93" s="38" t="s">
        <v>693</v>
      </c>
      <c r="B93" s="1190"/>
      <c r="F93" s="2"/>
      <c r="G93" s="2"/>
      <c r="H93" s="2"/>
      <c r="I93" s="2"/>
      <c r="J93" s="2"/>
      <c r="K93" s="2"/>
      <c r="L93" s="2"/>
      <c r="M93" s="2"/>
      <c r="N93" s="2"/>
      <c r="O93" s="2"/>
      <c r="P93" s="2"/>
      <c r="Q93" s="2"/>
      <c r="R93" s="2"/>
      <c r="S93" s="2"/>
    </row>
    <row r="94" spans="1:19">
      <c r="A94" s="1142" t="s">
        <v>702</v>
      </c>
      <c r="B94" s="1190"/>
      <c r="F94" s="2"/>
      <c r="G94" s="2"/>
      <c r="H94" s="2"/>
      <c r="I94" s="2"/>
      <c r="J94" s="2"/>
      <c r="K94" s="2"/>
      <c r="L94" s="2"/>
      <c r="M94" s="2"/>
      <c r="N94" s="2"/>
      <c r="O94" s="2"/>
      <c r="P94" s="2"/>
      <c r="Q94" s="2"/>
      <c r="R94" s="2"/>
      <c r="S94" s="2"/>
    </row>
    <row r="95" spans="1:19">
      <c r="A95" s="1191" t="s">
        <v>708</v>
      </c>
      <c r="B95" s="1192"/>
      <c r="F95" s="2"/>
      <c r="G95" s="2"/>
      <c r="H95" s="2"/>
      <c r="I95" s="2"/>
      <c r="J95" s="2"/>
      <c r="K95" s="2"/>
      <c r="L95" s="2"/>
      <c r="M95" s="2"/>
      <c r="N95" s="2"/>
      <c r="O95" s="2"/>
      <c r="P95" s="2"/>
      <c r="Q95" s="2"/>
      <c r="R95" s="2"/>
      <c r="S95" s="2"/>
    </row>
    <row r="96" spans="1:19">
      <c r="A96" s="1191" t="s">
        <v>713</v>
      </c>
      <c r="B96" s="1193"/>
      <c r="F96" s="2"/>
      <c r="G96" s="2"/>
      <c r="H96" s="2"/>
      <c r="I96" s="2"/>
      <c r="J96" s="2"/>
      <c r="K96" s="2"/>
      <c r="L96" s="2"/>
      <c r="M96" s="2"/>
      <c r="N96" s="2"/>
      <c r="O96" s="2"/>
      <c r="P96" s="2"/>
      <c r="Q96" s="2"/>
      <c r="R96" s="2"/>
      <c r="S96" s="2"/>
    </row>
    <row r="97" spans="1:19" ht="15.75" thickBot="1">
      <c r="A97" s="1194" t="s">
        <v>69</v>
      </c>
      <c r="B97" s="1231">
        <f>I61</f>
        <v>1781647.2108928571</v>
      </c>
      <c r="F97" s="2"/>
      <c r="G97" s="2"/>
      <c r="H97" s="2"/>
      <c r="I97" s="2"/>
      <c r="J97" s="2"/>
      <c r="K97" s="2"/>
      <c r="L97" s="2"/>
      <c r="M97" s="2"/>
      <c r="N97" s="2"/>
      <c r="O97" s="2"/>
      <c r="P97" s="2"/>
      <c r="Q97" s="2"/>
      <c r="R97" s="2"/>
      <c r="S97" s="2"/>
    </row>
    <row r="98" spans="1:19" ht="15.75" thickTop="1"/>
  </sheetData>
  <mergeCells count="4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4:I4"/>
    <mergeCell ref="J4:K4"/>
    <mergeCell ref="L4:M4"/>
    <mergeCell ref="N4:O4"/>
    <mergeCell ref="P4:Q4"/>
    <mergeCell ref="R9:S9"/>
    <mergeCell ref="H9:I9"/>
    <mergeCell ref="J9:K9"/>
    <mergeCell ref="L9:M9"/>
    <mergeCell ref="N9:O9"/>
    <mergeCell ref="P9:Q9"/>
    <mergeCell ref="A65:B65"/>
    <mergeCell ref="A69:B69"/>
    <mergeCell ref="A73:B73"/>
    <mergeCell ref="A77:B77"/>
    <mergeCell ref="A81:B81"/>
  </mergeCells>
  <conditionalFormatting sqref="H11:H18 J11:J18 L11:L18 N11:N18 P11:P18 R11:R18 H20:H56 J20:J56 L20:L56 N20:N56 P20:P56 R20:R56">
    <cfRule type="cellIs" dxfId="641" priority="13" operator="equal">
      <formula>"X"</formula>
    </cfRule>
    <cfRule type="cellIs" dxfId="640" priority="14" operator="equal">
      <formula>"I"</formula>
    </cfRule>
  </conditionalFormatting>
  <hyperlinks>
    <hyperlink ref="B4" location="'Cost Summary'!A1" display="BACK TO SUMMARY SHEET" xr:uid="{D4003596-987F-45CB-872F-3DF72F2260BA}"/>
    <hyperlink ref="J8" r:id="rId1" xr:uid="{18AD42FF-51C9-43A1-9EAC-907C3D457682}"/>
    <hyperlink ref="L8" r:id="rId2" xr:uid="{D97348A1-8B79-4421-8C74-9F4DFB9EF33F}"/>
  </hyperlinks>
  <pageMargins left="0.7" right="0.7" top="0.75" bottom="0.75" header="0.3" footer="0.3"/>
  <pageSetup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4B30D-1A1D-4FB8-BC72-95AFA59420DA}">
  <sheetPr>
    <tabColor rgb="FF00B0F0"/>
  </sheetPr>
  <dimension ref="A1:ABW142"/>
  <sheetViews>
    <sheetView zoomScale="90" zoomScaleNormal="90" workbookViewId="0">
      <pane xSplit="2" ySplit="10" topLeftCell="C83" activePane="bottomRight" state="frozen"/>
      <selection pane="topRight" activeCell="C1" sqref="C1"/>
      <selection pane="bottomLeft" activeCell="A10" sqref="A10"/>
      <selection pane="bottomRight" activeCell="B18" sqref="B18:I18"/>
    </sheetView>
  </sheetViews>
  <sheetFormatPr defaultRowHeight="15"/>
  <cols>
    <col min="1" max="1" width="11" customWidth="1"/>
    <col min="2" max="2" width="70.7109375" style="1" customWidth="1"/>
    <col min="3" max="3" width="15.7109375" style="2" customWidth="1"/>
    <col min="4" max="4" width="12.7109375" style="260"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 min="20" max="20" width="7.7109375" style="270" customWidth="1"/>
    <col min="21" max="21" width="15.7109375" style="270" customWidth="1"/>
    <col min="22" max="22" width="7.7109375" style="270" customWidth="1"/>
    <col min="23" max="23" width="15.7109375" style="270" customWidth="1"/>
    <col min="24" max="24" width="7.7109375" style="270" customWidth="1"/>
    <col min="25" max="25" width="15.7109375" style="270" customWidth="1"/>
    <col min="28" max="28" width="16.5703125" bestFit="1" customWidth="1"/>
    <col min="29" max="29" width="11.140625" style="261" bestFit="1" customWidth="1"/>
    <col min="33" max="35" width="11.42578125" bestFit="1" customWidth="1"/>
  </cols>
  <sheetData>
    <row r="1" spans="1:29">
      <c r="E1" s="68"/>
      <c r="F1" s="275"/>
      <c r="G1" s="269" t="s">
        <v>679</v>
      </c>
    </row>
    <row r="2" spans="1:29">
      <c r="E2" s="68"/>
      <c r="F2" s="276" t="s">
        <v>680</v>
      </c>
      <c r="G2" s="269" t="s">
        <v>681</v>
      </c>
    </row>
    <row r="3" spans="1:29" ht="15.75" thickBot="1">
      <c r="E3" s="68"/>
      <c r="F3" s="277" t="s">
        <v>682</v>
      </c>
      <c r="G3" s="269" t="s">
        <v>683</v>
      </c>
    </row>
    <row r="4" spans="1:29" ht="15.75" thickBot="1">
      <c r="B4" s="262" t="s">
        <v>684</v>
      </c>
      <c r="E4" s="68"/>
      <c r="F4" s="278"/>
      <c r="G4" s="270" t="s">
        <v>685</v>
      </c>
      <c r="H4" s="2323" t="s">
        <v>686</v>
      </c>
      <c r="I4" s="2324"/>
      <c r="J4" s="2319" t="s">
        <v>806</v>
      </c>
      <c r="K4" s="2320"/>
      <c r="L4" s="2319" t="s">
        <v>807</v>
      </c>
      <c r="M4" s="2320"/>
      <c r="N4" s="2319" t="s">
        <v>688</v>
      </c>
      <c r="O4" s="2320"/>
      <c r="P4" s="2319" t="s">
        <v>690</v>
      </c>
      <c r="Q4" s="2320"/>
      <c r="R4" s="2319" t="s">
        <v>689</v>
      </c>
      <c r="S4" s="2320"/>
      <c r="T4" s="2319" t="s">
        <v>691</v>
      </c>
      <c r="U4" s="2320"/>
      <c r="V4" s="2319" t="s">
        <v>808</v>
      </c>
      <c r="W4" s="2320"/>
      <c r="X4" s="2319" t="s">
        <v>809</v>
      </c>
      <c r="Y4" s="2320"/>
    </row>
    <row r="5" spans="1:29" ht="15.75" thickTop="1">
      <c r="A5" s="292" t="s">
        <v>692</v>
      </c>
      <c r="B5" s="299" t="str">
        <f>'Area Calculations'!B4</f>
        <v>ERAU Residential Hall &amp; Garage Building</v>
      </c>
      <c r="C5" s="294"/>
      <c r="D5" s="263"/>
      <c r="E5" s="264"/>
      <c r="F5" s="279"/>
      <c r="G5" s="271" t="s">
        <v>693</v>
      </c>
      <c r="H5" s="2321" t="s">
        <v>810</v>
      </c>
      <c r="I5" s="2322"/>
      <c r="J5" s="2321" t="s">
        <v>240</v>
      </c>
      <c r="K5" s="2322"/>
      <c r="L5" s="2321" t="s">
        <v>811</v>
      </c>
      <c r="M5" s="2322"/>
      <c r="N5" s="2321" t="s">
        <v>812</v>
      </c>
      <c r="O5" s="2322"/>
      <c r="P5" s="2337" t="s">
        <v>813</v>
      </c>
      <c r="Q5" s="2338"/>
      <c r="R5" s="2321" t="s">
        <v>814</v>
      </c>
      <c r="S5" s="2322"/>
      <c r="T5" s="2333" t="s">
        <v>815</v>
      </c>
      <c r="U5" s="2334"/>
      <c r="V5" s="2333" t="s">
        <v>816</v>
      </c>
      <c r="W5" s="2334"/>
      <c r="X5" s="2333" t="s">
        <v>817</v>
      </c>
      <c r="Y5" s="2334"/>
    </row>
    <row r="6" spans="1:29">
      <c r="A6" s="1082" t="s">
        <v>700</v>
      </c>
      <c r="B6" s="1196" t="s">
        <v>818</v>
      </c>
      <c r="C6" s="415"/>
      <c r="D6" s="416"/>
      <c r="E6" s="417"/>
      <c r="F6" s="418"/>
      <c r="G6" s="419" t="s">
        <v>702</v>
      </c>
      <c r="H6" s="2325" t="s">
        <v>819</v>
      </c>
      <c r="I6" s="2326"/>
      <c r="J6" s="2325" t="s">
        <v>820</v>
      </c>
      <c r="K6" s="2326"/>
      <c r="L6" s="2325" t="s">
        <v>821</v>
      </c>
      <c r="M6" s="2326"/>
      <c r="N6" s="2325" t="s">
        <v>822</v>
      </c>
      <c r="O6" s="2326"/>
      <c r="P6" s="2339" t="s">
        <v>823</v>
      </c>
      <c r="Q6" s="2340"/>
      <c r="R6" s="2325" t="s">
        <v>824</v>
      </c>
      <c r="S6" s="2326"/>
      <c r="T6" s="2313"/>
      <c r="U6" s="2314"/>
      <c r="V6" s="2313"/>
      <c r="W6" s="2314"/>
      <c r="X6" s="2313"/>
      <c r="Y6" s="2314"/>
    </row>
    <row r="7" spans="1:29">
      <c r="A7" s="1082" t="s">
        <v>706</v>
      </c>
      <c r="B7" s="1197" t="s">
        <v>291</v>
      </c>
      <c r="C7" s="415"/>
      <c r="D7" s="416"/>
      <c r="E7" s="417"/>
      <c r="F7" s="418"/>
      <c r="G7" s="829" t="s">
        <v>708</v>
      </c>
      <c r="H7" s="2325" t="s">
        <v>825</v>
      </c>
      <c r="I7" s="2326"/>
      <c r="J7" s="2325" t="s">
        <v>826</v>
      </c>
      <c r="K7" s="2326"/>
      <c r="L7" s="2325" t="s">
        <v>827</v>
      </c>
      <c r="M7" s="2326"/>
      <c r="N7" s="2325" t="s">
        <v>828</v>
      </c>
      <c r="O7" s="2326"/>
      <c r="P7" s="2339" t="s">
        <v>829</v>
      </c>
      <c r="Q7" s="2340"/>
      <c r="R7" s="2325" t="s">
        <v>830</v>
      </c>
      <c r="S7" s="2326"/>
      <c r="T7" s="2313"/>
      <c r="U7" s="2314"/>
      <c r="V7" s="2313"/>
      <c r="W7" s="2314"/>
      <c r="X7" s="2313"/>
      <c r="Y7" s="2314"/>
    </row>
    <row r="8" spans="1:29">
      <c r="A8" s="1082" t="s">
        <v>712</v>
      </c>
      <c r="B8" s="1198"/>
      <c r="C8" s="415"/>
      <c r="D8" s="416"/>
      <c r="E8" s="417"/>
      <c r="F8" s="418"/>
      <c r="G8" s="829" t="s">
        <v>713</v>
      </c>
      <c r="H8" s="2327" t="s">
        <v>831</v>
      </c>
      <c r="I8" s="2328"/>
      <c r="J8" s="2327" t="s">
        <v>832</v>
      </c>
      <c r="K8" s="2328"/>
      <c r="L8" s="2327" t="s">
        <v>833</v>
      </c>
      <c r="M8" s="2328"/>
      <c r="N8" s="2327" t="s">
        <v>834</v>
      </c>
      <c r="O8" s="2328"/>
      <c r="P8" s="2335" t="s">
        <v>835</v>
      </c>
      <c r="Q8" s="2336"/>
      <c r="R8" s="2327" t="s">
        <v>836</v>
      </c>
      <c r="S8" s="2328"/>
      <c r="T8" s="2315"/>
      <c r="U8" s="2316"/>
      <c r="V8" s="2315"/>
      <c r="W8" s="2316"/>
      <c r="X8" s="2315"/>
      <c r="Y8" s="2316"/>
    </row>
    <row r="9" spans="1:29" ht="15.75" thickBot="1">
      <c r="A9" s="420"/>
      <c r="B9" s="421"/>
      <c r="C9" s="23"/>
      <c r="D9" s="265"/>
      <c r="E9" s="266"/>
      <c r="F9" s="283"/>
      <c r="G9" s="284" t="s">
        <v>717</v>
      </c>
      <c r="H9" s="2317">
        <f>I96</f>
        <v>6808725.5899999999</v>
      </c>
      <c r="I9" s="2318"/>
      <c r="J9" s="2317">
        <f>K96</f>
        <v>5700849.333333333</v>
      </c>
      <c r="K9" s="2318"/>
      <c r="L9" s="2317">
        <f>M96</f>
        <v>5882569.333333333</v>
      </c>
      <c r="M9" s="2318"/>
      <c r="N9" s="2317">
        <f>O96</f>
        <v>6755331.333333333</v>
      </c>
      <c r="O9" s="2318"/>
      <c r="P9" s="2317">
        <f>Q96</f>
        <v>6892046.333333333</v>
      </c>
      <c r="Q9" s="2318"/>
      <c r="R9" s="2330">
        <f>S96</f>
        <v>8202620.9299999997</v>
      </c>
      <c r="S9" s="2330"/>
      <c r="T9" s="2317">
        <f>U96</f>
        <v>0</v>
      </c>
      <c r="U9" s="2318"/>
      <c r="V9" s="2317">
        <f>W96</f>
        <v>0</v>
      </c>
      <c r="W9" s="2318"/>
      <c r="X9" s="2317">
        <f>Y96</f>
        <v>0</v>
      </c>
      <c r="Y9" s="2318"/>
    </row>
    <row r="10" spans="1:29" s="267" customFormat="1" ht="32.1" customHeight="1" thickBot="1">
      <c r="A10" s="293"/>
      <c r="B10" s="300"/>
      <c r="C10" s="295" t="s">
        <v>718</v>
      </c>
      <c r="D10" s="287" t="s">
        <v>719</v>
      </c>
      <c r="E10" s="286" t="s">
        <v>720</v>
      </c>
      <c r="F10" s="288" t="s">
        <v>721</v>
      </c>
      <c r="G10" s="289" t="s">
        <v>722</v>
      </c>
      <c r="H10" s="290" t="s">
        <v>723</v>
      </c>
      <c r="I10" s="290" t="s">
        <v>724</v>
      </c>
      <c r="J10" s="290" t="s">
        <v>723</v>
      </c>
      <c r="K10" s="291" t="s">
        <v>724</v>
      </c>
      <c r="L10" s="290" t="s">
        <v>723</v>
      </c>
      <c r="M10" s="290" t="s">
        <v>724</v>
      </c>
      <c r="N10" s="290" t="s">
        <v>723</v>
      </c>
      <c r="O10" s="290" t="s">
        <v>724</v>
      </c>
      <c r="P10" s="290" t="s">
        <v>723</v>
      </c>
      <c r="Q10" s="290" t="s">
        <v>724</v>
      </c>
      <c r="R10" s="290" t="s">
        <v>723</v>
      </c>
      <c r="S10" s="290" t="s">
        <v>724</v>
      </c>
      <c r="T10" s="290" t="s">
        <v>723</v>
      </c>
      <c r="U10" s="291" t="s">
        <v>724</v>
      </c>
      <c r="V10" s="290" t="s">
        <v>723</v>
      </c>
      <c r="W10" s="291" t="s">
        <v>724</v>
      </c>
      <c r="X10" s="290" t="s">
        <v>723</v>
      </c>
      <c r="Y10" s="291" t="s">
        <v>724</v>
      </c>
      <c r="AC10" s="268"/>
    </row>
    <row r="11" spans="1:29">
      <c r="A11" s="1232"/>
      <c r="B11" s="1233" t="s">
        <v>725</v>
      </c>
      <c r="C11" s="1088"/>
      <c r="D11" s="1199"/>
      <c r="E11" s="1089"/>
      <c r="F11" s="1090"/>
      <c r="G11" s="1091"/>
      <c r="H11" s="1092"/>
      <c r="I11" s="1094"/>
      <c r="J11" s="1092"/>
      <c r="K11" s="1093"/>
      <c r="L11" s="1092"/>
      <c r="M11" s="348"/>
      <c r="N11" s="1092"/>
      <c r="O11" s="1093"/>
      <c r="P11" s="1092"/>
      <c r="Q11" s="1093"/>
      <c r="R11" s="1092"/>
      <c r="S11" s="1093"/>
      <c r="T11" s="1092"/>
      <c r="U11" s="1093"/>
      <c r="V11" s="1092"/>
      <c r="W11" s="1093"/>
      <c r="X11" s="1092"/>
      <c r="Y11" s="1093"/>
    </row>
    <row r="12" spans="1:29">
      <c r="A12" s="1232"/>
      <c r="B12" s="1201" t="s">
        <v>726</v>
      </c>
      <c r="C12" s="415"/>
      <c r="D12" s="416"/>
      <c r="E12" s="422"/>
      <c r="F12" s="418"/>
      <c r="G12" s="423"/>
      <c r="H12" s="1202" t="s">
        <v>727</v>
      </c>
      <c r="I12" s="1094"/>
      <c r="J12" s="1202"/>
      <c r="K12" s="1093"/>
      <c r="L12" s="1202"/>
      <c r="M12" s="1093"/>
      <c r="N12" s="1202"/>
      <c r="O12" s="1093"/>
      <c r="P12" s="1202"/>
      <c r="Q12" s="1093"/>
      <c r="R12" s="1202"/>
      <c r="S12" s="1093"/>
      <c r="T12" s="1202"/>
      <c r="U12" s="1093"/>
      <c r="V12" s="1202"/>
      <c r="W12" s="1093"/>
      <c r="X12" s="1202"/>
      <c r="Y12" s="1093"/>
    </row>
    <row r="13" spans="1:29">
      <c r="A13" s="1097"/>
      <c r="B13" s="1201" t="s">
        <v>728</v>
      </c>
      <c r="C13" s="415"/>
      <c r="D13" s="416"/>
      <c r="E13" s="422"/>
      <c r="F13" s="418"/>
      <c r="G13" s="423"/>
      <c r="H13" s="1202" t="s">
        <v>727</v>
      </c>
      <c r="I13" s="1094"/>
      <c r="J13" s="1202"/>
      <c r="K13" s="1093"/>
      <c r="L13" s="1202"/>
      <c r="M13" s="1093"/>
      <c r="N13" s="1202"/>
      <c r="O13" s="1093"/>
      <c r="P13" s="1202"/>
      <c r="Q13" s="1093"/>
      <c r="R13" s="1202"/>
      <c r="S13" s="1093"/>
      <c r="T13" s="1202"/>
      <c r="U13" s="1093"/>
      <c r="V13" s="1202"/>
      <c r="W13" s="1093"/>
      <c r="X13" s="1202"/>
      <c r="Y13" s="1093"/>
    </row>
    <row r="14" spans="1:29">
      <c r="A14" s="1232"/>
      <c r="B14" s="1203" t="s">
        <v>729</v>
      </c>
      <c r="C14" s="415"/>
      <c r="D14" s="416"/>
      <c r="E14" s="422"/>
      <c r="F14" s="418"/>
      <c r="G14" s="423"/>
      <c r="H14" s="1202" t="s">
        <v>730</v>
      </c>
      <c r="I14" s="1234" t="s">
        <v>837</v>
      </c>
      <c r="J14" s="1202"/>
      <c r="K14" s="1093"/>
      <c r="L14" s="1202"/>
      <c r="M14" s="1093"/>
      <c r="N14" s="1202"/>
      <c r="O14" s="1093"/>
      <c r="P14" s="1202"/>
      <c r="Q14" s="1093"/>
      <c r="R14" s="1202"/>
      <c r="S14" s="1093"/>
      <c r="T14" s="1202"/>
      <c r="U14" s="1093"/>
      <c r="V14" s="1202"/>
      <c r="W14" s="1093"/>
      <c r="X14" s="1202"/>
      <c r="Y14" s="1093"/>
    </row>
    <row r="15" spans="1:29">
      <c r="A15" s="1097"/>
      <c r="B15" s="1203" t="s">
        <v>731</v>
      </c>
      <c r="C15" s="415"/>
      <c r="D15" s="416"/>
      <c r="E15" s="422"/>
      <c r="F15" s="418"/>
      <c r="G15" s="423"/>
      <c r="H15" s="1202" t="s">
        <v>727</v>
      </c>
      <c r="I15" s="1094"/>
      <c r="J15" s="1202"/>
      <c r="K15" s="1094"/>
      <c r="L15" s="1202"/>
      <c r="M15" s="1094"/>
      <c r="N15" s="1202"/>
      <c r="O15" s="1094"/>
      <c r="P15" s="1202"/>
      <c r="Q15" s="1094"/>
      <c r="R15" s="1202"/>
      <c r="S15" s="1094"/>
      <c r="T15" s="1202"/>
      <c r="U15" s="1094"/>
      <c r="V15" s="1202"/>
      <c r="W15" s="1094"/>
      <c r="X15" s="1202"/>
      <c r="Y15" s="1094"/>
    </row>
    <row r="16" spans="1:29">
      <c r="A16" s="1232"/>
      <c r="B16" s="1203" t="s">
        <v>732</v>
      </c>
      <c r="C16" s="415"/>
      <c r="D16" s="416"/>
      <c r="E16" s="422"/>
      <c r="F16" s="418"/>
      <c r="G16" s="423"/>
      <c r="H16" s="1202" t="s">
        <v>727</v>
      </c>
      <c r="I16" s="1094"/>
      <c r="J16" s="1202"/>
      <c r="K16" s="1093"/>
      <c r="L16" s="1202"/>
      <c r="M16" s="1093"/>
      <c r="N16" s="1202"/>
      <c r="O16" s="1093"/>
      <c r="P16" s="1202"/>
      <c r="Q16" s="1093"/>
      <c r="R16" s="1202"/>
      <c r="S16" s="1093"/>
      <c r="T16" s="1202"/>
      <c r="U16" s="1093"/>
      <c r="V16" s="1202"/>
      <c r="W16" s="1093"/>
      <c r="X16" s="1202"/>
      <c r="Y16" s="1093"/>
    </row>
    <row r="17" spans="1:751">
      <c r="A17" s="1097"/>
      <c r="B17" s="1203" t="s">
        <v>733</v>
      </c>
      <c r="C17" s="415"/>
      <c r="D17" s="416"/>
      <c r="E17" s="422"/>
      <c r="F17" s="418"/>
      <c r="G17" s="423"/>
      <c r="H17" s="1202" t="s">
        <v>727</v>
      </c>
      <c r="I17" s="1094"/>
      <c r="J17" s="1202"/>
      <c r="K17" s="1093"/>
      <c r="L17" s="1202"/>
      <c r="M17" s="1093"/>
      <c r="N17" s="1202"/>
      <c r="O17" s="1093"/>
      <c r="P17" s="1202"/>
      <c r="Q17" s="1093"/>
      <c r="R17" s="1202"/>
      <c r="S17" s="1093"/>
      <c r="T17" s="1202"/>
      <c r="U17" s="1093"/>
      <c r="V17" s="1202"/>
      <c r="W17" s="1093"/>
      <c r="X17" s="1202"/>
      <c r="Y17" s="1093"/>
    </row>
    <row r="18" spans="1:751">
      <c r="A18" s="1232"/>
      <c r="B18" s="726" t="s">
        <v>734</v>
      </c>
      <c r="C18" s="415"/>
      <c r="D18" s="416"/>
      <c r="E18" s="422"/>
      <c r="F18" s="418"/>
      <c r="G18" s="423"/>
      <c r="H18" s="1202" t="s">
        <v>730</v>
      </c>
      <c r="I18" s="1094" t="s">
        <v>838</v>
      </c>
      <c r="J18" s="1202"/>
      <c r="K18" s="1093"/>
      <c r="L18" s="1202"/>
      <c r="M18" s="1093"/>
      <c r="N18" s="1202"/>
      <c r="O18" s="1093"/>
      <c r="P18" s="1202"/>
      <c r="Q18" s="1093"/>
      <c r="R18" s="1202"/>
      <c r="S18" s="1093"/>
      <c r="T18" s="1202"/>
      <c r="U18" s="1093"/>
      <c r="V18" s="1202"/>
      <c r="W18" s="1093"/>
      <c r="X18" s="1202"/>
      <c r="Y18" s="1093"/>
    </row>
    <row r="19" spans="1:751">
      <c r="A19" s="1232"/>
      <c r="B19" s="1099" t="s">
        <v>736</v>
      </c>
      <c r="C19" s="415"/>
      <c r="D19" s="416"/>
      <c r="E19" s="422"/>
      <c r="F19" s="418"/>
      <c r="G19" s="423"/>
      <c r="H19" s="1202"/>
      <c r="I19" s="1094"/>
      <c r="J19" s="1202"/>
      <c r="K19" s="1093"/>
      <c r="L19" s="1202"/>
      <c r="M19" s="1093"/>
      <c r="N19" s="1202"/>
      <c r="O19" s="1093"/>
      <c r="P19" s="1202"/>
      <c r="Q19" s="1093"/>
      <c r="R19" s="1202"/>
      <c r="S19" s="1093"/>
      <c r="T19" s="1202"/>
      <c r="U19" s="1093"/>
      <c r="V19" s="1202"/>
      <c r="W19" s="1093"/>
      <c r="X19" s="1202"/>
      <c r="Y19" s="1093"/>
    </row>
    <row r="20" spans="1:751">
      <c r="A20" s="1097"/>
      <c r="B20" s="1235" t="s">
        <v>737</v>
      </c>
      <c r="C20" s="424"/>
      <c r="D20" s="448"/>
      <c r="E20" s="425"/>
      <c r="F20" s="426"/>
      <c r="G20" s="427"/>
      <c r="H20" s="1101"/>
      <c r="I20" s="1236">
        <f>4845635</f>
        <v>4845635</v>
      </c>
      <c r="J20" s="1101"/>
      <c r="K20" s="1237">
        <f>5459900-K66-K67</f>
        <v>3654100</v>
      </c>
      <c r="L20" s="1101"/>
      <c r="M20" s="1237">
        <f>5448000-M66-M67</f>
        <v>4053489</v>
      </c>
      <c r="N20" s="1101"/>
      <c r="O20" s="1237">
        <f>6133682-O66</f>
        <v>4514629</v>
      </c>
      <c r="P20" s="1101"/>
      <c r="Q20" s="1237">
        <v>4828019</v>
      </c>
      <c r="R20" s="1101"/>
      <c r="S20" s="1237">
        <f>8426760.93-S76-S79</f>
        <v>8335834.9299999997</v>
      </c>
      <c r="T20" s="1101"/>
      <c r="U20" s="1237"/>
      <c r="V20" s="1101"/>
      <c r="W20" s="1237"/>
      <c r="X20" s="1101"/>
      <c r="Y20" s="1237"/>
    </row>
    <row r="21" spans="1:751">
      <c r="A21" s="1232"/>
      <c r="B21" s="1104"/>
      <c r="C21" s="23"/>
      <c r="D21" s="265"/>
      <c r="E21" s="86"/>
      <c r="F21" s="280"/>
      <c r="G21" s="274"/>
      <c r="H21" s="1202"/>
      <c r="I21" s="428"/>
      <c r="J21" s="1202"/>
      <c r="K21" s="428"/>
      <c r="L21" s="1202"/>
      <c r="M21" s="428"/>
      <c r="N21" s="1202"/>
      <c r="O21" s="428"/>
      <c r="P21" s="1202"/>
      <c r="Q21" s="428"/>
      <c r="R21" s="1202"/>
      <c r="S21" s="428"/>
      <c r="T21" s="1202"/>
      <c r="U21" s="428"/>
      <c r="V21" s="1202"/>
      <c r="W21" s="428"/>
      <c r="X21" s="1202"/>
      <c r="Y21" s="428"/>
      <c r="AG21" s="176" t="s">
        <v>839</v>
      </c>
    </row>
    <row r="22" spans="1:751" s="69" customFormat="1">
      <c r="A22" s="1097"/>
      <c r="B22" s="1105" t="s">
        <v>840</v>
      </c>
      <c r="C22" s="415"/>
      <c r="D22" s="416"/>
      <c r="E22" s="422"/>
      <c r="F22" s="429"/>
      <c r="G22" s="423"/>
      <c r="H22" s="1202" t="s">
        <v>682</v>
      </c>
      <c r="I22" s="1107"/>
      <c r="J22" s="1202" t="s">
        <v>682</v>
      </c>
      <c r="K22" s="1106"/>
      <c r="L22" s="1202" t="s">
        <v>682</v>
      </c>
      <c r="M22" s="1106"/>
      <c r="N22" s="1202" t="s">
        <v>682</v>
      </c>
      <c r="O22" s="1106"/>
      <c r="P22" s="1202" t="s">
        <v>682</v>
      </c>
      <c r="Q22" s="1107"/>
      <c r="R22" s="1202" t="s">
        <v>682</v>
      </c>
      <c r="S22" s="1107"/>
      <c r="T22" s="1202"/>
      <c r="U22" s="1106"/>
      <c r="V22" s="1202"/>
      <c r="W22" s="1106"/>
      <c r="X22" s="1202"/>
      <c r="Y22" s="1106"/>
      <c r="Z22"/>
      <c r="AA22"/>
      <c r="AB22"/>
      <c r="AC22" s="261"/>
      <c r="AD22"/>
      <c r="AE22"/>
      <c r="AF22"/>
      <c r="AG22" s="394">
        <f>20/12</f>
        <v>1.6666666666666667</v>
      </c>
      <c r="AH22"/>
      <c r="AI22" s="413"/>
      <c r="AJ22" s="413"/>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row>
    <row r="23" spans="1:751">
      <c r="A23" s="1238">
        <f>D23</f>
        <v>1504</v>
      </c>
      <c r="B23" s="1239" t="s">
        <v>841</v>
      </c>
      <c r="C23" s="1088"/>
      <c r="D23" s="1199">
        <v>1504</v>
      </c>
      <c r="E23" s="1089" t="s">
        <v>842</v>
      </c>
      <c r="F23" s="1240">
        <v>650</v>
      </c>
      <c r="G23" s="1241">
        <f t="shared" ref="G23:G39" si="0">D23*F23</f>
        <v>977600</v>
      </c>
      <c r="H23" s="1202"/>
      <c r="I23" s="1242"/>
      <c r="J23" s="1202"/>
      <c r="K23" s="1093"/>
      <c r="L23" s="1202"/>
      <c r="M23" s="1093"/>
      <c r="N23" s="1202"/>
      <c r="O23" s="1093"/>
      <c r="P23" s="1202"/>
      <c r="Q23" s="1242"/>
      <c r="R23" s="1202"/>
      <c r="S23" s="1242"/>
      <c r="T23" s="1202"/>
      <c r="U23" s="1093"/>
      <c r="V23" s="1202"/>
      <c r="W23" s="1093"/>
      <c r="X23" s="1202"/>
      <c r="Y23" s="1093"/>
      <c r="AC23" s="261">
        <v>13537</v>
      </c>
      <c r="AD23" t="s">
        <v>843</v>
      </c>
      <c r="AG23" s="261">
        <f>$AG$22*AC23/27</f>
        <v>835.61728395061732</v>
      </c>
    </row>
    <row r="24" spans="1:751">
      <c r="A24" s="1238">
        <f t="shared" ref="A24:A34" si="1">D24</f>
        <v>1268</v>
      </c>
      <c r="B24" s="1239" t="s">
        <v>844</v>
      </c>
      <c r="C24" s="1088"/>
      <c r="D24" s="1199">
        <v>1268</v>
      </c>
      <c r="E24" s="1089" t="s">
        <v>842</v>
      </c>
      <c r="F24" s="1240">
        <v>650</v>
      </c>
      <c r="G24" s="1241">
        <f t="shared" si="0"/>
        <v>824200</v>
      </c>
      <c r="H24" s="1202"/>
      <c r="I24" s="1242"/>
      <c r="J24" s="1202"/>
      <c r="K24" s="1093"/>
      <c r="L24" s="1202"/>
      <c r="M24" s="1093"/>
      <c r="N24" s="1202"/>
      <c r="O24" s="1093"/>
      <c r="P24" s="1202"/>
      <c r="Q24" s="1242"/>
      <c r="R24" s="1202"/>
      <c r="S24" s="1242"/>
      <c r="T24" s="1202"/>
      <c r="U24" s="1093"/>
      <c r="V24" s="1202"/>
      <c r="W24" s="1093"/>
      <c r="X24" s="1202"/>
      <c r="Y24" s="1093"/>
      <c r="AC24" s="261">
        <v>8558</v>
      </c>
      <c r="AD24" t="s">
        <v>843</v>
      </c>
      <c r="AG24" s="261">
        <f t="shared" ref="AG24:AG25" si="2">$AG$22*AC24/27</f>
        <v>528.27160493827159</v>
      </c>
    </row>
    <row r="25" spans="1:751">
      <c r="A25" s="1238">
        <f t="shared" si="1"/>
        <v>287</v>
      </c>
      <c r="B25" s="1239" t="s">
        <v>845</v>
      </c>
      <c r="C25" s="1088"/>
      <c r="D25" s="1199">
        <v>287</v>
      </c>
      <c r="E25" s="1089" t="s">
        <v>842</v>
      </c>
      <c r="F25" s="1240">
        <v>650</v>
      </c>
      <c r="G25" s="1241">
        <f t="shared" si="0"/>
        <v>186550</v>
      </c>
      <c r="H25" s="1202"/>
      <c r="I25" s="1242"/>
      <c r="J25" s="1202"/>
      <c r="K25" s="1093"/>
      <c r="L25" s="1202"/>
      <c r="M25" s="1093"/>
      <c r="N25" s="1202"/>
      <c r="O25" s="1093"/>
      <c r="P25" s="1202"/>
      <c r="Q25" s="1242"/>
      <c r="R25" s="1202"/>
      <c r="S25" s="1242"/>
      <c r="T25" s="1202"/>
      <c r="U25" s="1093"/>
      <c r="V25" s="1202"/>
      <c r="W25" s="1093"/>
      <c r="X25" s="1202"/>
      <c r="Y25" s="1093"/>
      <c r="AC25" s="261">
        <v>1550</v>
      </c>
      <c r="AD25" t="s">
        <v>843</v>
      </c>
      <c r="AG25" s="261">
        <f t="shared" si="2"/>
        <v>95.679012345679013</v>
      </c>
    </row>
    <row r="26" spans="1:751">
      <c r="A26" s="1238">
        <f t="shared" si="1"/>
        <v>48</v>
      </c>
      <c r="B26" s="1239" t="s">
        <v>846</v>
      </c>
      <c r="C26" s="1088"/>
      <c r="D26" s="1199">
        <v>48</v>
      </c>
      <c r="E26" s="1089" t="s">
        <v>842</v>
      </c>
      <c r="F26" s="1240">
        <v>650</v>
      </c>
      <c r="G26" s="1241">
        <f t="shared" si="0"/>
        <v>31200</v>
      </c>
      <c r="H26" s="1202"/>
      <c r="I26" s="1242"/>
      <c r="J26" s="1202"/>
      <c r="K26" s="1093"/>
      <c r="L26" s="1202"/>
      <c r="M26" s="1093"/>
      <c r="N26" s="1202"/>
      <c r="O26" s="1093"/>
      <c r="P26" s="1202"/>
      <c r="Q26" s="1242"/>
      <c r="R26" s="1202"/>
      <c r="S26" s="1242"/>
      <c r="T26" s="1202"/>
      <c r="U26" s="1093"/>
      <c r="V26" s="1202"/>
      <c r="W26" s="1093"/>
      <c r="X26" s="1202"/>
      <c r="Y26" s="1093"/>
      <c r="AA26">
        <v>7</v>
      </c>
      <c r="AB26" t="s">
        <v>846</v>
      </c>
      <c r="AC26" s="261">
        <v>2</v>
      </c>
      <c r="AD26" t="s">
        <v>847</v>
      </c>
      <c r="AE26">
        <v>48</v>
      </c>
      <c r="AF26" t="s">
        <v>848</v>
      </c>
      <c r="AG26" s="261">
        <f>14*14*AG22/27*2</f>
        <v>24.197530864197532</v>
      </c>
    </row>
    <row r="27" spans="1:751">
      <c r="A27" s="1238">
        <f t="shared" si="1"/>
        <v>49</v>
      </c>
      <c r="B27" s="1239" t="s">
        <v>849</v>
      </c>
      <c r="C27" s="1088"/>
      <c r="D27" s="1199">
        <v>49</v>
      </c>
      <c r="E27" s="1089" t="s">
        <v>842</v>
      </c>
      <c r="F27" s="1240">
        <v>650</v>
      </c>
      <c r="G27" s="1241">
        <f t="shared" si="0"/>
        <v>31850</v>
      </c>
      <c r="H27" s="1202"/>
      <c r="I27" s="1242"/>
      <c r="J27" s="1202"/>
      <c r="K27" s="1093"/>
      <c r="L27" s="1202"/>
      <c r="M27" s="1093"/>
      <c r="N27" s="1202"/>
      <c r="O27" s="1093"/>
      <c r="P27" s="1202"/>
      <c r="Q27" s="1242"/>
      <c r="R27" s="1202"/>
      <c r="S27" s="1242"/>
      <c r="T27" s="1202"/>
      <c r="U27" s="1093"/>
      <c r="V27" s="1202"/>
      <c r="W27" s="1093"/>
      <c r="X27" s="1202"/>
      <c r="Y27" s="1093"/>
      <c r="AA27">
        <v>8</v>
      </c>
      <c r="AB27" t="s">
        <v>849</v>
      </c>
      <c r="AC27" s="261">
        <v>2</v>
      </c>
      <c r="AD27" t="s">
        <v>847</v>
      </c>
      <c r="AE27">
        <v>0</v>
      </c>
      <c r="AF27" t="s">
        <v>663</v>
      </c>
      <c r="AG27" s="261">
        <f>20*11*AG22/27*2</f>
        <v>27.160493827160494</v>
      </c>
    </row>
    <row r="28" spans="1:751">
      <c r="A28" s="1238">
        <f t="shared" si="1"/>
        <v>158</v>
      </c>
      <c r="B28" s="1239" t="s">
        <v>850</v>
      </c>
      <c r="C28" s="1088"/>
      <c r="D28" s="1199">
        <v>158</v>
      </c>
      <c r="E28" s="1089" t="s">
        <v>842</v>
      </c>
      <c r="F28" s="1240">
        <v>650</v>
      </c>
      <c r="G28" s="1241">
        <f t="shared" si="0"/>
        <v>102700</v>
      </c>
      <c r="H28" s="1202"/>
      <c r="I28" s="1242"/>
      <c r="J28" s="1202"/>
      <c r="K28" s="1093"/>
      <c r="L28" s="1202"/>
      <c r="M28" s="1093"/>
      <c r="N28" s="1202"/>
      <c r="O28" s="1093"/>
      <c r="P28" s="1202"/>
      <c r="Q28" s="1242"/>
      <c r="R28" s="1202"/>
      <c r="S28" s="1242"/>
      <c r="T28" s="1202"/>
      <c r="U28" s="1093"/>
      <c r="V28" s="1202"/>
      <c r="W28" s="1093"/>
      <c r="X28" s="1202"/>
      <c r="Y28" s="1093"/>
      <c r="AA28">
        <v>9</v>
      </c>
      <c r="AB28" t="s">
        <v>850</v>
      </c>
      <c r="AC28" s="261">
        <v>2</v>
      </c>
      <c r="AD28" t="s">
        <v>847</v>
      </c>
      <c r="AE28">
        <v>0</v>
      </c>
      <c r="AF28" t="s">
        <v>663</v>
      </c>
      <c r="AG28" s="261">
        <f>43*11*AG22/27*2</f>
        <v>58.395061728395063</v>
      </c>
    </row>
    <row r="29" spans="1:751">
      <c r="A29" s="1238">
        <f t="shared" si="1"/>
        <v>31</v>
      </c>
      <c r="B29" s="1239" t="s">
        <v>851</v>
      </c>
      <c r="C29" s="1088"/>
      <c r="D29" s="1199">
        <v>31</v>
      </c>
      <c r="E29" s="1089" t="s">
        <v>842</v>
      </c>
      <c r="F29" s="1240">
        <v>650</v>
      </c>
      <c r="G29" s="1241">
        <f t="shared" si="0"/>
        <v>20150</v>
      </c>
      <c r="H29" s="1202"/>
      <c r="I29" s="1242"/>
      <c r="J29" s="1202"/>
      <c r="K29" s="1093"/>
      <c r="L29" s="1202"/>
      <c r="M29" s="1093"/>
      <c r="N29" s="1202"/>
      <c r="O29" s="1093"/>
      <c r="P29" s="1202"/>
      <c r="Q29" s="1242"/>
      <c r="R29" s="1202"/>
      <c r="S29" s="1242"/>
      <c r="T29" s="1202"/>
      <c r="U29" s="1093"/>
      <c r="V29" s="1202"/>
      <c r="W29" s="1093"/>
      <c r="X29" s="1202"/>
      <c r="Y29" s="1093"/>
      <c r="AA29">
        <v>10</v>
      </c>
      <c r="AB29" t="s">
        <v>851</v>
      </c>
      <c r="AC29" s="261">
        <v>133</v>
      </c>
      <c r="AD29" t="s">
        <v>32</v>
      </c>
      <c r="AE29">
        <v>31</v>
      </c>
      <c r="AF29" t="s">
        <v>848</v>
      </c>
      <c r="AG29" s="261">
        <f>2.5*133*2/27</f>
        <v>24.62962962962963</v>
      </c>
    </row>
    <row r="30" spans="1:751">
      <c r="A30" s="1238">
        <f t="shared" si="1"/>
        <v>17</v>
      </c>
      <c r="B30" s="1239" t="s">
        <v>852</v>
      </c>
      <c r="C30" s="1088"/>
      <c r="D30" s="1199">
        <v>17</v>
      </c>
      <c r="E30" s="1089" t="s">
        <v>842</v>
      </c>
      <c r="F30" s="1240">
        <v>650</v>
      </c>
      <c r="G30" s="1241">
        <f t="shared" si="0"/>
        <v>11050</v>
      </c>
      <c r="H30" s="1202"/>
      <c r="I30" s="1242"/>
      <c r="J30" s="1202"/>
      <c r="K30" s="1093"/>
      <c r="L30" s="1202"/>
      <c r="M30" s="1093"/>
      <c r="N30" s="1202"/>
      <c r="O30" s="1093"/>
      <c r="P30" s="1202"/>
      <c r="Q30" s="1242"/>
      <c r="R30" s="1202"/>
      <c r="S30" s="1242"/>
      <c r="T30" s="1202"/>
      <c r="U30" s="1093"/>
      <c r="V30" s="1202"/>
      <c r="W30" s="1093"/>
      <c r="X30" s="1202"/>
      <c r="Y30" s="1093"/>
      <c r="AA30">
        <v>11</v>
      </c>
      <c r="AB30" t="s">
        <v>852</v>
      </c>
      <c r="AC30" s="261">
        <v>46</v>
      </c>
      <c r="AD30" t="s">
        <v>32</v>
      </c>
      <c r="AE30">
        <v>17</v>
      </c>
      <c r="AF30" t="s">
        <v>848</v>
      </c>
      <c r="AG30" s="261">
        <f>4*46*AG22/27</f>
        <v>11.358024691358025</v>
      </c>
    </row>
    <row r="31" spans="1:751">
      <c r="A31" s="1238">
        <f t="shared" si="1"/>
        <v>580</v>
      </c>
      <c r="B31" s="1239" t="s">
        <v>853</v>
      </c>
      <c r="C31" s="1088"/>
      <c r="D31" s="1199">
        <v>580</v>
      </c>
      <c r="E31" s="1089" t="s">
        <v>842</v>
      </c>
      <c r="F31" s="1240">
        <v>650</v>
      </c>
      <c r="G31" s="1241">
        <f t="shared" si="0"/>
        <v>377000</v>
      </c>
      <c r="H31" s="1202"/>
      <c r="I31" s="1242"/>
      <c r="J31" s="1202"/>
      <c r="K31" s="1093"/>
      <c r="L31" s="1202"/>
      <c r="M31" s="1093"/>
      <c r="N31" s="1202"/>
      <c r="O31" s="1093"/>
      <c r="P31" s="1202"/>
      <c r="Q31" s="1242"/>
      <c r="R31" s="1202"/>
      <c r="S31" s="1242"/>
      <c r="T31" s="1202"/>
      <c r="U31" s="1093"/>
      <c r="V31" s="1202"/>
      <c r="W31" s="1093"/>
      <c r="X31" s="1202"/>
      <c r="Y31" s="1093"/>
      <c r="AA31">
        <v>12</v>
      </c>
      <c r="AB31" t="s">
        <v>853</v>
      </c>
      <c r="AC31" s="261">
        <v>895</v>
      </c>
      <c r="AD31" t="s">
        <v>32</v>
      </c>
      <c r="AE31">
        <v>580</v>
      </c>
      <c r="AF31" t="s">
        <v>848</v>
      </c>
      <c r="AG31" s="261">
        <f>7*895*AG22/27</f>
        <v>386.72839506172846</v>
      </c>
    </row>
    <row r="32" spans="1:751">
      <c r="A32" s="1238">
        <f t="shared" si="1"/>
        <v>316</v>
      </c>
      <c r="B32" s="1239" t="s">
        <v>854</v>
      </c>
      <c r="C32" s="1088"/>
      <c r="D32" s="1199">
        <v>316</v>
      </c>
      <c r="E32" s="1089" t="s">
        <v>842</v>
      </c>
      <c r="F32" s="1240">
        <v>650</v>
      </c>
      <c r="G32" s="1241">
        <f t="shared" si="0"/>
        <v>205400</v>
      </c>
      <c r="H32" s="1202"/>
      <c r="I32" s="1242"/>
      <c r="J32" s="1202"/>
      <c r="K32" s="1093"/>
      <c r="L32" s="1202"/>
      <c r="M32" s="1093"/>
      <c r="N32" s="1202"/>
      <c r="O32" s="1093"/>
      <c r="P32" s="1202"/>
      <c r="Q32" s="1242"/>
      <c r="R32" s="1202"/>
      <c r="S32" s="1242"/>
      <c r="T32" s="1202"/>
      <c r="U32" s="1093"/>
      <c r="V32" s="1202"/>
      <c r="W32" s="1093"/>
      <c r="X32" s="1202"/>
      <c r="Y32" s="1093"/>
      <c r="AA32">
        <v>13</v>
      </c>
      <c r="AB32" t="s">
        <v>854</v>
      </c>
      <c r="AC32" s="261">
        <v>342</v>
      </c>
      <c r="AD32" t="s">
        <v>32</v>
      </c>
      <c r="AE32">
        <v>316</v>
      </c>
      <c r="AF32" t="s">
        <v>848</v>
      </c>
      <c r="AG32" s="261">
        <f>10*242*AG22/27</f>
        <v>149.38271604938271</v>
      </c>
    </row>
    <row r="33" spans="1:34">
      <c r="A33" s="1238">
        <f t="shared" si="1"/>
        <v>651</v>
      </c>
      <c r="B33" s="1239" t="s">
        <v>855</v>
      </c>
      <c r="C33" s="1088"/>
      <c r="D33" s="1199">
        <v>651</v>
      </c>
      <c r="E33" s="1089" t="s">
        <v>842</v>
      </c>
      <c r="F33" s="1240">
        <v>650</v>
      </c>
      <c r="G33" s="1241">
        <f t="shared" si="0"/>
        <v>423150</v>
      </c>
      <c r="H33" s="1202"/>
      <c r="I33" s="1242"/>
      <c r="J33" s="1202"/>
      <c r="K33" s="1093"/>
      <c r="L33" s="1202"/>
      <c r="M33" s="1093"/>
      <c r="N33" s="1202"/>
      <c r="O33" s="1093"/>
      <c r="P33" s="1202"/>
      <c r="Q33" s="1242"/>
      <c r="R33" s="1202"/>
      <c r="S33" s="1242"/>
      <c r="T33" s="1202"/>
      <c r="U33" s="1093"/>
      <c r="V33" s="1202"/>
      <c r="W33" s="1093"/>
      <c r="X33" s="1202"/>
      <c r="Y33" s="1093"/>
      <c r="AA33">
        <v>14</v>
      </c>
      <c r="AB33" t="s">
        <v>855</v>
      </c>
      <c r="AC33" s="261">
        <v>366</v>
      </c>
      <c r="AD33" t="s">
        <v>32</v>
      </c>
      <c r="AE33">
        <v>651</v>
      </c>
      <c r="AF33" t="s">
        <v>848</v>
      </c>
      <c r="AG33" s="261">
        <f>16*366*AG22/27</f>
        <v>361.48148148148147</v>
      </c>
    </row>
    <row r="34" spans="1:34">
      <c r="A34" s="1238">
        <f t="shared" si="1"/>
        <v>8</v>
      </c>
      <c r="B34" s="1239" t="s">
        <v>856</v>
      </c>
      <c r="C34" s="1088"/>
      <c r="D34" s="1199">
        <v>8</v>
      </c>
      <c r="E34" s="1089" t="s">
        <v>842</v>
      </c>
      <c r="F34" s="1240">
        <v>650</v>
      </c>
      <c r="G34" s="1241">
        <f t="shared" si="0"/>
        <v>5200</v>
      </c>
      <c r="H34" s="1202"/>
      <c r="I34" s="1242"/>
      <c r="J34" s="1202"/>
      <c r="K34" s="1093"/>
      <c r="L34" s="1202"/>
      <c r="M34" s="1093"/>
      <c r="N34" s="1202"/>
      <c r="O34" s="1093"/>
      <c r="P34" s="1202"/>
      <c r="Q34" s="1242"/>
      <c r="R34" s="1202"/>
      <c r="S34" s="1242"/>
      <c r="T34" s="1202"/>
      <c r="U34" s="1093"/>
      <c r="V34" s="1202"/>
      <c r="W34" s="1093"/>
      <c r="X34" s="1202"/>
      <c r="Y34" s="1093"/>
      <c r="AF34" s="22" t="s">
        <v>857</v>
      </c>
      <c r="AG34" s="393">
        <f>SUM(AG23:AG33)</f>
        <v>2502.9012345679012</v>
      </c>
      <c r="AH34" t="s">
        <v>842</v>
      </c>
    </row>
    <row r="35" spans="1:34">
      <c r="A35" s="1232"/>
      <c r="B35" s="1243"/>
      <c r="C35" s="1088"/>
      <c r="D35" s="1199"/>
      <c r="E35" s="1089"/>
      <c r="F35" s="1240"/>
      <c r="G35" s="1241">
        <f t="shared" si="0"/>
        <v>0</v>
      </c>
      <c r="H35" s="1202"/>
      <c r="I35" s="1242"/>
      <c r="J35" s="1202"/>
      <c r="K35" s="1093"/>
      <c r="L35" s="1202"/>
      <c r="M35" s="1093"/>
      <c r="N35" s="1202"/>
      <c r="O35" s="1093"/>
      <c r="P35" s="1202"/>
      <c r="Q35" s="1242"/>
      <c r="R35" s="1202"/>
      <c r="S35" s="1242"/>
      <c r="T35" s="1202"/>
      <c r="U35" s="1093"/>
      <c r="V35" s="1202"/>
      <c r="W35" s="1093"/>
      <c r="X35" s="1202"/>
      <c r="Y35" s="1093"/>
      <c r="AF35" s="22" t="s">
        <v>858</v>
      </c>
      <c r="AG35" s="393">
        <f>SUM(D23:D34)</f>
        <v>4917</v>
      </c>
      <c r="AH35" t="s">
        <v>842</v>
      </c>
    </row>
    <row r="36" spans="1:34">
      <c r="A36" s="1232"/>
      <c r="B36" s="1244" t="s">
        <v>859</v>
      </c>
      <c r="C36" s="415"/>
      <c r="D36" s="450"/>
      <c r="E36" s="422"/>
      <c r="F36" s="431"/>
      <c r="G36" s="1241">
        <f t="shared" si="0"/>
        <v>0</v>
      </c>
      <c r="H36" s="1202" t="s">
        <v>682</v>
      </c>
      <c r="I36" s="1093"/>
      <c r="J36" s="1202" t="s">
        <v>682</v>
      </c>
      <c r="K36" s="1093"/>
      <c r="L36" s="1202" t="s">
        <v>682</v>
      </c>
      <c r="M36" s="1093"/>
      <c r="N36" s="1202" t="s">
        <v>682</v>
      </c>
      <c r="O36" s="1093"/>
      <c r="P36" s="1202" t="s">
        <v>682</v>
      </c>
      <c r="Q36" s="1093"/>
      <c r="R36" s="1202" t="s">
        <v>682</v>
      </c>
      <c r="S36" s="1093"/>
      <c r="T36" s="1202"/>
      <c r="U36" s="1093"/>
      <c r="V36" s="1202"/>
      <c r="W36" s="1093"/>
      <c r="X36" s="1202"/>
      <c r="Y36" s="1093"/>
      <c r="AG36" s="393">
        <f>SUM(AG34:AG35)</f>
        <v>7419.9012345679012</v>
      </c>
      <c r="AH36" t="s">
        <v>842</v>
      </c>
    </row>
    <row r="37" spans="1:34">
      <c r="A37" s="1238">
        <f>D37*0.33/27</f>
        <v>506.59888888888889</v>
      </c>
      <c r="B37" s="1245" t="s">
        <v>860</v>
      </c>
      <c r="C37" s="415"/>
      <c r="D37" s="450">
        <v>41449</v>
      </c>
      <c r="E37" s="422" t="s">
        <v>511</v>
      </c>
      <c r="F37" s="431">
        <v>8</v>
      </c>
      <c r="G37" s="1241">
        <f t="shared" si="0"/>
        <v>331592</v>
      </c>
      <c r="H37" s="1202"/>
      <c r="I37" s="1093"/>
      <c r="J37" s="1202"/>
      <c r="K37" s="1093"/>
      <c r="L37" s="1202"/>
      <c r="M37" s="1093"/>
      <c r="N37" s="1202"/>
      <c r="O37" s="1093"/>
      <c r="P37" s="1202"/>
      <c r="Q37" s="1093"/>
      <c r="R37" s="1202"/>
      <c r="S37" s="1093"/>
      <c r="T37" s="1202"/>
      <c r="U37" s="1093"/>
      <c r="V37" s="1202"/>
      <c r="W37" s="1093"/>
      <c r="X37" s="1202"/>
      <c r="Y37" s="1093"/>
    </row>
    <row r="38" spans="1:34">
      <c r="A38" s="1246">
        <f>D38*0.42/27</f>
        <v>928.07555555555564</v>
      </c>
      <c r="B38" s="1245" t="s">
        <v>861</v>
      </c>
      <c r="C38" s="415"/>
      <c r="D38" s="450">
        <v>59662</v>
      </c>
      <c r="E38" s="422" t="s">
        <v>511</v>
      </c>
      <c r="F38" s="431">
        <v>10</v>
      </c>
      <c r="G38" s="1241">
        <f t="shared" si="0"/>
        <v>596620</v>
      </c>
      <c r="H38" s="1202"/>
      <c r="I38" s="1093"/>
      <c r="J38" s="1202"/>
      <c r="K38" s="1093"/>
      <c r="L38" s="1202"/>
      <c r="M38" s="1093"/>
      <c r="N38" s="1202"/>
      <c r="O38" s="1093"/>
      <c r="P38" s="1202"/>
      <c r="Q38" s="1093"/>
      <c r="R38" s="1202"/>
      <c r="S38" s="1093"/>
      <c r="T38" s="1202"/>
      <c r="U38" s="1093"/>
      <c r="V38" s="1202"/>
      <c r="W38" s="1093"/>
      <c r="X38" s="1202"/>
      <c r="Y38" s="1093"/>
    </row>
    <row r="39" spans="1:34">
      <c r="A39" s="1232"/>
      <c r="B39" s="1244"/>
      <c r="C39" s="415"/>
      <c r="D39" s="450"/>
      <c r="E39" s="422"/>
      <c r="F39" s="431"/>
      <c r="G39" s="1241">
        <f t="shared" si="0"/>
        <v>0</v>
      </c>
      <c r="H39" s="1202"/>
      <c r="I39" s="1093"/>
      <c r="J39" s="1202"/>
      <c r="K39" s="1093"/>
      <c r="L39" s="1202"/>
      <c r="M39" s="1093"/>
      <c r="N39" s="1202"/>
      <c r="O39" s="1093"/>
      <c r="P39" s="1202"/>
      <c r="Q39" s="1093"/>
      <c r="R39" s="1202"/>
      <c r="S39" s="1093"/>
      <c r="T39" s="1202"/>
      <c r="U39" s="1093"/>
      <c r="V39" s="1202"/>
      <c r="W39" s="1093"/>
      <c r="X39" s="1202"/>
      <c r="Y39" s="1093"/>
    </row>
    <row r="40" spans="1:34">
      <c r="A40" s="1097"/>
      <c r="B40" s="1244" t="s">
        <v>862</v>
      </c>
      <c r="C40" s="415"/>
      <c r="D40" s="450"/>
      <c r="E40" s="422"/>
      <c r="F40" s="431"/>
      <c r="G40" s="1241">
        <f t="shared" ref="G40:G85" si="3">D40*F40</f>
        <v>0</v>
      </c>
      <c r="H40" s="1202" t="s">
        <v>682</v>
      </c>
      <c r="I40" s="1093"/>
      <c r="J40" s="1202" t="s">
        <v>682</v>
      </c>
      <c r="K40" s="1093"/>
      <c r="L40" s="1202" t="s">
        <v>682</v>
      </c>
      <c r="M40" s="1093"/>
      <c r="N40" s="1202" t="s">
        <v>682</v>
      </c>
      <c r="O40" s="1093"/>
      <c r="P40" s="1202" t="s">
        <v>682</v>
      </c>
      <c r="Q40" s="1093"/>
      <c r="R40" s="1202" t="s">
        <v>682</v>
      </c>
      <c r="S40" s="1093"/>
      <c r="T40" s="1202"/>
      <c r="U40" s="1093"/>
      <c r="V40" s="1202"/>
      <c r="W40" s="1093"/>
      <c r="X40" s="1202"/>
      <c r="Y40" s="1093"/>
    </row>
    <row r="41" spans="1:34">
      <c r="A41" s="1232"/>
      <c r="B41" s="1245" t="s">
        <v>863</v>
      </c>
      <c r="C41" s="415" t="s">
        <v>864</v>
      </c>
      <c r="D41" s="450"/>
      <c r="E41" s="422"/>
      <c r="F41" s="431"/>
      <c r="G41" s="1241">
        <f t="shared" si="3"/>
        <v>0</v>
      </c>
      <c r="H41" s="1202"/>
      <c r="I41" s="1093"/>
      <c r="J41" s="1202"/>
      <c r="K41" s="1093"/>
      <c r="L41" s="1202"/>
      <c r="M41" s="1093"/>
      <c r="N41" s="1202"/>
      <c r="O41" s="1093"/>
      <c r="P41" s="1202"/>
      <c r="Q41" s="1093"/>
      <c r="R41" s="1202"/>
      <c r="S41" s="1093"/>
      <c r="T41" s="1202"/>
      <c r="U41" s="1093"/>
      <c r="V41" s="1202"/>
      <c r="W41" s="1093"/>
      <c r="X41" s="1202"/>
      <c r="Y41" s="1093"/>
    </row>
    <row r="42" spans="1:34">
      <c r="A42" s="1238">
        <f>D42</f>
        <v>42</v>
      </c>
      <c r="B42" s="1245" t="s">
        <v>865</v>
      </c>
      <c r="C42" s="454">
        <f>3.33+5.92</f>
        <v>9.25</v>
      </c>
      <c r="D42" s="450">
        <v>42</v>
      </c>
      <c r="E42" s="422" t="s">
        <v>842</v>
      </c>
      <c r="F42" s="431">
        <v>1500</v>
      </c>
      <c r="G42" s="1241">
        <f t="shared" si="3"/>
        <v>63000</v>
      </c>
      <c r="H42" s="1202"/>
      <c r="I42" s="1093"/>
      <c r="J42" s="1202"/>
      <c r="K42" s="1093"/>
      <c r="L42" s="1202"/>
      <c r="M42" s="1093"/>
      <c r="N42" s="1202"/>
      <c r="O42" s="1093"/>
      <c r="P42" s="1202"/>
      <c r="Q42" s="1093"/>
      <c r="R42" s="1202"/>
      <c r="S42" s="1093"/>
      <c r="T42" s="1202"/>
      <c r="U42" s="1093"/>
      <c r="V42" s="1202"/>
      <c r="W42" s="1093"/>
      <c r="X42" s="1202"/>
      <c r="Y42" s="1093"/>
    </row>
    <row r="43" spans="1:34">
      <c r="A43" s="1232"/>
      <c r="B43" s="1245" t="s">
        <v>866</v>
      </c>
      <c r="C43" s="415" t="s">
        <v>867</v>
      </c>
      <c r="D43" s="450"/>
      <c r="E43" s="422"/>
      <c r="F43" s="431"/>
      <c r="G43" s="1241">
        <f t="shared" si="3"/>
        <v>0</v>
      </c>
      <c r="H43" s="1202"/>
      <c r="I43" s="1093"/>
      <c r="J43" s="1202"/>
      <c r="K43" s="1093"/>
      <c r="L43" s="1202"/>
      <c r="M43" s="1093"/>
      <c r="N43" s="1202"/>
      <c r="O43" s="1093"/>
      <c r="P43" s="1202"/>
      <c r="Q43" s="1093"/>
      <c r="R43" s="1202"/>
      <c r="S43" s="1093"/>
      <c r="T43" s="1202"/>
      <c r="U43" s="1093"/>
      <c r="V43" s="1202"/>
      <c r="W43" s="1093"/>
      <c r="X43" s="1202"/>
      <c r="Y43" s="1093"/>
    </row>
    <row r="44" spans="1:34">
      <c r="A44" s="1238">
        <f>D44</f>
        <v>31</v>
      </c>
      <c r="B44" s="1245" t="s">
        <v>868</v>
      </c>
      <c r="C44" s="454">
        <f>3.33+2.17</f>
        <v>5.5</v>
      </c>
      <c r="D44" s="450">
        <v>31</v>
      </c>
      <c r="E44" s="422" t="s">
        <v>842</v>
      </c>
      <c r="F44" s="431">
        <v>1500</v>
      </c>
      <c r="G44" s="1241">
        <f t="shared" si="3"/>
        <v>46500</v>
      </c>
      <c r="H44" s="1202"/>
      <c r="I44" s="1093"/>
      <c r="J44" s="1202"/>
      <c r="K44" s="1093"/>
      <c r="L44" s="1202"/>
      <c r="M44" s="1093"/>
      <c r="N44" s="1202"/>
      <c r="O44" s="1093"/>
      <c r="P44" s="1202"/>
      <c r="Q44" s="1093"/>
      <c r="R44" s="1202"/>
      <c r="S44" s="1093"/>
      <c r="T44" s="1202"/>
      <c r="U44" s="1093"/>
      <c r="V44" s="1202"/>
      <c r="W44" s="1093"/>
      <c r="X44" s="1202"/>
      <c r="Y44" s="1093"/>
    </row>
    <row r="45" spans="1:34">
      <c r="A45" s="1232"/>
      <c r="B45" s="1245" t="s">
        <v>869</v>
      </c>
      <c r="C45" s="454"/>
      <c r="D45" s="450"/>
      <c r="E45" s="422"/>
      <c r="F45" s="431"/>
      <c r="G45" s="1241">
        <f t="shared" si="3"/>
        <v>0</v>
      </c>
      <c r="H45" s="1202"/>
      <c r="I45" s="1093"/>
      <c r="J45" s="1202"/>
      <c r="K45" s="1093"/>
      <c r="L45" s="1202"/>
      <c r="M45" s="1093"/>
      <c r="N45" s="1202"/>
      <c r="O45" s="1093"/>
      <c r="P45" s="1202"/>
      <c r="Q45" s="1093"/>
      <c r="R45" s="1202"/>
      <c r="S45" s="1093"/>
      <c r="T45" s="1202"/>
      <c r="U45" s="1093"/>
      <c r="V45" s="1202"/>
      <c r="W45" s="1093"/>
      <c r="X45" s="1202"/>
      <c r="Y45" s="1093"/>
    </row>
    <row r="46" spans="1:34">
      <c r="A46" s="1238">
        <f>D46</f>
        <v>7</v>
      </c>
      <c r="B46" s="1245" t="s">
        <v>870</v>
      </c>
      <c r="C46" s="454">
        <f>15.17-0.83</f>
        <v>14.34</v>
      </c>
      <c r="D46" s="450">
        <v>7</v>
      </c>
      <c r="E46" s="422" t="s">
        <v>842</v>
      </c>
      <c r="F46" s="431">
        <v>1500</v>
      </c>
      <c r="G46" s="1241">
        <f t="shared" si="3"/>
        <v>10500</v>
      </c>
      <c r="H46" s="1202"/>
      <c r="I46" s="1093"/>
      <c r="J46" s="1202"/>
      <c r="K46" s="1093"/>
      <c r="L46" s="1202"/>
      <c r="M46" s="1093"/>
      <c r="N46" s="1202"/>
      <c r="O46" s="1093"/>
      <c r="P46" s="1202"/>
      <c r="Q46" s="1093"/>
      <c r="R46" s="1202"/>
      <c r="S46" s="1093"/>
      <c r="T46" s="1202"/>
      <c r="U46" s="1093"/>
      <c r="V46" s="1202"/>
      <c r="W46" s="1093"/>
      <c r="X46" s="1202"/>
      <c r="Y46" s="1093"/>
    </row>
    <row r="47" spans="1:34">
      <c r="A47" s="1238"/>
      <c r="B47" s="1245" t="s">
        <v>871</v>
      </c>
      <c r="C47" s="454" t="s">
        <v>872</v>
      </c>
      <c r="D47" s="450">
        <v>2</v>
      </c>
      <c r="E47" s="422" t="s">
        <v>842</v>
      </c>
      <c r="F47" s="431">
        <v>1500</v>
      </c>
      <c r="G47" s="1241">
        <f>D47*F47</f>
        <v>3000</v>
      </c>
      <c r="H47" s="1202"/>
      <c r="I47" s="1093"/>
      <c r="J47" s="1202"/>
      <c r="K47" s="1093"/>
      <c r="L47" s="1202"/>
      <c r="M47" s="1093"/>
      <c r="N47" s="1202"/>
      <c r="O47" s="1093"/>
      <c r="P47" s="1202"/>
      <c r="Q47" s="1093"/>
      <c r="R47" s="1202"/>
      <c r="S47" s="1093"/>
      <c r="T47" s="1202"/>
      <c r="U47" s="1093"/>
      <c r="V47" s="1202"/>
      <c r="W47" s="1093"/>
      <c r="X47" s="1202"/>
      <c r="Y47" s="1093"/>
    </row>
    <row r="48" spans="1:34">
      <c r="A48" s="1097"/>
      <c r="B48" s="1244"/>
      <c r="C48" s="415"/>
      <c r="D48" s="450"/>
      <c r="E48" s="422"/>
      <c r="F48" s="431"/>
      <c r="G48" s="1241">
        <f t="shared" si="3"/>
        <v>0</v>
      </c>
      <c r="H48" s="1202"/>
      <c r="I48" s="1093"/>
      <c r="J48" s="1202"/>
      <c r="K48" s="1093"/>
      <c r="L48" s="1202"/>
      <c r="M48" s="1093"/>
      <c r="N48" s="1202"/>
      <c r="O48" s="1093"/>
      <c r="P48" s="1202"/>
      <c r="Q48" s="1093"/>
      <c r="R48" s="1202"/>
      <c r="S48" s="1093"/>
      <c r="T48" s="1202"/>
      <c r="U48" s="1093"/>
      <c r="V48" s="1202"/>
      <c r="W48" s="1093"/>
      <c r="X48" s="1202"/>
      <c r="Y48" s="1093"/>
    </row>
    <row r="49" spans="1:25">
      <c r="A49" s="1232"/>
      <c r="B49" s="1244" t="s">
        <v>873</v>
      </c>
      <c r="C49" s="415"/>
      <c r="D49" s="450"/>
      <c r="E49" s="422"/>
      <c r="F49" s="431"/>
      <c r="G49" s="1241">
        <f t="shared" si="3"/>
        <v>0</v>
      </c>
      <c r="H49" s="1202" t="s">
        <v>682</v>
      </c>
      <c r="I49" s="1093"/>
      <c r="J49" s="1202" t="s">
        <v>682</v>
      </c>
      <c r="K49" s="1093"/>
      <c r="L49" s="1202" t="s">
        <v>682</v>
      </c>
      <c r="M49" s="1093"/>
      <c r="N49" s="1202" t="s">
        <v>682</v>
      </c>
      <c r="O49" s="1093"/>
      <c r="P49" s="1202" t="s">
        <v>682</v>
      </c>
      <c r="Q49" s="1093"/>
      <c r="R49" s="1202" t="s">
        <v>682</v>
      </c>
      <c r="S49" s="1093"/>
      <c r="T49" s="1202"/>
      <c r="U49" s="1093"/>
      <c r="V49" s="1202"/>
      <c r="W49" s="1093"/>
      <c r="X49" s="1202"/>
      <c r="Y49" s="1093"/>
    </row>
    <row r="50" spans="1:25">
      <c r="A50" s="1238">
        <f>D50</f>
        <v>4.4280092592592597</v>
      </c>
      <c r="B50" s="1245" t="s">
        <v>874</v>
      </c>
      <c r="C50" s="415">
        <f>3.33+5.92</f>
        <v>9.25</v>
      </c>
      <c r="D50" s="450">
        <f>2.5*5.17*9.25/27</f>
        <v>4.4280092592592597</v>
      </c>
      <c r="E50" s="422" t="s">
        <v>842</v>
      </c>
      <c r="F50" s="431">
        <v>2000</v>
      </c>
      <c r="G50" s="1241">
        <f t="shared" si="3"/>
        <v>8856.0185185185201</v>
      </c>
      <c r="H50" s="1202"/>
      <c r="I50" s="1093"/>
      <c r="J50" s="1202"/>
      <c r="K50" s="1093"/>
      <c r="L50" s="1202"/>
      <c r="M50" s="1093"/>
      <c r="N50" s="1202"/>
      <c r="O50" s="1093"/>
      <c r="P50" s="1202"/>
      <c r="Q50" s="1093"/>
      <c r="R50" s="1202"/>
      <c r="S50" s="1093"/>
      <c r="T50" s="1202"/>
      <c r="U50" s="1093"/>
      <c r="V50" s="1202"/>
      <c r="W50" s="1093"/>
      <c r="X50" s="1202"/>
      <c r="Y50" s="1093"/>
    </row>
    <row r="51" spans="1:25">
      <c r="A51" s="1238">
        <f t="shared" ref="A51:A53" si="4">D51</f>
        <v>4.4280092592592597</v>
      </c>
      <c r="B51" s="1245" t="s">
        <v>875</v>
      </c>
      <c r="C51" s="415">
        <f t="shared" ref="C51:C53" si="5">3.33+5.92</f>
        <v>9.25</v>
      </c>
      <c r="D51" s="450">
        <f t="shared" ref="D51" si="6">2.5*5.17*9.25/27</f>
        <v>4.4280092592592597</v>
      </c>
      <c r="E51" s="422" t="s">
        <v>842</v>
      </c>
      <c r="F51" s="431">
        <v>2000</v>
      </c>
      <c r="G51" s="1241">
        <f t="shared" si="3"/>
        <v>8856.0185185185201</v>
      </c>
      <c r="H51" s="1202"/>
      <c r="I51" s="1093"/>
      <c r="J51" s="1202"/>
      <c r="K51" s="1093"/>
      <c r="L51" s="1202"/>
      <c r="M51" s="1093"/>
      <c r="N51" s="1202"/>
      <c r="O51" s="1093"/>
      <c r="P51" s="1202"/>
      <c r="Q51" s="1093"/>
      <c r="R51" s="1202"/>
      <c r="S51" s="1093"/>
      <c r="T51" s="1202"/>
      <c r="U51" s="1093"/>
      <c r="V51" s="1202"/>
      <c r="W51" s="1093"/>
      <c r="X51" s="1202"/>
      <c r="Y51" s="1093"/>
    </row>
    <row r="52" spans="1:25">
      <c r="A52" s="1238">
        <f t="shared" si="4"/>
        <v>8.8560185185185194</v>
      </c>
      <c r="B52" s="1245" t="s">
        <v>876</v>
      </c>
      <c r="C52" s="415">
        <f t="shared" si="5"/>
        <v>9.25</v>
      </c>
      <c r="D52" s="450">
        <f>5*5.17*9.25/27</f>
        <v>8.8560185185185194</v>
      </c>
      <c r="E52" s="422" t="s">
        <v>842</v>
      </c>
      <c r="F52" s="431">
        <v>2000</v>
      </c>
      <c r="G52" s="1241">
        <f t="shared" si="3"/>
        <v>17712.03703703704</v>
      </c>
      <c r="H52" s="1202"/>
      <c r="I52" s="1093"/>
      <c r="J52" s="1202"/>
      <c r="K52" s="1093"/>
      <c r="L52" s="1202"/>
      <c r="M52" s="1093"/>
      <c r="N52" s="1202"/>
      <c r="O52" s="1093"/>
      <c r="P52" s="1202"/>
      <c r="Q52" s="1093"/>
      <c r="R52" s="1202"/>
      <c r="S52" s="1093"/>
      <c r="T52" s="1202"/>
      <c r="U52" s="1093"/>
      <c r="V52" s="1202"/>
      <c r="W52" s="1093"/>
      <c r="X52" s="1202"/>
      <c r="Y52" s="1093"/>
    </row>
    <row r="53" spans="1:25">
      <c r="A53" s="1238">
        <f t="shared" si="4"/>
        <v>8.8560185185185194</v>
      </c>
      <c r="B53" s="1245" t="s">
        <v>877</v>
      </c>
      <c r="C53" s="415">
        <f t="shared" si="5"/>
        <v>9.25</v>
      </c>
      <c r="D53" s="450">
        <f>5*5.17*9.25/27</f>
        <v>8.8560185185185194</v>
      </c>
      <c r="E53" s="422" t="s">
        <v>842</v>
      </c>
      <c r="F53" s="431">
        <v>2000</v>
      </c>
      <c r="G53" s="1241">
        <f t="shared" si="3"/>
        <v>17712.03703703704</v>
      </c>
      <c r="H53" s="1202"/>
      <c r="I53" s="1093"/>
      <c r="J53" s="1202"/>
      <c r="K53" s="1093"/>
      <c r="L53" s="1202"/>
      <c r="M53" s="1093"/>
      <c r="N53" s="1202"/>
      <c r="O53" s="1093"/>
      <c r="P53" s="1202"/>
      <c r="Q53" s="1093"/>
      <c r="R53" s="1202"/>
      <c r="S53" s="1093"/>
      <c r="T53" s="1202"/>
      <c r="U53" s="1093"/>
      <c r="V53" s="1202"/>
      <c r="W53" s="1093"/>
      <c r="X53" s="1202"/>
      <c r="Y53" s="1093"/>
    </row>
    <row r="54" spans="1:25">
      <c r="A54" s="1232"/>
      <c r="B54" s="1113"/>
      <c r="C54" s="23"/>
      <c r="D54" s="450"/>
      <c r="E54" s="422"/>
      <c r="F54" s="431"/>
      <c r="G54" s="1241">
        <f t="shared" si="3"/>
        <v>0</v>
      </c>
      <c r="H54" s="1202"/>
      <c r="I54" s="1093"/>
      <c r="J54" s="1202"/>
      <c r="K54" s="1093"/>
      <c r="L54" s="1202"/>
      <c r="M54" s="1093"/>
      <c r="N54" s="1202"/>
      <c r="O54" s="1093"/>
      <c r="P54" s="1202"/>
      <c r="Q54" s="1093"/>
      <c r="R54" s="1202"/>
      <c r="S54" s="1093"/>
      <c r="T54" s="1202"/>
      <c r="U54" s="1093"/>
      <c r="V54" s="1202"/>
      <c r="W54" s="1093"/>
      <c r="X54" s="1202"/>
      <c r="Y54" s="1093"/>
    </row>
    <row r="55" spans="1:25">
      <c r="A55" s="1232"/>
      <c r="B55" s="1244" t="s">
        <v>878</v>
      </c>
      <c r="C55" s="23"/>
      <c r="D55" s="345"/>
      <c r="E55" s="86"/>
      <c r="F55" s="431"/>
      <c r="G55" s="1241">
        <f t="shared" si="3"/>
        <v>0</v>
      </c>
      <c r="H55" s="1202" t="s">
        <v>682</v>
      </c>
      <c r="I55" s="1093"/>
      <c r="J55" s="1202" t="s">
        <v>682</v>
      </c>
      <c r="K55" s="1093"/>
      <c r="L55" s="1202" t="s">
        <v>682</v>
      </c>
      <c r="M55" s="1093"/>
      <c r="N55" s="1202" t="s">
        <v>682</v>
      </c>
      <c r="O55" s="1093"/>
      <c r="P55" s="1202" t="s">
        <v>682</v>
      </c>
      <c r="Q55" s="1093"/>
      <c r="R55" s="1202" t="s">
        <v>682</v>
      </c>
      <c r="S55" s="1093"/>
      <c r="T55" s="1202"/>
      <c r="U55" s="1093"/>
      <c r="V55" s="1202"/>
      <c r="W55" s="1093"/>
      <c r="X55" s="1202"/>
      <c r="Y55" s="1093"/>
    </row>
    <row r="56" spans="1:25">
      <c r="A56" s="1238">
        <f>D56</f>
        <v>42</v>
      </c>
      <c r="B56" s="1245" t="s">
        <v>879</v>
      </c>
      <c r="C56" s="392">
        <v>123</v>
      </c>
      <c r="D56" s="345">
        <v>42</v>
      </c>
      <c r="E56" s="86" t="s">
        <v>842</v>
      </c>
      <c r="F56" s="431">
        <v>1500</v>
      </c>
      <c r="G56" s="1241">
        <f t="shared" si="3"/>
        <v>63000</v>
      </c>
      <c r="H56" s="1202"/>
      <c r="I56" s="1093"/>
      <c r="J56" s="1202"/>
      <c r="K56" s="1093"/>
      <c r="L56" s="1202"/>
      <c r="M56" s="1093"/>
      <c r="N56" s="1202"/>
      <c r="O56" s="1093"/>
      <c r="P56" s="1202"/>
      <c r="Q56" s="1093"/>
      <c r="R56" s="1202"/>
      <c r="S56" s="1093"/>
      <c r="T56" s="1202"/>
      <c r="U56" s="1093"/>
      <c r="V56" s="1202"/>
      <c r="W56" s="1093"/>
      <c r="X56" s="1202"/>
      <c r="Y56" s="1093"/>
    </row>
    <row r="57" spans="1:25">
      <c r="A57" s="1232"/>
      <c r="B57" s="1245" t="s">
        <v>880</v>
      </c>
      <c r="C57" s="23"/>
      <c r="D57" s="345"/>
      <c r="E57" s="86"/>
      <c r="F57" s="431">
        <v>1500</v>
      </c>
      <c r="G57" s="1241">
        <f t="shared" si="3"/>
        <v>0</v>
      </c>
      <c r="H57" s="1202"/>
      <c r="I57" s="1093"/>
      <c r="J57" s="1202"/>
      <c r="K57" s="1093"/>
      <c r="L57" s="1202"/>
      <c r="M57" s="1093"/>
      <c r="N57" s="1202"/>
      <c r="O57" s="1093"/>
      <c r="P57" s="1202"/>
      <c r="Q57" s="1093"/>
      <c r="R57" s="1202"/>
      <c r="S57" s="1093"/>
      <c r="T57" s="1202"/>
      <c r="U57" s="1093"/>
      <c r="V57" s="1202"/>
      <c r="W57" s="1093"/>
      <c r="X57" s="1202"/>
      <c r="Y57" s="1093"/>
    </row>
    <row r="58" spans="1:25">
      <c r="A58" s="1238">
        <f>D58</f>
        <v>2.1412037037037037</v>
      </c>
      <c r="B58" s="1247" t="s">
        <v>881</v>
      </c>
      <c r="C58" s="415">
        <f>3.33+5.92</f>
        <v>9.25</v>
      </c>
      <c r="D58" s="345">
        <f>2.5*2.5*9.25/27</f>
        <v>2.1412037037037037</v>
      </c>
      <c r="E58" s="86" t="s">
        <v>842</v>
      </c>
      <c r="F58" s="431">
        <v>1500</v>
      </c>
      <c r="G58" s="1241">
        <f t="shared" si="3"/>
        <v>3211.8055555555557</v>
      </c>
      <c r="H58" s="1202"/>
      <c r="I58" s="1093"/>
      <c r="J58" s="1202"/>
      <c r="K58" s="1093"/>
      <c r="L58" s="1202"/>
      <c r="M58" s="1093"/>
      <c r="N58" s="1202"/>
      <c r="O58" s="1093"/>
      <c r="P58" s="1202"/>
      <c r="Q58" s="1093"/>
      <c r="R58" s="1202"/>
      <c r="S58" s="1093"/>
      <c r="T58" s="1202"/>
      <c r="U58" s="1093"/>
      <c r="V58" s="1202"/>
      <c r="W58" s="1093"/>
      <c r="X58" s="1202"/>
      <c r="Y58" s="1093"/>
    </row>
    <row r="59" spans="1:25">
      <c r="A59" s="1232"/>
      <c r="B59" s="1113"/>
      <c r="C59" s="23"/>
      <c r="D59" s="345"/>
      <c r="E59" s="86"/>
      <c r="F59" s="431"/>
      <c r="G59" s="1241">
        <f t="shared" si="3"/>
        <v>0</v>
      </c>
      <c r="H59" s="1202"/>
      <c r="I59" s="1093"/>
      <c r="J59" s="1202"/>
      <c r="K59" s="1093"/>
      <c r="L59" s="1202"/>
      <c r="M59" s="1093"/>
      <c r="N59" s="1202"/>
      <c r="O59" s="1093"/>
      <c r="P59" s="1202"/>
      <c r="Q59" s="1093"/>
      <c r="R59" s="1202"/>
      <c r="S59" s="1093"/>
      <c r="T59" s="1202"/>
      <c r="U59" s="1093"/>
      <c r="V59" s="1202"/>
      <c r="W59" s="1093"/>
      <c r="X59" s="1202"/>
      <c r="Y59" s="1093"/>
    </row>
    <row r="60" spans="1:25">
      <c r="A60" s="1238">
        <f>D60</f>
        <v>151.79359351851852</v>
      </c>
      <c r="B60" s="1113" t="s">
        <v>882</v>
      </c>
      <c r="C60" s="23" t="s">
        <v>883</v>
      </c>
      <c r="D60" s="345">
        <f>169.75*5.17*4.67/27</f>
        <v>151.79359351851852</v>
      </c>
      <c r="E60" s="86" t="s">
        <v>842</v>
      </c>
      <c r="F60" s="431">
        <v>2500</v>
      </c>
      <c r="G60" s="1241">
        <f t="shared" si="3"/>
        <v>379483.98379629629</v>
      </c>
      <c r="H60" s="1202" t="s">
        <v>682</v>
      </c>
      <c r="I60" s="1093"/>
      <c r="J60" s="1202" t="s">
        <v>682</v>
      </c>
      <c r="K60" s="1093"/>
      <c r="L60" s="1202" t="s">
        <v>682</v>
      </c>
      <c r="M60" s="1093"/>
      <c r="N60" s="1202" t="s">
        <v>682</v>
      </c>
      <c r="O60" s="1093"/>
      <c r="P60" s="1202" t="s">
        <v>682</v>
      </c>
      <c r="Q60" s="1093"/>
      <c r="R60" s="1202" t="s">
        <v>682</v>
      </c>
      <c r="S60" s="1093"/>
      <c r="T60" s="1202"/>
      <c r="U60" s="1093"/>
      <c r="V60" s="1202"/>
      <c r="W60" s="1093"/>
      <c r="X60" s="1202"/>
      <c r="Y60" s="1093"/>
    </row>
    <row r="61" spans="1:25">
      <c r="A61" s="1238">
        <f>SUM(A23:A60)</f>
        <v>6654.1772972222225</v>
      </c>
      <c r="B61" s="1113"/>
      <c r="C61" s="23"/>
      <c r="D61" s="345"/>
      <c r="E61" s="86"/>
      <c r="F61" s="431"/>
      <c r="G61" s="1241">
        <f t="shared" si="3"/>
        <v>0</v>
      </c>
      <c r="H61" s="1202"/>
      <c r="I61" s="1093"/>
      <c r="J61" s="1202"/>
      <c r="K61" s="1093"/>
      <c r="L61" s="1202"/>
      <c r="M61" s="1093"/>
      <c r="N61" s="1202"/>
      <c r="O61" s="1093"/>
      <c r="P61" s="1202"/>
      <c r="Q61" s="1093"/>
      <c r="R61" s="1202"/>
      <c r="S61" s="1093"/>
      <c r="T61" s="1202"/>
      <c r="U61" s="1093"/>
      <c r="V61" s="1202"/>
      <c r="W61" s="1093"/>
      <c r="X61" s="1202"/>
      <c r="Y61" s="1093"/>
    </row>
    <row r="62" spans="1:25">
      <c r="A62" s="1238"/>
      <c r="B62" s="1113" t="s">
        <v>884</v>
      </c>
      <c r="C62" s="23"/>
      <c r="D62" s="345"/>
      <c r="E62" s="86"/>
      <c r="F62" s="431"/>
      <c r="G62" s="1241"/>
      <c r="H62" s="1202" t="s">
        <v>682</v>
      </c>
      <c r="I62" s="1093"/>
      <c r="J62" s="1202" t="s">
        <v>682</v>
      </c>
      <c r="K62" s="1093"/>
      <c r="L62" s="1202" t="s">
        <v>682</v>
      </c>
      <c r="M62" s="1093"/>
      <c r="N62" s="1202"/>
      <c r="O62" s="1093"/>
      <c r="P62" s="1202"/>
      <c r="Q62" s="1248"/>
      <c r="R62" s="1202"/>
      <c r="S62" s="1093"/>
      <c r="T62" s="1202"/>
      <c r="U62" s="1093"/>
      <c r="V62" s="1202"/>
      <c r="W62" s="1093"/>
      <c r="X62" s="1202"/>
      <c r="Y62" s="1093"/>
    </row>
    <row r="63" spans="1:25">
      <c r="A63" s="1232"/>
      <c r="B63" s="1113" t="s">
        <v>885</v>
      </c>
      <c r="C63" s="23"/>
      <c r="D63" s="345"/>
      <c r="E63" s="86"/>
      <c r="F63" s="431"/>
      <c r="G63" s="1241">
        <f t="shared" si="3"/>
        <v>0</v>
      </c>
      <c r="H63" s="1202" t="s">
        <v>682</v>
      </c>
      <c r="I63" s="1093"/>
      <c r="J63" s="1202" t="s">
        <v>682</v>
      </c>
      <c r="K63" s="1093"/>
      <c r="L63" s="1202" t="s">
        <v>682</v>
      </c>
      <c r="M63" s="1093"/>
      <c r="N63" s="1202"/>
      <c r="O63" s="1093"/>
      <c r="P63" s="1202" t="s">
        <v>682</v>
      </c>
      <c r="Q63" s="1093"/>
      <c r="R63" s="1202"/>
      <c r="S63" s="1093"/>
      <c r="T63" s="1202"/>
      <c r="U63" s="1093"/>
      <c r="V63" s="1202"/>
      <c r="W63" s="1093"/>
      <c r="X63" s="1202"/>
      <c r="Y63" s="1093"/>
    </row>
    <row r="64" spans="1:25">
      <c r="A64" s="1232"/>
      <c r="B64" s="1244" t="s">
        <v>886</v>
      </c>
      <c r="C64" s="23"/>
      <c r="D64" s="345"/>
      <c r="E64" s="86"/>
      <c r="F64" s="431"/>
      <c r="G64" s="1241">
        <f t="shared" si="3"/>
        <v>0</v>
      </c>
      <c r="H64" s="1202" t="s">
        <v>682</v>
      </c>
      <c r="I64" s="1093"/>
      <c r="J64" s="1202" t="s">
        <v>682</v>
      </c>
      <c r="K64" s="1249">
        <v>4600</v>
      </c>
      <c r="L64" s="1202" t="s">
        <v>682</v>
      </c>
      <c r="M64" s="1093"/>
      <c r="N64" s="1202" t="s">
        <v>682</v>
      </c>
      <c r="O64" s="1093"/>
      <c r="P64" s="1202" t="s">
        <v>682</v>
      </c>
      <c r="Q64" s="1093"/>
      <c r="R64" s="1202" t="s">
        <v>682</v>
      </c>
      <c r="S64" s="1093"/>
      <c r="T64" s="1202"/>
      <c r="U64" s="1093"/>
      <c r="V64" s="1202"/>
      <c r="W64" s="1093"/>
      <c r="X64" s="1202"/>
      <c r="Y64" s="1093"/>
    </row>
    <row r="65" spans="1:30">
      <c r="A65" s="1232"/>
      <c r="B65" s="1244" t="s">
        <v>887</v>
      </c>
      <c r="C65" s="23"/>
      <c r="D65" s="345"/>
      <c r="E65" s="86"/>
      <c r="F65" s="431"/>
      <c r="G65" s="1241">
        <f t="shared" si="3"/>
        <v>0</v>
      </c>
      <c r="H65" s="1202" t="s">
        <v>682</v>
      </c>
      <c r="I65" s="1093"/>
      <c r="J65" s="1202" t="s">
        <v>682</v>
      </c>
      <c r="K65" s="1093"/>
      <c r="L65" s="1202" t="s">
        <v>682</v>
      </c>
      <c r="M65" s="1093"/>
      <c r="N65" s="1202" t="s">
        <v>682</v>
      </c>
      <c r="O65" s="1093"/>
      <c r="P65" s="1202"/>
      <c r="Q65" s="1093"/>
      <c r="R65" s="1202" t="s">
        <v>682</v>
      </c>
      <c r="S65" s="1093"/>
      <c r="T65" s="1202"/>
      <c r="U65" s="1093"/>
      <c r="V65" s="1202"/>
      <c r="W65" s="1093"/>
      <c r="X65" s="1202"/>
      <c r="Y65" s="1093"/>
    </row>
    <row r="66" spans="1:30">
      <c r="A66" s="1097"/>
      <c r="B66" s="1250" t="s">
        <v>888</v>
      </c>
      <c r="C66" s="23"/>
      <c r="D66" s="345"/>
      <c r="E66" s="86"/>
      <c r="F66" s="431"/>
      <c r="G66" s="1241">
        <f t="shared" si="3"/>
        <v>0</v>
      </c>
      <c r="H66" s="1202" t="s">
        <v>682</v>
      </c>
      <c r="I66" s="1251">
        <v>927567</v>
      </c>
      <c r="J66" s="1202" t="s">
        <v>682</v>
      </c>
      <c r="K66" s="1251">
        <v>1374800</v>
      </c>
      <c r="L66" s="1202" t="s">
        <v>682</v>
      </c>
      <c r="M66" s="1251">
        <f>1023005+214061</f>
        <v>1237066</v>
      </c>
      <c r="N66" s="1202" t="s">
        <v>682</v>
      </c>
      <c r="O66" s="1251">
        <v>1619053</v>
      </c>
      <c r="P66" s="1202" t="s">
        <v>682</v>
      </c>
      <c r="Q66" s="1251">
        <v>1847378</v>
      </c>
      <c r="R66" s="1202" t="s">
        <v>682</v>
      </c>
      <c r="S66" s="1251"/>
      <c r="T66" s="1202"/>
      <c r="U66" s="1093"/>
      <c r="V66" s="1202"/>
      <c r="W66" s="1093"/>
      <c r="X66" s="1202"/>
      <c r="Y66" s="1093"/>
    </row>
    <row r="67" spans="1:30">
      <c r="A67" s="1232"/>
      <c r="B67" s="1252" t="s">
        <v>889</v>
      </c>
      <c r="C67" s="23"/>
      <c r="D67" s="345"/>
      <c r="E67" s="86"/>
      <c r="F67" s="431"/>
      <c r="G67" s="1241">
        <f t="shared" si="3"/>
        <v>0</v>
      </c>
      <c r="H67" s="1202" t="s">
        <v>682</v>
      </c>
      <c r="I67" s="1248">
        <v>430000</v>
      </c>
      <c r="J67" s="1202" t="s">
        <v>682</v>
      </c>
      <c r="K67" s="1251">
        <v>431000</v>
      </c>
      <c r="L67" s="1202" t="s">
        <v>682</v>
      </c>
      <c r="M67" s="1251">
        <v>157445</v>
      </c>
      <c r="N67" s="1202" t="s">
        <v>682</v>
      </c>
      <c r="O67" s="1248">
        <v>450000</v>
      </c>
      <c r="P67" s="1202" t="s">
        <v>682</v>
      </c>
      <c r="Q67" s="1251"/>
      <c r="R67" s="1202" t="s">
        <v>682</v>
      </c>
      <c r="S67" s="1251"/>
      <c r="T67" s="1202"/>
      <c r="U67" s="1093"/>
      <c r="V67" s="1202"/>
      <c r="W67" s="1093"/>
      <c r="X67" s="1202"/>
      <c r="Y67" s="1093"/>
    </row>
    <row r="68" spans="1:30">
      <c r="A68" s="1232"/>
      <c r="B68" s="1252" t="s">
        <v>890</v>
      </c>
      <c r="C68" s="23"/>
      <c r="D68" s="345"/>
      <c r="E68" s="86"/>
      <c r="F68" s="431"/>
      <c r="G68" s="1241"/>
      <c r="H68" s="1202"/>
      <c r="I68" s="1248">
        <v>400000</v>
      </c>
      <c r="J68" s="1202"/>
      <c r="K68" s="1248"/>
      <c r="L68" s="1202"/>
      <c r="M68" s="1248">
        <v>200000</v>
      </c>
      <c r="N68" s="1202"/>
      <c r="O68" s="1248"/>
      <c r="P68" s="1202"/>
      <c r="Q68" s="1248"/>
      <c r="R68" s="1202"/>
      <c r="S68" s="1248"/>
      <c r="T68" s="1202"/>
      <c r="U68" s="1093"/>
      <c r="V68" s="1202"/>
      <c r="W68" s="1093"/>
      <c r="X68" s="1202"/>
      <c r="Y68" s="1093"/>
    </row>
    <row r="69" spans="1:30">
      <c r="A69" s="1232"/>
      <c r="B69" s="1247"/>
      <c r="C69" s="23"/>
      <c r="D69" s="345"/>
      <c r="E69" s="86"/>
      <c r="F69" s="431"/>
      <c r="G69" s="1241">
        <f t="shared" si="3"/>
        <v>0</v>
      </c>
      <c r="H69" s="1202"/>
      <c r="I69" s="1093"/>
      <c r="J69" s="1202"/>
      <c r="K69" s="1093"/>
      <c r="L69" s="1202"/>
      <c r="M69" s="1093"/>
      <c r="N69" s="1202"/>
      <c r="O69" s="1093"/>
      <c r="P69" s="1202"/>
      <c r="Q69" s="1093"/>
      <c r="R69" s="1202"/>
      <c r="S69" s="1093"/>
      <c r="T69" s="1202"/>
      <c r="U69" s="1093"/>
      <c r="V69" s="1202"/>
      <c r="W69" s="1093"/>
      <c r="X69" s="1202"/>
      <c r="Y69" s="1093"/>
      <c r="AB69" s="261" t="s">
        <v>854</v>
      </c>
      <c r="AC69">
        <v>854</v>
      </c>
      <c r="AD69" t="s">
        <v>843</v>
      </c>
    </row>
    <row r="70" spans="1:30">
      <c r="A70" s="1232"/>
      <c r="B70" s="1244" t="s">
        <v>891</v>
      </c>
      <c r="C70" s="23"/>
      <c r="D70" s="345">
        <f>D71+D72</f>
        <v>889.38271604938268</v>
      </c>
      <c r="E70" s="86"/>
      <c r="F70" s="431"/>
      <c r="G70" s="1241">
        <f t="shared" si="3"/>
        <v>0</v>
      </c>
      <c r="H70" s="1202" t="s">
        <v>682</v>
      </c>
      <c r="I70" s="1093"/>
      <c r="J70" s="1202" t="s">
        <v>727</v>
      </c>
      <c r="K70" s="1249">
        <v>20000</v>
      </c>
      <c r="L70" s="1202"/>
      <c r="M70" s="1249">
        <v>17920</v>
      </c>
      <c r="N70" s="1202" t="s">
        <v>682</v>
      </c>
      <c r="O70" s="1093"/>
      <c r="P70" s="1202"/>
      <c r="Q70" s="1248"/>
      <c r="R70" s="1202" t="s">
        <v>682</v>
      </c>
      <c r="S70" s="1093"/>
      <c r="T70" s="1202"/>
      <c r="U70" s="1093"/>
      <c r="V70" s="1202"/>
      <c r="W70" s="1093"/>
      <c r="X70" s="1202"/>
      <c r="Y70" s="1093"/>
    </row>
    <row r="71" spans="1:30">
      <c r="A71" s="1232"/>
      <c r="B71" s="1113" t="s">
        <v>892</v>
      </c>
      <c r="C71" s="23"/>
      <c r="D71" s="345">
        <f>AG90</f>
        <v>396.04938271604942</v>
      </c>
      <c r="E71" s="86" t="s">
        <v>842</v>
      </c>
      <c r="F71" s="431">
        <v>25</v>
      </c>
      <c r="G71" s="1241">
        <f t="shared" si="3"/>
        <v>9901.234567901236</v>
      </c>
      <c r="H71" s="1202" t="s">
        <v>682</v>
      </c>
      <c r="I71" s="1093"/>
      <c r="J71" s="1202" t="s">
        <v>727</v>
      </c>
      <c r="K71" s="1093"/>
      <c r="L71" s="1202" t="s">
        <v>682</v>
      </c>
      <c r="M71" s="1093"/>
      <c r="N71" s="1202" t="s">
        <v>682</v>
      </c>
      <c r="O71" s="1093"/>
      <c r="P71" s="1202"/>
      <c r="Q71" s="1248"/>
      <c r="R71" s="1202" t="s">
        <v>682</v>
      </c>
      <c r="S71" s="1093"/>
      <c r="T71" s="1202"/>
      <c r="U71" s="1093"/>
      <c r="V71" s="1202"/>
      <c r="W71" s="1093"/>
      <c r="X71" s="1202"/>
      <c r="Y71" s="1093"/>
      <c r="AB71" s="261" t="s">
        <v>855</v>
      </c>
      <c r="AC71" s="575">
        <v>1098</v>
      </c>
      <c r="AD71" t="s">
        <v>843</v>
      </c>
    </row>
    <row r="72" spans="1:30">
      <c r="A72" s="1232"/>
      <c r="B72" s="1113" t="s">
        <v>893</v>
      </c>
      <c r="C72" s="23"/>
      <c r="D72" s="345">
        <f>9.25*48*0.5*60/27</f>
        <v>493.33333333333331</v>
      </c>
      <c r="E72" s="86" t="s">
        <v>842</v>
      </c>
      <c r="F72" s="431">
        <v>25</v>
      </c>
      <c r="G72" s="1241">
        <f t="shared" si="3"/>
        <v>12333.333333333332</v>
      </c>
      <c r="H72" s="1202" t="s">
        <v>682</v>
      </c>
      <c r="I72" s="1093"/>
      <c r="J72" s="1202" t="s">
        <v>727</v>
      </c>
      <c r="K72" s="1093"/>
      <c r="L72" s="1202" t="s">
        <v>682</v>
      </c>
      <c r="M72" s="1093"/>
      <c r="N72" s="1202" t="s">
        <v>682</v>
      </c>
      <c r="O72" s="1093"/>
      <c r="P72" s="1202"/>
      <c r="Q72" s="1248"/>
      <c r="R72" s="1202" t="s">
        <v>682</v>
      </c>
      <c r="S72" s="1093"/>
      <c r="T72" s="1202"/>
      <c r="U72" s="1093"/>
      <c r="V72" s="1202"/>
      <c r="W72" s="1093"/>
      <c r="X72" s="1202"/>
      <c r="Y72" s="1093"/>
      <c r="AB72" s="261" t="s">
        <v>851</v>
      </c>
      <c r="AC72">
        <v>333</v>
      </c>
      <c r="AD72" t="s">
        <v>843</v>
      </c>
    </row>
    <row r="73" spans="1:30">
      <c r="A73" s="1232"/>
      <c r="B73" s="1113" t="s">
        <v>894</v>
      </c>
      <c r="C73" s="23"/>
      <c r="D73" s="345">
        <f>AG36-D72-D71</f>
        <v>6530.5185185185182</v>
      </c>
      <c r="E73" s="86" t="s">
        <v>842</v>
      </c>
      <c r="F73" s="431">
        <v>18</v>
      </c>
      <c r="G73" s="1241">
        <f t="shared" si="3"/>
        <v>117549.33333333333</v>
      </c>
      <c r="H73" s="1202"/>
      <c r="I73" s="1248">
        <f>$G73</f>
        <v>117549.33333333333</v>
      </c>
      <c r="J73" s="1202"/>
      <c r="K73" s="1248">
        <f>$G73</f>
        <v>117549.33333333333</v>
      </c>
      <c r="L73" s="1202"/>
      <c r="M73" s="1248">
        <f>$G73</f>
        <v>117549.33333333333</v>
      </c>
      <c r="N73" s="1202"/>
      <c r="O73" s="1248">
        <f>$G73</f>
        <v>117549.33333333333</v>
      </c>
      <c r="P73" s="1202"/>
      <c r="Q73" s="1248">
        <f>$G73</f>
        <v>117549.33333333333</v>
      </c>
      <c r="R73" s="1202"/>
      <c r="S73" s="1248">
        <f>ROUND($G73,0)</f>
        <v>117549</v>
      </c>
      <c r="T73" s="1202"/>
      <c r="U73" s="1093"/>
      <c r="V73" s="1202"/>
      <c r="W73" s="1093"/>
      <c r="X73" s="1202"/>
      <c r="Y73" s="1093"/>
      <c r="AB73" s="261" t="s">
        <v>852</v>
      </c>
      <c r="AC73">
        <v>114</v>
      </c>
      <c r="AD73" t="s">
        <v>843</v>
      </c>
    </row>
    <row r="74" spans="1:30">
      <c r="A74" s="1232"/>
      <c r="B74" s="1113"/>
      <c r="C74" s="23"/>
      <c r="D74" s="345"/>
      <c r="E74" s="86"/>
      <c r="F74" s="431"/>
      <c r="G74" s="1241">
        <f t="shared" si="3"/>
        <v>0</v>
      </c>
      <c r="H74" s="1202"/>
      <c r="I74" s="1093"/>
      <c r="J74" s="1202"/>
      <c r="K74" s="1093"/>
      <c r="L74" s="1202"/>
      <c r="M74" s="1093"/>
      <c r="N74" s="1202"/>
      <c r="O74" s="1093"/>
      <c r="P74" s="1202"/>
      <c r="Q74" s="1093"/>
      <c r="R74" s="1202"/>
      <c r="S74" s="1093"/>
      <c r="T74" s="1202"/>
      <c r="U74" s="1093"/>
      <c r="V74" s="1202"/>
      <c r="W74" s="1093"/>
      <c r="X74" s="1202"/>
      <c r="Y74" s="1093"/>
      <c r="AB74" s="261" t="s">
        <v>853</v>
      </c>
      <c r="AC74" s="575">
        <v>2239</v>
      </c>
      <c r="AD74" t="s">
        <v>843</v>
      </c>
    </row>
    <row r="75" spans="1:30">
      <c r="A75" s="1232"/>
      <c r="B75" s="1105" t="s">
        <v>895</v>
      </c>
      <c r="C75" s="23"/>
      <c r="D75" s="345"/>
      <c r="E75" s="86"/>
      <c r="F75" s="431"/>
      <c r="G75" s="1241">
        <f t="shared" si="3"/>
        <v>0</v>
      </c>
      <c r="H75" s="1202"/>
      <c r="I75" s="1093"/>
      <c r="J75" s="1202"/>
      <c r="K75" s="1093" t="s">
        <v>243</v>
      </c>
      <c r="L75" s="1202"/>
      <c r="M75" s="1093" t="s">
        <v>243</v>
      </c>
      <c r="N75" s="1202"/>
      <c r="O75" s="1093"/>
      <c r="P75" s="1202"/>
      <c r="Q75" s="1093" t="s">
        <v>243</v>
      </c>
      <c r="R75" s="1202"/>
      <c r="S75" s="1093"/>
      <c r="T75" s="1202"/>
      <c r="U75" s="1093"/>
      <c r="V75" s="1202"/>
      <c r="W75" s="1093"/>
      <c r="X75" s="1202"/>
      <c r="Y75" s="1093"/>
      <c r="AB75" s="261" t="s">
        <v>846</v>
      </c>
      <c r="AC75">
        <v>392</v>
      </c>
      <c r="AD75" t="s">
        <v>843</v>
      </c>
    </row>
    <row r="76" spans="1:30">
      <c r="A76" s="1232"/>
      <c r="B76" s="1245" t="s">
        <v>896</v>
      </c>
      <c r="C76" s="23"/>
      <c r="D76" s="345">
        <v>1693</v>
      </c>
      <c r="E76" s="86" t="s">
        <v>511</v>
      </c>
      <c r="F76" s="431">
        <v>16</v>
      </c>
      <c r="G76" s="1241">
        <f t="shared" si="3"/>
        <v>27088</v>
      </c>
      <c r="H76" s="1202" t="s">
        <v>682</v>
      </c>
      <c r="I76" s="1093">
        <v>0</v>
      </c>
      <c r="J76" s="1202"/>
      <c r="K76" s="1253">
        <v>70000</v>
      </c>
      <c r="L76" s="1202"/>
      <c r="M76" s="1253">
        <v>70000</v>
      </c>
      <c r="N76" s="1202" t="s">
        <v>682</v>
      </c>
      <c r="O76" s="1093">
        <v>0</v>
      </c>
      <c r="P76" s="1202"/>
      <c r="Q76" s="1253">
        <v>70000</v>
      </c>
      <c r="R76" s="1202" t="s">
        <v>682</v>
      </c>
      <c r="S76" s="1093">
        <v>65493</v>
      </c>
      <c r="T76" s="1202"/>
      <c r="U76" s="1093"/>
      <c r="V76" s="1202"/>
      <c r="W76" s="1093"/>
      <c r="X76" s="1202"/>
      <c r="Y76" s="1093"/>
      <c r="AB76" s="261" t="s">
        <v>849</v>
      </c>
      <c r="AC76">
        <v>440</v>
      </c>
      <c r="AD76" t="s">
        <v>843</v>
      </c>
    </row>
    <row r="77" spans="1:30">
      <c r="A77" s="1232"/>
      <c r="B77" s="1245" t="s">
        <v>897</v>
      </c>
      <c r="C77" s="23"/>
      <c r="D77" s="345"/>
      <c r="E77" s="86"/>
      <c r="F77" s="431"/>
      <c r="G77" s="1241">
        <f t="shared" si="3"/>
        <v>0</v>
      </c>
      <c r="H77" s="1202"/>
      <c r="I77" s="1248">
        <v>4100</v>
      </c>
      <c r="J77" s="1202"/>
      <c r="K77" s="1253">
        <v>4100</v>
      </c>
      <c r="L77" s="1202"/>
      <c r="M77" s="1253">
        <v>4100</v>
      </c>
      <c r="N77" s="1202"/>
      <c r="O77" s="1248">
        <v>4100</v>
      </c>
      <c r="P77" s="1202"/>
      <c r="Q77" s="1253">
        <v>4100</v>
      </c>
      <c r="R77" s="1202"/>
      <c r="S77" s="1248">
        <v>4100</v>
      </c>
      <c r="T77" s="1202"/>
      <c r="U77" s="1093"/>
      <c r="V77" s="1202"/>
      <c r="W77" s="1093"/>
      <c r="X77" s="1202"/>
      <c r="Y77" s="1093"/>
      <c r="AB77" s="261" t="s">
        <v>850</v>
      </c>
      <c r="AC77">
        <v>946</v>
      </c>
      <c r="AD77" t="s">
        <v>843</v>
      </c>
    </row>
    <row r="78" spans="1:30">
      <c r="A78" s="1232"/>
      <c r="B78" s="1254"/>
      <c r="C78" s="23"/>
      <c r="D78" s="345"/>
      <c r="E78" s="86"/>
      <c r="F78" s="431"/>
      <c r="G78" s="1241">
        <f t="shared" ref="G78" si="7">D78*F78</f>
        <v>0</v>
      </c>
      <c r="H78" s="1202"/>
      <c r="I78" s="1093"/>
      <c r="J78" s="1202"/>
      <c r="K78" s="1093"/>
      <c r="L78" s="1202"/>
      <c r="M78" s="1093"/>
      <c r="N78" s="1202"/>
      <c r="O78" s="1093"/>
      <c r="P78" s="1202"/>
      <c r="Q78" s="1093"/>
      <c r="R78" s="1202"/>
      <c r="S78" s="1093"/>
      <c r="T78" s="1202"/>
      <c r="U78" s="1093"/>
      <c r="V78" s="1202"/>
      <c r="W78" s="1093"/>
      <c r="X78" s="1202"/>
      <c r="Y78" s="1093"/>
      <c r="AB78" s="261"/>
      <c r="AC78"/>
    </row>
    <row r="79" spans="1:30">
      <c r="A79" s="1232"/>
      <c r="B79" s="1254" t="s">
        <v>898</v>
      </c>
      <c r="C79" s="23"/>
      <c r="D79" s="345">
        <v>1</v>
      </c>
      <c r="E79" s="86" t="s">
        <v>462</v>
      </c>
      <c r="F79" s="431">
        <v>25000</v>
      </c>
      <c r="G79" s="1241">
        <f t="shared" si="3"/>
        <v>25000</v>
      </c>
      <c r="H79" s="1202"/>
      <c r="I79" s="1248">
        <f>$G79</f>
        <v>25000</v>
      </c>
      <c r="J79" s="1202" t="s">
        <v>682</v>
      </c>
      <c r="K79" s="1093"/>
      <c r="L79" s="1202" t="s">
        <v>682</v>
      </c>
      <c r="M79" s="1093">
        <v>0</v>
      </c>
      <c r="N79" s="1202"/>
      <c r="O79" s="1248">
        <f>$G79</f>
        <v>25000</v>
      </c>
      <c r="P79" s="1202"/>
      <c r="Q79" s="1248"/>
      <c r="R79" s="1202" t="s">
        <v>682</v>
      </c>
      <c r="S79" s="1093">
        <v>25433</v>
      </c>
      <c r="T79" s="1202"/>
      <c r="U79" s="1093"/>
      <c r="V79" s="1202"/>
      <c r="W79" s="1093"/>
      <c r="X79" s="1202"/>
      <c r="Y79" s="1093"/>
      <c r="AB79" s="261"/>
      <c r="AC79"/>
    </row>
    <row r="80" spans="1:30">
      <c r="A80" s="1232"/>
      <c r="B80" s="1254"/>
      <c r="C80" s="23"/>
      <c r="D80" s="345"/>
      <c r="E80" s="86"/>
      <c r="F80" s="431"/>
      <c r="G80" s="1241">
        <f t="shared" si="3"/>
        <v>0</v>
      </c>
      <c r="H80" s="1202"/>
      <c r="I80" s="1093"/>
      <c r="J80" s="1202"/>
      <c r="K80" s="1093"/>
      <c r="L80" s="1202"/>
      <c r="M80" s="1093"/>
      <c r="N80" s="1202"/>
      <c r="O80" s="1093"/>
      <c r="P80" s="1202"/>
      <c r="Q80" s="1093"/>
      <c r="R80" s="1202"/>
      <c r="S80" s="1093"/>
      <c r="T80" s="1202"/>
      <c r="U80" s="1093"/>
      <c r="V80" s="1202"/>
      <c r="W80" s="1093"/>
      <c r="X80" s="1202"/>
      <c r="Y80" s="1093"/>
      <c r="AB80" s="261"/>
      <c r="AC80"/>
    </row>
    <row r="81" spans="1:34">
      <c r="A81" s="1232"/>
      <c r="B81" s="1254" t="s">
        <v>899</v>
      </c>
      <c r="C81" s="23"/>
      <c r="D81" s="345"/>
      <c r="E81" s="86"/>
      <c r="F81" s="431"/>
      <c r="G81" s="1241">
        <f t="shared" si="3"/>
        <v>0</v>
      </c>
      <c r="H81" s="1202" t="s">
        <v>680</v>
      </c>
      <c r="I81" s="1093"/>
      <c r="J81" s="1202" t="s">
        <v>680</v>
      </c>
      <c r="K81" s="1093"/>
      <c r="L81" s="1202" t="s">
        <v>680</v>
      </c>
      <c r="M81" s="1093"/>
      <c r="N81" s="1202" t="s">
        <v>680</v>
      </c>
      <c r="O81" s="1093"/>
      <c r="P81" s="1202"/>
      <c r="Q81" s="1093"/>
      <c r="R81" s="1202" t="s">
        <v>680</v>
      </c>
      <c r="S81" s="1093">
        <v>-370789</v>
      </c>
      <c r="T81" s="1202"/>
      <c r="U81" s="1093"/>
      <c r="V81" s="1202"/>
      <c r="W81" s="1093"/>
      <c r="X81" s="1202"/>
      <c r="Y81" s="1093"/>
      <c r="AB81" s="261"/>
      <c r="AC81"/>
    </row>
    <row r="82" spans="1:34">
      <c r="A82" s="1232"/>
      <c r="B82" s="1254"/>
      <c r="C82" s="23"/>
      <c r="D82" s="345"/>
      <c r="E82" s="86"/>
      <c r="F82" s="431"/>
      <c r="G82" s="1241">
        <f t="shared" si="3"/>
        <v>0</v>
      </c>
      <c r="H82" s="1202"/>
      <c r="I82" s="1093"/>
      <c r="J82" s="1202"/>
      <c r="K82" s="1093"/>
      <c r="L82" s="1202"/>
      <c r="M82" s="1093"/>
      <c r="N82" s="1202"/>
      <c r="O82" s="1093"/>
      <c r="P82" s="1202"/>
      <c r="Q82" s="1093"/>
      <c r="R82" s="1202"/>
      <c r="S82" s="1093"/>
      <c r="T82" s="1202"/>
      <c r="U82" s="1093"/>
      <c r="V82" s="1202"/>
      <c r="W82" s="1093"/>
      <c r="X82" s="1202"/>
      <c r="Y82" s="1093"/>
      <c r="AB82" s="261"/>
      <c r="AC82"/>
    </row>
    <row r="83" spans="1:34">
      <c r="A83" s="1232"/>
      <c r="B83" s="1244" t="s">
        <v>900</v>
      </c>
      <c r="C83" s="23"/>
      <c r="D83" s="345">
        <v>1</v>
      </c>
      <c r="E83" s="86" t="s">
        <v>462</v>
      </c>
      <c r="F83" s="431">
        <v>20000</v>
      </c>
      <c r="G83" s="1241">
        <f t="shared" si="3"/>
        <v>20000</v>
      </c>
      <c r="H83" s="1202"/>
      <c r="I83" s="1248">
        <f>$G83</f>
        <v>20000</v>
      </c>
      <c r="J83" s="1202"/>
      <c r="K83" s="1248">
        <f>$G83</f>
        <v>20000</v>
      </c>
      <c r="L83" s="1202"/>
      <c r="M83" s="1248">
        <f>$G83</f>
        <v>20000</v>
      </c>
      <c r="N83" s="1202"/>
      <c r="O83" s="1248">
        <f>$G83</f>
        <v>20000</v>
      </c>
      <c r="P83" s="1202"/>
      <c r="Q83" s="1248">
        <f>$G83</f>
        <v>20000</v>
      </c>
      <c r="R83" s="1202"/>
      <c r="S83" s="1248">
        <f>$G83</f>
        <v>20000</v>
      </c>
      <c r="T83" s="1202"/>
      <c r="U83" s="1093"/>
      <c r="V83" s="1202"/>
      <c r="W83" s="1093"/>
      <c r="X83" s="1202"/>
      <c r="Y83" s="1093"/>
    </row>
    <row r="84" spans="1:34">
      <c r="A84" s="1232"/>
      <c r="B84" s="1245"/>
      <c r="C84" s="23"/>
      <c r="D84" s="345"/>
      <c r="E84" s="86"/>
      <c r="F84" s="431"/>
      <c r="G84" s="1241">
        <f t="shared" si="3"/>
        <v>0</v>
      </c>
      <c r="H84" s="1202"/>
      <c r="I84" s="1093"/>
      <c r="J84" s="1202"/>
      <c r="K84" s="1093"/>
      <c r="L84" s="1202"/>
      <c r="M84" s="1093"/>
      <c r="N84" s="1202"/>
      <c r="O84" s="1093"/>
      <c r="P84" s="1202"/>
      <c r="Q84" s="1093"/>
      <c r="R84" s="1202"/>
      <c r="S84" s="1093"/>
      <c r="T84" s="1202"/>
      <c r="U84" s="1093"/>
      <c r="V84" s="1202"/>
      <c r="W84" s="1093"/>
      <c r="X84" s="1202"/>
      <c r="Y84" s="1093"/>
      <c r="AB84" s="261"/>
      <c r="AC84"/>
    </row>
    <row r="85" spans="1:34">
      <c r="A85" s="1232"/>
      <c r="B85" s="1113" t="s">
        <v>901</v>
      </c>
      <c r="C85" s="23"/>
      <c r="D85" s="345"/>
      <c r="E85" s="86"/>
      <c r="F85" s="431"/>
      <c r="G85" s="1241">
        <f t="shared" si="3"/>
        <v>0</v>
      </c>
      <c r="H85" s="1202" t="s">
        <v>682</v>
      </c>
      <c r="I85" s="1093"/>
      <c r="J85" s="1202" t="s">
        <v>682</v>
      </c>
      <c r="K85" s="1093"/>
      <c r="L85" s="1202"/>
      <c r="M85" s="1093"/>
      <c r="N85" s="1202" t="s">
        <v>682</v>
      </c>
      <c r="O85" s="1093"/>
      <c r="P85" s="1202"/>
      <c r="Q85" s="1093"/>
      <c r="R85" s="1202"/>
      <c r="S85" s="1093"/>
      <c r="T85" s="1202"/>
      <c r="U85" s="1093"/>
      <c r="V85" s="1202"/>
      <c r="W85" s="1093"/>
      <c r="X85" s="1202"/>
      <c r="Y85" s="1093"/>
      <c r="AB85" s="261"/>
      <c r="AC85" s="575"/>
      <c r="AH85" s="575"/>
    </row>
    <row r="86" spans="1:34">
      <c r="A86" s="1232"/>
      <c r="B86" s="1113" t="s">
        <v>902</v>
      </c>
      <c r="C86" s="23"/>
      <c r="D86" s="345"/>
      <c r="E86" s="86"/>
      <c r="F86" s="431"/>
      <c r="G86" s="1241">
        <f t="shared" ref="G86:G90" si="8">D86*F86</f>
        <v>0</v>
      </c>
      <c r="H86" s="1202"/>
      <c r="I86" s="1093"/>
      <c r="J86" s="1202" t="s">
        <v>682</v>
      </c>
      <c r="K86" s="1093"/>
      <c r="L86" s="1202"/>
      <c r="M86" s="1093"/>
      <c r="N86" s="1202"/>
      <c r="O86" s="1093"/>
      <c r="P86" s="1202"/>
      <c r="Q86" s="1093"/>
      <c r="R86" s="1202"/>
      <c r="S86" s="1093"/>
      <c r="T86" s="1202"/>
      <c r="U86" s="1093"/>
      <c r="V86" s="1202"/>
      <c r="W86" s="1093"/>
      <c r="X86" s="1202"/>
      <c r="Y86" s="1093"/>
      <c r="AB86" s="261"/>
      <c r="AC86" s="575"/>
      <c r="AH86" s="575"/>
    </row>
    <row r="87" spans="1:34">
      <c r="A87" s="1232"/>
      <c r="B87" s="1113" t="s">
        <v>903</v>
      </c>
      <c r="C87" s="23"/>
      <c r="D87" s="345"/>
      <c r="E87" s="86"/>
      <c r="F87" s="431"/>
      <c r="G87" s="1241">
        <f t="shared" si="8"/>
        <v>0</v>
      </c>
      <c r="H87" s="1202"/>
      <c r="I87" s="1248">
        <v>5000</v>
      </c>
      <c r="J87" s="1202" t="s">
        <v>682</v>
      </c>
      <c r="K87" s="1249">
        <v>4700</v>
      </c>
      <c r="L87" s="1202"/>
      <c r="M87" s="1248">
        <v>5000</v>
      </c>
      <c r="N87" s="1202"/>
      <c r="O87" s="1248">
        <v>5000</v>
      </c>
      <c r="P87" s="1202"/>
      <c r="Q87" s="1248">
        <v>5000</v>
      </c>
      <c r="R87" s="1202"/>
      <c r="S87" s="1248">
        <v>5000</v>
      </c>
      <c r="T87" s="1202"/>
      <c r="U87" s="1093"/>
      <c r="V87" s="1202"/>
      <c r="W87" s="1093"/>
      <c r="X87" s="1202"/>
      <c r="Y87" s="1093"/>
      <c r="AB87" s="261"/>
      <c r="AC87" s="575"/>
      <c r="AH87" s="575"/>
    </row>
    <row r="88" spans="1:34">
      <c r="A88" s="1232"/>
      <c r="B88" s="1113"/>
      <c r="C88" s="23"/>
      <c r="D88" s="345"/>
      <c r="E88" s="86"/>
      <c r="F88" s="431"/>
      <c r="G88" s="1241">
        <f t="shared" si="8"/>
        <v>0</v>
      </c>
      <c r="H88" s="1202"/>
      <c r="I88" s="1093"/>
      <c r="J88" s="1202"/>
      <c r="K88" s="1093"/>
      <c r="L88" s="1202"/>
      <c r="M88" s="1093"/>
      <c r="N88" s="1202"/>
      <c r="O88" s="1093"/>
      <c r="P88" s="1202"/>
      <c r="Q88" s="1093"/>
      <c r="R88" s="1202"/>
      <c r="S88" s="1093"/>
      <c r="T88" s="1202"/>
      <c r="U88" s="1093"/>
      <c r="V88" s="1202"/>
      <c r="W88" s="1093"/>
      <c r="X88" s="1202"/>
      <c r="Y88" s="1093"/>
      <c r="AB88" s="261"/>
      <c r="AC88" s="575"/>
      <c r="AH88" s="575"/>
    </row>
    <row r="89" spans="1:34">
      <c r="A89" s="1232"/>
      <c r="B89" s="1113"/>
      <c r="C89" s="23"/>
      <c r="D89" s="345"/>
      <c r="E89" s="86"/>
      <c r="F89" s="431"/>
      <c r="G89" s="1241">
        <f t="shared" si="8"/>
        <v>0</v>
      </c>
      <c r="H89" s="1202"/>
      <c r="I89" s="1093"/>
      <c r="J89" s="1202"/>
      <c r="K89" s="1093"/>
      <c r="L89" s="1202"/>
      <c r="M89" s="1093"/>
      <c r="N89" s="1202"/>
      <c r="O89" s="1093"/>
      <c r="P89" s="1202"/>
      <c r="Q89" s="1093"/>
      <c r="R89" s="1202"/>
      <c r="S89" s="1093"/>
      <c r="T89" s="1202"/>
      <c r="U89" s="1093"/>
      <c r="V89" s="1202"/>
      <c r="W89" s="1093"/>
      <c r="X89" s="1202"/>
      <c r="Y89" s="1093"/>
      <c r="AB89" s="261"/>
      <c r="AC89" s="575"/>
      <c r="AH89" s="575"/>
    </row>
    <row r="90" spans="1:34">
      <c r="A90" s="1232"/>
      <c r="B90" s="1113"/>
      <c r="C90" s="23"/>
      <c r="D90" s="345"/>
      <c r="E90" s="86"/>
      <c r="F90" s="431"/>
      <c r="G90" s="1241">
        <f t="shared" si="8"/>
        <v>0</v>
      </c>
      <c r="H90" s="1202"/>
      <c r="I90" s="1093"/>
      <c r="J90" s="1202"/>
      <c r="K90" s="1093"/>
      <c r="L90" s="1202"/>
      <c r="M90" s="1093"/>
      <c r="N90" s="1202"/>
      <c r="O90" s="1093"/>
      <c r="P90" s="1202"/>
      <c r="Q90" s="1093"/>
      <c r="R90" s="1202"/>
      <c r="S90" s="1093"/>
      <c r="T90" s="1202"/>
      <c r="U90" s="1093"/>
      <c r="V90" s="1202"/>
      <c r="W90" s="1093"/>
      <c r="X90" s="1202"/>
      <c r="Y90" s="1093"/>
      <c r="AC90" s="261">
        <f>SUM(AC69:AC84)</f>
        <v>6416</v>
      </c>
      <c r="AD90" t="s">
        <v>843</v>
      </c>
      <c r="AE90" s="261">
        <f>(24-4)/12</f>
        <v>1.6666666666666667</v>
      </c>
      <c r="AF90" t="s">
        <v>904</v>
      </c>
      <c r="AG90" s="261">
        <f>AC90*AE90/27</f>
        <v>396.04938271604942</v>
      </c>
      <c r="AH90" t="s">
        <v>842</v>
      </c>
    </row>
    <row r="91" spans="1:34" ht="15.75" thickBot="1">
      <c r="A91" s="1232"/>
      <c r="B91" s="1113"/>
      <c r="C91" s="23"/>
      <c r="D91" s="345"/>
      <c r="E91" s="86"/>
      <c r="F91" s="431"/>
      <c r="G91" s="830"/>
      <c r="H91" s="1202"/>
      <c r="I91" s="1093"/>
      <c r="J91" s="1202"/>
      <c r="K91" s="1093"/>
      <c r="L91" s="1202"/>
      <c r="M91" s="1093"/>
      <c r="N91" s="1202"/>
      <c r="O91" s="1093"/>
      <c r="P91" s="1202"/>
      <c r="Q91" s="1093"/>
      <c r="R91" s="1202"/>
      <c r="S91" s="1093"/>
      <c r="T91" s="1202"/>
      <c r="U91" s="1093"/>
      <c r="V91" s="1202"/>
      <c r="W91" s="1093"/>
      <c r="X91" s="1202"/>
      <c r="Y91" s="1093"/>
    </row>
    <row r="92" spans="1:34" ht="15.75" thickTop="1">
      <c r="A92" s="296"/>
      <c r="B92" s="301"/>
      <c r="C92" s="297"/>
      <c r="D92" s="346"/>
      <c r="E92" s="16"/>
      <c r="F92" s="282" t="s">
        <v>753</v>
      </c>
      <c r="G92" s="272">
        <f>SUM(G20:G91)</f>
        <v>4957965.8016975317</v>
      </c>
      <c r="H92" s="273"/>
      <c r="I92" s="273">
        <f>SUM(I20:I91)</f>
        <v>6774851.333333333</v>
      </c>
      <c r="J92" s="273"/>
      <c r="K92" s="273">
        <f>SUM(K20:K91)</f>
        <v>5700849.333333333</v>
      </c>
      <c r="L92" s="273"/>
      <c r="M92" s="273">
        <f>SUM(M20:M91)</f>
        <v>5882569.333333333</v>
      </c>
      <c r="N92" s="273"/>
      <c r="O92" s="273">
        <f>SUM(O20:O91)</f>
        <v>6755331.333333333</v>
      </c>
      <c r="P92" s="273"/>
      <c r="Q92" s="273">
        <f>SUM(Q20:Q91)</f>
        <v>6892046.333333333</v>
      </c>
      <c r="R92" s="273"/>
      <c r="S92" s="273">
        <f>SUM(S20:S91)</f>
        <v>8202620.9299999997</v>
      </c>
      <c r="T92" s="273"/>
      <c r="U92" s="273">
        <f>SUM(U20:U91)</f>
        <v>0</v>
      </c>
      <c r="V92" s="273"/>
      <c r="W92" s="273">
        <f>SUM(W20:W91)</f>
        <v>0</v>
      </c>
      <c r="X92" s="273"/>
      <c r="Y92" s="273">
        <f>SUM(Y20:Y91)</f>
        <v>0</v>
      </c>
    </row>
    <row r="93" spans="1:34">
      <c r="A93" s="1114"/>
      <c r="B93" s="1164"/>
      <c r="C93" s="432"/>
      <c r="D93" s="452"/>
      <c r="E93" s="434"/>
      <c r="F93" s="435" t="s">
        <v>754</v>
      </c>
      <c r="G93" s="436"/>
      <c r="H93" s="1255">
        <v>5.0000000000000001E-3</v>
      </c>
      <c r="I93" s="1166"/>
      <c r="J93" s="1255">
        <v>0</v>
      </c>
      <c r="K93" s="1166"/>
      <c r="L93" s="1255">
        <v>0</v>
      </c>
      <c r="M93" s="1166"/>
      <c r="N93" s="1255">
        <v>0</v>
      </c>
      <c r="O93" s="1166"/>
      <c r="P93" s="1255">
        <v>0</v>
      </c>
      <c r="Q93" s="1166"/>
      <c r="R93" s="1165">
        <v>0</v>
      </c>
      <c r="S93" s="1166"/>
      <c r="T93" s="1165">
        <v>0</v>
      </c>
      <c r="U93" s="1166"/>
      <c r="V93" s="1165">
        <v>0</v>
      </c>
      <c r="W93" s="1166"/>
      <c r="X93" s="1165">
        <v>0</v>
      </c>
      <c r="Y93" s="1166"/>
    </row>
    <row r="94" spans="1:34">
      <c r="A94" s="1114"/>
      <c r="B94" s="1164"/>
      <c r="C94" s="432"/>
      <c r="D94" s="452"/>
      <c r="E94" s="434"/>
      <c r="F94" s="435" t="s">
        <v>755</v>
      </c>
      <c r="G94" s="436"/>
      <c r="H94" s="1166"/>
      <c r="I94" s="1166">
        <f>H93*I92</f>
        <v>33874.256666666668</v>
      </c>
      <c r="J94" s="1166"/>
      <c r="K94" s="1166">
        <f>J93*K92</f>
        <v>0</v>
      </c>
      <c r="L94" s="1166"/>
      <c r="M94" s="1166">
        <f>L93*M92</f>
        <v>0</v>
      </c>
      <c r="N94" s="1166"/>
      <c r="O94" s="1166">
        <f>N93*O92</f>
        <v>0</v>
      </c>
      <c r="P94" s="1166"/>
      <c r="Q94" s="1166">
        <f>P93*Q92</f>
        <v>0</v>
      </c>
      <c r="R94" s="1166"/>
      <c r="S94" s="1166">
        <f>R93*S92</f>
        <v>0</v>
      </c>
      <c r="T94" s="1166"/>
      <c r="U94" s="1166">
        <f>T93*U92</f>
        <v>0</v>
      </c>
      <c r="V94" s="1166"/>
      <c r="W94" s="1166">
        <f>V93*W92</f>
        <v>0</v>
      </c>
      <c r="X94" s="1166"/>
      <c r="Y94" s="1166">
        <f>X93*Y92</f>
        <v>0</v>
      </c>
    </row>
    <row r="95" spans="1:34">
      <c r="A95" s="1114"/>
      <c r="B95" s="1164"/>
      <c r="C95" s="432"/>
      <c r="D95" s="452"/>
      <c r="E95" s="434"/>
      <c r="F95" s="435"/>
      <c r="G95" s="436"/>
      <c r="H95" s="1166"/>
      <c r="I95" s="1166"/>
      <c r="J95" s="1166"/>
      <c r="K95" s="1166"/>
      <c r="L95" s="1166"/>
      <c r="M95" s="1166"/>
      <c r="N95" s="1166"/>
      <c r="O95" s="1166"/>
      <c r="P95" s="1166"/>
      <c r="Q95" s="1166"/>
      <c r="R95" s="1166"/>
      <c r="S95" s="1166"/>
      <c r="T95" s="1166"/>
      <c r="U95" s="1166"/>
      <c r="V95" s="1166"/>
      <c r="W95" s="1166"/>
      <c r="X95" s="1166"/>
      <c r="Y95" s="1166"/>
    </row>
    <row r="96" spans="1:34">
      <c r="A96" s="1114"/>
      <c r="B96" s="1164"/>
      <c r="C96" s="432"/>
      <c r="D96" s="452"/>
      <c r="E96" s="434"/>
      <c r="F96" s="435" t="s">
        <v>756</v>
      </c>
      <c r="G96" s="436"/>
      <c r="H96" s="1166"/>
      <c r="I96" s="1166">
        <f>SUM(I92:I95)</f>
        <v>6808725.5899999999</v>
      </c>
      <c r="J96" s="1166"/>
      <c r="K96" s="1166">
        <f>SUM(K92:K94)</f>
        <v>5700849.333333333</v>
      </c>
      <c r="L96" s="1166"/>
      <c r="M96" s="1166">
        <f>SUM(M92:M95)</f>
        <v>5882569.333333333</v>
      </c>
      <c r="N96" s="1166"/>
      <c r="O96" s="1166">
        <f>SUM(O92:O94)</f>
        <v>6755331.333333333</v>
      </c>
      <c r="P96" s="1166"/>
      <c r="Q96" s="1166">
        <f>SUM(Q92:Q94)</f>
        <v>6892046.333333333</v>
      </c>
      <c r="R96" s="1166"/>
      <c r="S96" s="1166">
        <f>SUM(S92:S94)</f>
        <v>8202620.9299999997</v>
      </c>
      <c r="T96" s="1166"/>
      <c r="U96" s="1166">
        <f>SUM(U92:U94)</f>
        <v>0</v>
      </c>
      <c r="V96" s="1166"/>
      <c r="W96" s="1166">
        <f>SUM(W92:W94)</f>
        <v>0</v>
      </c>
      <c r="X96" s="1166"/>
      <c r="Y96" s="1166">
        <f>SUM(Y92:Y94)</f>
        <v>0</v>
      </c>
    </row>
    <row r="97" spans="1:38">
      <c r="A97" s="1114"/>
      <c r="B97" s="1164"/>
      <c r="C97" s="432"/>
      <c r="D97" s="452"/>
      <c r="E97" s="434"/>
      <c r="F97" s="437" t="s">
        <v>757</v>
      </c>
      <c r="G97" s="438"/>
      <c r="H97" s="1167"/>
      <c r="I97" s="1167">
        <f>I96/'Area Calculations'!$G$4</f>
        <v>11.766305414377625</v>
      </c>
      <c r="J97" s="1167"/>
      <c r="K97" s="1167">
        <f>K96/'Area Calculations'!$G$4</f>
        <v>9.8517605814322557</v>
      </c>
      <c r="L97" s="1167"/>
      <c r="M97" s="1167">
        <f>M96/'Area Calculations'!$G$4</f>
        <v>10.165794829345117</v>
      </c>
      <c r="N97" s="1167"/>
      <c r="O97" s="1167">
        <f>O96/'Area Calculations'!$G$4</f>
        <v>11.674033648830724</v>
      </c>
      <c r="P97" s="1167"/>
      <c r="Q97" s="1167">
        <f>Q96/'Area Calculations'!$G$4</f>
        <v>11.910293786423761</v>
      </c>
      <c r="R97" s="1167"/>
      <c r="S97" s="1167">
        <f>S96/'Area Calculations'!$G$4</f>
        <v>14.175125988701542</v>
      </c>
      <c r="T97" s="1167"/>
      <c r="U97" s="1167">
        <f>U96/'Area Calculations'!$G$4</f>
        <v>0</v>
      </c>
      <c r="V97" s="1167"/>
      <c r="W97" s="1167">
        <f>W96/'Area Calculations'!$G$4</f>
        <v>0</v>
      </c>
      <c r="X97" s="1167"/>
      <c r="Y97" s="1167">
        <f>Y96/'Area Calculations'!$G$4</f>
        <v>0</v>
      </c>
    </row>
    <row r="98" spans="1:38">
      <c r="A98" s="1114"/>
      <c r="B98" s="1164"/>
      <c r="C98" s="432"/>
      <c r="D98" s="452"/>
      <c r="E98" s="434"/>
      <c r="F98" s="437" t="s">
        <v>758</v>
      </c>
      <c r="G98" s="438"/>
      <c r="H98" s="1167"/>
      <c r="I98" s="1167">
        <f>I96/'Area Calculations'!$G$9</f>
        <v>63632.949439252334</v>
      </c>
      <c r="J98" s="1167"/>
      <c r="K98" s="1167">
        <f>K96/'Area Calculations'!$G$9</f>
        <v>53278.965732087221</v>
      </c>
      <c r="L98" s="1167"/>
      <c r="M98" s="1167">
        <f>M96/'Area Calculations'!$G$9</f>
        <v>54977.283489096568</v>
      </c>
      <c r="N98" s="1167"/>
      <c r="O98" s="1167">
        <f>O96/'Area Calculations'!$G$9</f>
        <v>63133.937694704044</v>
      </c>
      <c r="P98" s="1167"/>
      <c r="Q98" s="1167">
        <f>Q96/'Area Calculations'!$G$9</f>
        <v>64411.647975077882</v>
      </c>
      <c r="R98" s="1167"/>
      <c r="S98" s="1167">
        <f>S96/'Area Calculations'!$G$9</f>
        <v>76660.00869158878</v>
      </c>
      <c r="T98" s="1167"/>
      <c r="U98" s="1167">
        <f>U96/'Area Calculations'!$G$9</f>
        <v>0</v>
      </c>
      <c r="V98" s="1167"/>
      <c r="W98" s="1167">
        <f>W96/'Area Calculations'!$G$9</f>
        <v>0</v>
      </c>
      <c r="X98" s="1167"/>
      <c r="Y98" s="1167">
        <f>Y96/'Area Calculations'!$G$9</f>
        <v>0</v>
      </c>
    </row>
    <row r="99" spans="1:38" ht="15.75" thickBot="1">
      <c r="A99" s="1114"/>
      <c r="B99" s="1164"/>
      <c r="C99" s="432"/>
      <c r="D99" s="452"/>
      <c r="E99" s="434"/>
      <c r="F99" s="439"/>
      <c r="G99" s="436"/>
      <c r="H99" s="1168"/>
      <c r="I99" s="1168"/>
      <c r="J99" s="1168"/>
      <c r="K99" s="1168"/>
      <c r="L99" s="1168"/>
      <c r="M99" s="1168"/>
      <c r="N99" s="1168"/>
      <c r="O99" s="1168"/>
      <c r="P99" s="1168"/>
      <c r="Q99" s="1168"/>
      <c r="R99" s="1168"/>
      <c r="S99" s="1168"/>
      <c r="T99" s="1168"/>
      <c r="U99" s="1168"/>
      <c r="V99" s="1168"/>
      <c r="W99" s="1168"/>
      <c r="X99" s="1168"/>
      <c r="Y99" s="1168"/>
    </row>
    <row r="100" spans="1:38" ht="16.5" thickTop="1" thickBot="1">
      <c r="A100" s="2331" t="s">
        <v>759</v>
      </c>
      <c r="B100" s="2332"/>
      <c r="C100" s="298"/>
      <c r="D100" s="347"/>
      <c r="E100" s="12"/>
      <c r="F100" s="12"/>
      <c r="G100" s="26"/>
      <c r="H100" s="24"/>
      <c r="I100" s="20"/>
      <c r="J100" s="20"/>
      <c r="K100" s="20"/>
      <c r="L100" s="20"/>
      <c r="M100" s="20"/>
      <c r="N100" s="20"/>
      <c r="O100" s="20"/>
      <c r="P100" s="20"/>
      <c r="Q100" s="20"/>
      <c r="R100" s="20"/>
      <c r="S100" s="20"/>
      <c r="T100" s="20"/>
      <c r="U100" s="20"/>
      <c r="V100" s="20"/>
      <c r="W100" s="20"/>
      <c r="X100" s="20"/>
      <c r="Y100" s="20"/>
    </row>
    <row r="101" spans="1:38" ht="15.75" thickTop="1">
      <c r="A101" s="1169"/>
      <c r="B101" s="1105"/>
      <c r="C101" s="1088"/>
      <c r="D101" s="1199"/>
      <c r="E101" s="1089"/>
      <c r="F101" s="1089"/>
      <c r="G101" s="1170"/>
      <c r="H101" s="1171"/>
      <c r="I101" s="1172"/>
      <c r="J101" s="1172"/>
      <c r="K101" s="1172"/>
      <c r="L101" s="1172"/>
      <c r="M101" s="1172"/>
      <c r="N101" s="1172"/>
      <c r="O101" s="1172"/>
      <c r="P101" s="1172"/>
      <c r="Q101" s="1172"/>
      <c r="R101" s="1172"/>
      <c r="S101" s="1172"/>
      <c r="T101" s="1172"/>
      <c r="U101" s="1172"/>
      <c r="V101" s="1172"/>
      <c r="W101" s="1172"/>
      <c r="X101" s="1172"/>
      <c r="Y101" s="1172"/>
    </row>
    <row r="102" spans="1:38">
      <c r="A102" s="1169"/>
      <c r="B102" s="1105"/>
      <c r="C102" s="1088"/>
      <c r="D102" s="1199"/>
      <c r="E102" s="1089"/>
      <c r="F102" s="1089"/>
      <c r="G102" s="1170"/>
      <c r="H102" s="1171"/>
      <c r="I102" s="1172"/>
      <c r="J102" s="1172"/>
      <c r="K102" s="1172"/>
      <c r="L102" s="1172"/>
      <c r="M102" s="1172"/>
      <c r="N102" s="1172"/>
      <c r="O102" s="1172"/>
      <c r="P102" s="1172"/>
      <c r="Q102" s="1172"/>
      <c r="R102" s="1172"/>
      <c r="S102" s="1172"/>
      <c r="T102" s="1172"/>
      <c r="U102" s="1172"/>
      <c r="V102" s="1172"/>
      <c r="W102" s="1172"/>
      <c r="X102" s="1172"/>
      <c r="Y102" s="1172"/>
    </row>
    <row r="103" spans="1:38" ht="15.75" thickBot="1">
      <c r="A103" s="1169"/>
      <c r="B103" s="1105"/>
      <c r="C103" s="1088"/>
      <c r="D103" s="1199"/>
      <c r="E103" s="1089"/>
      <c r="F103" s="1089"/>
      <c r="G103" s="1170"/>
      <c r="H103" s="1171"/>
      <c r="I103" s="1172"/>
      <c r="J103" s="1172"/>
      <c r="K103" s="1172"/>
      <c r="L103" s="1172"/>
      <c r="M103" s="1172"/>
      <c r="N103" s="1172"/>
      <c r="O103" s="1172"/>
      <c r="P103" s="1172"/>
      <c r="Q103" s="1172"/>
      <c r="R103" s="1172"/>
      <c r="S103" s="1172"/>
      <c r="T103" s="1172"/>
      <c r="U103" s="1172"/>
      <c r="V103" s="1172"/>
      <c r="W103" s="1172"/>
      <c r="X103" s="1172"/>
      <c r="Y103" s="1172"/>
    </row>
    <row r="104" spans="1:38" s="2" customFormat="1" ht="16.5" thickTop="1" thickBot="1">
      <c r="A104" s="2331" t="s">
        <v>760</v>
      </c>
      <c r="B104" s="2332"/>
      <c r="C104" s="298"/>
      <c r="D104" s="347"/>
      <c r="E104" s="12"/>
      <c r="F104" s="12"/>
      <c r="G104" s="26"/>
      <c r="H104" s="24"/>
      <c r="I104" s="20"/>
      <c r="J104" s="20"/>
      <c r="K104" s="20"/>
      <c r="L104" s="20"/>
      <c r="M104" s="20"/>
      <c r="N104" s="20"/>
      <c r="O104" s="20"/>
      <c r="P104" s="20"/>
      <c r="Q104" s="20"/>
      <c r="R104" s="20"/>
      <c r="S104" s="20"/>
      <c r="T104" s="20"/>
      <c r="U104" s="20"/>
      <c r="V104" s="20"/>
      <c r="W104" s="20"/>
      <c r="X104" s="20"/>
      <c r="Y104" s="20"/>
      <c r="Z104"/>
      <c r="AA104"/>
      <c r="AB104"/>
      <c r="AC104" s="261"/>
      <c r="AD104"/>
      <c r="AE104"/>
      <c r="AF104"/>
      <c r="AG104"/>
      <c r="AH104"/>
      <c r="AI104"/>
      <c r="AJ104"/>
      <c r="AK104"/>
      <c r="AL104"/>
    </row>
    <row r="105" spans="1:38" s="2" customFormat="1" ht="15.75" thickTop="1">
      <c r="A105" s="1169"/>
      <c r="B105" s="1105"/>
      <c r="C105" s="1088"/>
      <c r="D105" s="1199"/>
      <c r="E105" s="1089"/>
      <c r="F105" s="1089"/>
      <c r="G105" s="1170"/>
      <c r="H105" s="1171"/>
      <c r="I105" s="1172"/>
      <c r="J105" s="1172"/>
      <c r="K105" s="1172"/>
      <c r="L105" s="1172"/>
      <c r="M105" s="1172"/>
      <c r="N105" s="1172"/>
      <c r="O105" s="1172"/>
      <c r="P105" s="1172"/>
      <c r="Q105" s="1172"/>
      <c r="R105" s="1172"/>
      <c r="S105" s="1172"/>
      <c r="T105" s="1172"/>
      <c r="U105" s="1172"/>
      <c r="V105" s="1172"/>
      <c r="W105" s="1172"/>
      <c r="X105" s="1172"/>
      <c r="Y105" s="1172"/>
      <c r="Z105"/>
      <c r="AA105"/>
      <c r="AB105"/>
      <c r="AC105" s="261"/>
      <c r="AD105"/>
      <c r="AE105"/>
      <c r="AF105"/>
      <c r="AG105"/>
      <c r="AH105"/>
      <c r="AI105"/>
      <c r="AJ105"/>
      <c r="AK105"/>
      <c r="AL105"/>
    </row>
    <row r="106" spans="1:38" s="2" customFormat="1">
      <c r="A106" s="1169"/>
      <c r="B106" s="1105"/>
      <c r="C106" s="1088"/>
      <c r="D106" s="1199"/>
      <c r="E106" s="1089"/>
      <c r="F106" s="1089"/>
      <c r="G106" s="1170"/>
      <c r="H106" s="1171"/>
      <c r="I106" s="1172"/>
      <c r="J106" s="1172"/>
      <c r="K106" s="1172"/>
      <c r="L106" s="1172"/>
      <c r="M106" s="1172"/>
      <c r="N106" s="1172"/>
      <c r="O106" s="1172"/>
      <c r="P106" s="1172"/>
      <c r="Q106" s="1172"/>
      <c r="R106" s="1172"/>
      <c r="S106" s="1172"/>
      <c r="T106" s="1172"/>
      <c r="U106" s="1172"/>
      <c r="V106" s="1172"/>
      <c r="W106" s="1172"/>
      <c r="X106" s="1172"/>
      <c r="Y106" s="1172"/>
      <c r="Z106"/>
      <c r="AA106"/>
      <c r="AB106"/>
      <c r="AC106" s="261"/>
      <c r="AD106"/>
      <c r="AE106"/>
      <c r="AF106"/>
      <c r="AG106"/>
      <c r="AH106"/>
      <c r="AI106"/>
      <c r="AJ106"/>
      <c r="AK106"/>
      <c r="AL106"/>
    </row>
    <row r="107" spans="1:38" ht="15.75" thickBot="1">
      <c r="A107" s="1169"/>
      <c r="B107" s="1105"/>
      <c r="C107" s="1088"/>
      <c r="D107" s="1199"/>
      <c r="E107" s="1089"/>
      <c r="F107" s="1089"/>
      <c r="G107" s="1170"/>
      <c r="H107" s="1171"/>
      <c r="I107" s="1172"/>
      <c r="J107" s="1172"/>
      <c r="K107" s="1172"/>
      <c r="L107" s="1172"/>
      <c r="M107" s="1172"/>
      <c r="N107" s="1172"/>
      <c r="O107" s="1172"/>
      <c r="P107" s="1172"/>
      <c r="Q107" s="1172"/>
      <c r="R107" s="1172"/>
      <c r="S107" s="1172"/>
      <c r="T107" s="1172"/>
      <c r="U107" s="1172"/>
      <c r="V107" s="1172"/>
      <c r="W107" s="1172"/>
      <c r="X107" s="1172"/>
      <c r="Y107" s="1172"/>
    </row>
    <row r="108" spans="1:38" s="2" customFormat="1" ht="16.5" thickTop="1" thickBot="1">
      <c r="A108" s="2331" t="s">
        <v>761</v>
      </c>
      <c r="B108" s="2332"/>
      <c r="C108" s="298"/>
      <c r="D108" s="347"/>
      <c r="E108" s="12"/>
      <c r="F108" s="12"/>
      <c r="G108" s="26"/>
      <c r="H108" s="24"/>
      <c r="I108" s="20"/>
      <c r="J108" s="20"/>
      <c r="K108" s="20"/>
      <c r="L108" s="20"/>
      <c r="M108" s="20"/>
      <c r="N108" s="20"/>
      <c r="O108" s="20"/>
      <c r="P108" s="20"/>
      <c r="Q108" s="20"/>
      <c r="R108" s="20"/>
      <c r="S108" s="20"/>
      <c r="T108" s="20"/>
      <c r="U108" s="20"/>
      <c r="V108" s="20"/>
      <c r="W108" s="20"/>
      <c r="X108" s="20"/>
      <c r="Y108" s="20"/>
      <c r="Z108"/>
      <c r="AA108"/>
      <c r="AB108"/>
      <c r="AC108" s="261"/>
      <c r="AD108"/>
      <c r="AE108"/>
      <c r="AF108"/>
      <c r="AG108"/>
      <c r="AH108"/>
      <c r="AI108"/>
      <c r="AJ108"/>
      <c r="AK108"/>
      <c r="AL108"/>
    </row>
    <row r="109" spans="1:38" s="2" customFormat="1" ht="15.75" thickTop="1">
      <c r="A109" s="1169"/>
      <c r="B109" s="1105"/>
      <c r="C109" s="1088"/>
      <c r="D109" s="1199"/>
      <c r="E109" s="1089"/>
      <c r="F109" s="1089"/>
      <c r="G109" s="1170"/>
      <c r="H109" s="1171"/>
      <c r="I109" s="1172"/>
      <c r="J109" s="1172"/>
      <c r="K109" s="1172"/>
      <c r="L109" s="1172"/>
      <c r="M109" s="1172"/>
      <c r="N109" s="1172"/>
      <c r="O109" s="1172"/>
      <c r="P109" s="1172"/>
      <c r="Q109" s="1172"/>
      <c r="R109" s="1172"/>
      <c r="S109" s="1172"/>
      <c r="T109" s="1172"/>
      <c r="U109" s="1172"/>
      <c r="V109" s="1172"/>
      <c r="W109" s="1172"/>
      <c r="X109" s="1172"/>
      <c r="Y109" s="1172"/>
      <c r="Z109"/>
      <c r="AA109"/>
      <c r="AB109"/>
      <c r="AC109" s="261"/>
      <c r="AD109"/>
      <c r="AE109"/>
      <c r="AF109"/>
      <c r="AG109"/>
      <c r="AH109"/>
      <c r="AI109"/>
      <c r="AJ109"/>
      <c r="AK109"/>
      <c r="AL109"/>
    </row>
    <row r="110" spans="1:38" s="2" customFormat="1">
      <c r="A110" s="1124"/>
      <c r="B110" s="1105"/>
      <c r="C110" s="415"/>
      <c r="D110" s="416"/>
      <c r="E110" s="422"/>
      <c r="F110" s="422"/>
      <c r="G110" s="831"/>
      <c r="H110" s="440"/>
      <c r="I110" s="1173"/>
      <c r="J110" s="1173"/>
      <c r="K110" s="1173"/>
      <c r="L110" s="1173"/>
      <c r="M110" s="1173"/>
      <c r="N110" s="1173"/>
      <c r="O110" s="1173"/>
      <c r="P110" s="1173"/>
      <c r="Q110" s="1173"/>
      <c r="R110" s="1173"/>
      <c r="S110" s="1173"/>
      <c r="T110" s="1173"/>
      <c r="U110" s="1173"/>
      <c r="V110" s="1173"/>
      <c r="W110" s="1173"/>
      <c r="X110" s="1173"/>
      <c r="Y110" s="1173"/>
      <c r="Z110"/>
      <c r="AA110"/>
      <c r="AB110"/>
      <c r="AC110" s="261"/>
      <c r="AD110"/>
      <c r="AE110"/>
      <c r="AF110"/>
      <c r="AG110"/>
      <c r="AH110"/>
      <c r="AI110"/>
      <c r="AJ110"/>
      <c r="AK110"/>
      <c r="AL110"/>
    </row>
    <row r="111" spans="1:38" s="2" customFormat="1" ht="15.75" thickBot="1">
      <c r="A111" s="1126"/>
      <c r="B111" s="1174"/>
      <c r="C111" s="415"/>
      <c r="D111" s="416"/>
      <c r="E111" s="422"/>
      <c r="F111" s="422"/>
      <c r="G111" s="831"/>
      <c r="H111" s="441"/>
      <c r="I111" s="1175"/>
      <c r="J111" s="1175"/>
      <c r="K111" s="1175"/>
      <c r="L111" s="1175"/>
      <c r="M111" s="1175"/>
      <c r="N111" s="1175"/>
      <c r="O111" s="1175"/>
      <c r="P111" s="1175"/>
      <c r="Q111" s="1175"/>
      <c r="R111" s="1175"/>
      <c r="S111" s="1175"/>
      <c r="T111" s="1175"/>
      <c r="U111" s="1175"/>
      <c r="V111" s="1175"/>
      <c r="W111" s="1175"/>
      <c r="X111" s="1175"/>
      <c r="Y111" s="1175"/>
      <c r="AC111" s="260"/>
    </row>
    <row r="112" spans="1:38" s="2" customFormat="1" ht="16.5" thickTop="1" thickBot="1">
      <c r="A112" s="2331" t="s">
        <v>762</v>
      </c>
      <c r="B112" s="2332"/>
      <c r="C112" s="298"/>
      <c r="D112" s="347"/>
      <c r="E112" s="12"/>
      <c r="F112" s="12"/>
      <c r="G112" s="26"/>
      <c r="H112" s="24"/>
      <c r="I112" s="20"/>
      <c r="J112" s="20"/>
      <c r="K112" s="20"/>
      <c r="L112" s="20"/>
      <c r="M112" s="20"/>
      <c r="N112" s="20"/>
      <c r="O112" s="20"/>
      <c r="P112" s="20"/>
      <c r="Q112" s="20"/>
      <c r="R112" s="20"/>
      <c r="S112" s="20"/>
      <c r="T112" s="20"/>
      <c r="U112" s="20"/>
      <c r="V112" s="20"/>
      <c r="W112" s="20"/>
      <c r="X112" s="20"/>
      <c r="Y112" s="20"/>
      <c r="Z112"/>
      <c r="AA112"/>
      <c r="AB112"/>
      <c r="AC112" s="261"/>
      <c r="AD112"/>
      <c r="AE112"/>
      <c r="AF112"/>
      <c r="AG112"/>
      <c r="AH112"/>
      <c r="AI112"/>
      <c r="AJ112"/>
      <c r="AK112"/>
      <c r="AL112"/>
    </row>
    <row r="113" spans="1:38" ht="15.75" thickTop="1">
      <c r="A113" s="1176"/>
      <c r="B113" s="1177"/>
      <c r="C113" s="1088"/>
      <c r="D113" s="1199"/>
      <c r="E113" s="1089"/>
      <c r="F113" s="1089"/>
      <c r="G113" s="1170"/>
      <c r="H113" s="1171"/>
      <c r="I113" s="1172"/>
      <c r="J113" s="1172"/>
      <c r="K113" s="1172"/>
      <c r="L113" s="1172"/>
      <c r="M113" s="1172"/>
      <c r="N113" s="1172"/>
      <c r="O113" s="1172"/>
      <c r="P113" s="1172"/>
      <c r="Q113" s="1172"/>
      <c r="R113" s="1172"/>
      <c r="S113" s="1172"/>
      <c r="T113" s="1172"/>
      <c r="U113" s="1172"/>
      <c r="V113" s="1172"/>
      <c r="W113" s="1172"/>
      <c r="X113" s="1172"/>
      <c r="Y113" s="1172"/>
      <c r="Z113" s="2"/>
      <c r="AA113" s="2"/>
      <c r="AB113" s="2"/>
      <c r="AC113" s="260"/>
      <c r="AD113" s="2"/>
      <c r="AE113" s="2"/>
      <c r="AF113" s="2"/>
      <c r="AG113" s="2"/>
      <c r="AH113" s="2"/>
      <c r="AI113" s="2"/>
      <c r="AJ113" s="2"/>
      <c r="AK113" s="2"/>
      <c r="AL113" s="2"/>
    </row>
    <row r="114" spans="1:38">
      <c r="A114" s="1126"/>
      <c r="B114" s="1174"/>
      <c r="C114" s="415"/>
      <c r="D114" s="416"/>
      <c r="E114" s="422"/>
      <c r="F114" s="422"/>
      <c r="G114" s="831"/>
      <c r="H114" s="442"/>
      <c r="I114" s="1178"/>
      <c r="J114" s="1178"/>
      <c r="K114" s="1178"/>
      <c r="L114" s="1178"/>
      <c r="M114" s="1178"/>
      <c r="N114" s="1178"/>
      <c r="O114" s="1178"/>
      <c r="P114" s="1178"/>
      <c r="Q114" s="1178"/>
      <c r="R114" s="1178"/>
      <c r="S114" s="1178"/>
      <c r="T114" s="1178"/>
      <c r="U114" s="1178"/>
      <c r="V114" s="1178"/>
      <c r="W114" s="1178"/>
      <c r="X114" s="1178"/>
      <c r="Y114" s="1178"/>
      <c r="Z114" s="2"/>
      <c r="AA114" s="2"/>
      <c r="AB114" s="2"/>
      <c r="AC114" s="260"/>
      <c r="AD114" s="2"/>
      <c r="AE114" s="2"/>
      <c r="AF114" s="2"/>
      <c r="AG114" s="2"/>
      <c r="AH114" s="2"/>
      <c r="AI114" s="2"/>
      <c r="AJ114" s="2"/>
      <c r="AK114" s="2"/>
      <c r="AL114" s="2"/>
    </row>
    <row r="115" spans="1:38" ht="15.75" thickBot="1">
      <c r="A115" s="1126"/>
      <c r="B115" s="1174"/>
      <c r="C115" s="415"/>
      <c r="D115" s="416"/>
      <c r="E115" s="422"/>
      <c r="F115" s="422"/>
      <c r="G115" s="831"/>
      <c r="H115" s="442"/>
      <c r="I115" s="1178"/>
      <c r="J115" s="1178"/>
      <c r="K115" s="1178"/>
      <c r="L115" s="1178"/>
      <c r="M115" s="1178"/>
      <c r="N115" s="1178"/>
      <c r="O115" s="1178"/>
      <c r="P115" s="1178"/>
      <c r="Q115" s="1178"/>
      <c r="R115" s="1178"/>
      <c r="S115" s="1178"/>
      <c r="T115" s="1178"/>
      <c r="U115" s="1178"/>
      <c r="V115" s="1178"/>
      <c r="W115" s="1178"/>
      <c r="X115" s="1178"/>
      <c r="Y115" s="1178"/>
      <c r="Z115" s="2"/>
      <c r="AA115" s="2"/>
      <c r="AB115" s="2"/>
      <c r="AC115" s="260"/>
      <c r="AD115" s="2"/>
      <c r="AE115" s="2"/>
      <c r="AF115" s="2"/>
      <c r="AG115" s="2"/>
      <c r="AH115" s="2"/>
      <c r="AI115" s="2"/>
      <c r="AJ115" s="2"/>
      <c r="AK115" s="2"/>
      <c r="AL115" s="2"/>
    </row>
    <row r="116" spans="1:38" ht="16.5" thickTop="1" thickBot="1">
      <c r="A116" s="2331" t="s">
        <v>763</v>
      </c>
      <c r="B116" s="2332"/>
      <c r="C116" s="298"/>
      <c r="D116" s="347"/>
      <c r="E116" s="12"/>
      <c r="F116" s="12"/>
      <c r="G116" s="26"/>
      <c r="H116" s="24"/>
      <c r="I116" s="20"/>
      <c r="J116" s="20"/>
      <c r="K116" s="20"/>
      <c r="L116" s="20"/>
      <c r="M116" s="20"/>
      <c r="N116" s="20"/>
      <c r="O116" s="20"/>
      <c r="P116" s="20"/>
      <c r="Q116" s="20"/>
      <c r="R116" s="20"/>
      <c r="S116" s="20"/>
      <c r="T116" s="20"/>
      <c r="U116" s="20"/>
      <c r="V116" s="20"/>
      <c r="W116" s="20"/>
      <c r="X116" s="20"/>
      <c r="Y116" s="20"/>
    </row>
    <row r="117" spans="1:38" ht="15.75" thickTop="1">
      <c r="A117" s="1124"/>
      <c r="B117" s="1105" t="s">
        <v>764</v>
      </c>
      <c r="C117" s="415"/>
      <c r="D117" s="416"/>
      <c r="E117" s="422"/>
      <c r="F117" s="422"/>
      <c r="G117" s="831"/>
      <c r="H117" s="442"/>
      <c r="I117" s="1178"/>
      <c r="J117" s="1178"/>
      <c r="K117" s="1178"/>
      <c r="L117" s="1178"/>
      <c r="M117" s="1178"/>
      <c r="N117" s="1178"/>
      <c r="O117" s="1178"/>
      <c r="P117" s="1178"/>
      <c r="Q117" s="1178"/>
      <c r="R117" s="1178"/>
      <c r="S117" s="1178"/>
      <c r="T117" s="1178"/>
      <c r="U117" s="1178"/>
      <c r="V117" s="1178"/>
      <c r="W117" s="1178"/>
      <c r="X117" s="1178"/>
      <c r="Y117" s="1178"/>
    </row>
    <row r="118" spans="1:38">
      <c r="A118" s="1124"/>
      <c r="B118" s="1105" t="s">
        <v>765</v>
      </c>
      <c r="C118" s="415"/>
      <c r="D118" s="416"/>
      <c r="E118" s="422"/>
      <c r="F118" s="422"/>
      <c r="G118" s="831"/>
      <c r="H118" s="442"/>
      <c r="I118" s="1178"/>
      <c r="J118" s="1178"/>
      <c r="K118" s="1178"/>
      <c r="L118" s="1178"/>
      <c r="M118" s="1178"/>
      <c r="N118" s="1178"/>
      <c r="O118" s="1178"/>
      <c r="P118" s="1178"/>
      <c r="Q118" s="1178"/>
      <c r="R118" s="1178"/>
      <c r="S118" s="1178"/>
      <c r="T118" s="1178"/>
      <c r="U118" s="1178"/>
      <c r="V118" s="1178"/>
      <c r="W118" s="1178"/>
      <c r="X118" s="1178"/>
      <c r="Y118" s="1178"/>
    </row>
    <row r="119" spans="1:38">
      <c r="A119" s="1124"/>
      <c r="B119" s="1105" t="s">
        <v>766</v>
      </c>
      <c r="C119" s="415"/>
      <c r="D119" s="416"/>
      <c r="E119" s="422"/>
      <c r="F119" s="422"/>
      <c r="G119" s="831"/>
      <c r="H119" s="442"/>
      <c r="I119" s="1178"/>
      <c r="J119" s="1178"/>
      <c r="K119" s="1178"/>
      <c r="L119" s="1178"/>
      <c r="M119" s="1178"/>
      <c r="N119" s="1178"/>
      <c r="O119" s="1178"/>
      <c r="P119" s="1178"/>
      <c r="Q119" s="1178"/>
      <c r="R119" s="1178"/>
      <c r="S119" s="1178"/>
      <c r="T119" s="1178"/>
      <c r="U119" s="1178"/>
      <c r="V119" s="1178"/>
      <c r="W119" s="1178"/>
      <c r="X119" s="1178"/>
      <c r="Y119" s="1178"/>
    </row>
    <row r="120" spans="1:38">
      <c r="A120" s="1124"/>
      <c r="B120" s="1105" t="s">
        <v>767</v>
      </c>
      <c r="C120" s="415"/>
      <c r="D120" s="416"/>
      <c r="E120" s="422"/>
      <c r="F120" s="422"/>
      <c r="G120" s="831"/>
      <c r="H120" s="442"/>
      <c r="I120" s="1178"/>
      <c r="J120" s="1178"/>
      <c r="K120" s="1178"/>
      <c r="L120" s="1178"/>
      <c r="M120" s="1178"/>
      <c r="N120" s="1178"/>
      <c r="O120" s="1178"/>
      <c r="P120" s="1178"/>
      <c r="Q120" s="1178"/>
      <c r="R120" s="1178"/>
      <c r="S120" s="1178"/>
      <c r="T120" s="1178"/>
      <c r="U120" s="1178"/>
      <c r="V120" s="1178"/>
      <c r="W120" s="1178"/>
      <c r="X120" s="1178"/>
      <c r="Y120" s="1178"/>
    </row>
    <row r="121" spans="1:38" ht="15.75" thickBot="1">
      <c r="A121" s="443"/>
      <c r="B121" s="421"/>
      <c r="C121" s="23"/>
      <c r="D121" s="265"/>
      <c r="E121" s="86"/>
      <c r="F121" s="86"/>
      <c r="G121" s="27"/>
      <c r="H121" s="25"/>
      <c r="I121" s="444"/>
      <c r="J121" s="444"/>
      <c r="K121" s="444"/>
      <c r="L121" s="444"/>
      <c r="M121" s="444"/>
      <c r="N121" s="444"/>
      <c r="O121" s="444"/>
      <c r="P121" s="444"/>
      <c r="Q121" s="444"/>
      <c r="R121" s="444"/>
      <c r="S121" s="444"/>
      <c r="T121" s="444"/>
      <c r="U121" s="444"/>
      <c r="V121" s="444"/>
      <c r="W121" s="444"/>
      <c r="X121" s="444"/>
      <c r="Y121" s="444"/>
    </row>
    <row r="122" spans="1:38" ht="16.5" thickTop="1" thickBot="1">
      <c r="A122" s="72" t="s">
        <v>768</v>
      </c>
      <c r="B122" s="73"/>
      <c r="C122" s="298"/>
      <c r="D122" s="347"/>
      <c r="E122" s="12"/>
      <c r="F122" s="12"/>
      <c r="G122" s="26"/>
      <c r="H122" s="24"/>
      <c r="I122" s="20"/>
      <c r="J122" s="20"/>
      <c r="K122" s="20"/>
      <c r="L122" s="20"/>
      <c r="M122" s="20"/>
      <c r="N122" s="20"/>
      <c r="O122" s="20"/>
      <c r="P122" s="20"/>
      <c r="Q122" s="20"/>
      <c r="R122" s="20"/>
      <c r="S122" s="20"/>
      <c r="T122" s="20"/>
      <c r="U122" s="20"/>
      <c r="V122" s="20"/>
      <c r="W122" s="20"/>
      <c r="X122" s="20"/>
      <c r="Y122" s="20"/>
    </row>
    <row r="123" spans="1:38" ht="15.75" thickTop="1">
      <c r="A123" s="1169"/>
      <c r="B123" s="1243" t="s">
        <v>769</v>
      </c>
      <c r="C123" s="1088"/>
      <c r="D123" s="1199"/>
      <c r="E123" s="1089"/>
      <c r="F123" s="1089"/>
      <c r="G123" s="1170"/>
      <c r="H123" s="1180"/>
      <c r="I123" s="1181"/>
      <c r="J123" s="1181"/>
      <c r="K123" s="1181"/>
      <c r="L123" s="1181"/>
      <c r="M123" s="1181"/>
      <c r="N123" s="1181"/>
      <c r="O123" s="1181"/>
      <c r="P123" s="1181"/>
      <c r="Q123" s="1181"/>
      <c r="R123" s="1181"/>
      <c r="S123" s="1181"/>
      <c r="T123" s="1181"/>
      <c r="U123" s="1181"/>
      <c r="V123" s="1181"/>
      <c r="W123" s="1181"/>
      <c r="X123" s="1181"/>
      <c r="Y123" s="1181"/>
    </row>
    <row r="124" spans="1:38">
      <c r="A124" s="1124"/>
      <c r="B124" s="1105" t="s">
        <v>770</v>
      </c>
      <c r="C124" s="415"/>
      <c r="D124" s="416"/>
      <c r="E124" s="422"/>
      <c r="F124" s="422"/>
      <c r="G124" s="831"/>
      <c r="H124" s="445"/>
      <c r="I124" s="1182"/>
      <c r="J124" s="1182"/>
      <c r="K124" s="1182"/>
      <c r="L124" s="1182"/>
      <c r="M124" s="1182"/>
      <c r="N124" s="1182"/>
      <c r="O124" s="1182"/>
      <c r="P124" s="1182"/>
      <c r="Q124" s="1182"/>
      <c r="R124" s="1182"/>
      <c r="S124" s="1182"/>
      <c r="T124" s="1182"/>
      <c r="U124" s="1182"/>
      <c r="V124" s="1182"/>
      <c r="W124" s="1182"/>
      <c r="X124" s="1182"/>
      <c r="Y124" s="1182"/>
    </row>
    <row r="125" spans="1:38" ht="15.75" thickBot="1">
      <c r="A125" s="1183"/>
      <c r="B125" s="1184" t="s">
        <v>771</v>
      </c>
      <c r="C125" s="1185"/>
      <c r="D125" s="1229"/>
      <c r="E125" s="1186"/>
      <c r="F125" s="1186"/>
      <c r="G125" s="1187"/>
      <c r="H125" s="1188"/>
      <c r="I125" s="1189"/>
      <c r="J125" s="1189"/>
      <c r="K125" s="1189"/>
      <c r="L125" s="1189"/>
      <c r="M125" s="1189"/>
      <c r="N125" s="1189"/>
      <c r="O125" s="1189"/>
      <c r="P125" s="1189"/>
      <c r="Q125" s="1189"/>
      <c r="R125" s="1189"/>
      <c r="S125" s="1189"/>
      <c r="T125" s="1189"/>
      <c r="U125" s="1189"/>
      <c r="V125" s="1189"/>
      <c r="W125" s="1189"/>
      <c r="X125" s="1189"/>
      <c r="Y125" s="1189"/>
    </row>
    <row r="126" spans="1:38" ht="16.5" thickTop="1" thickBot="1">
      <c r="F126" s="2"/>
      <c r="G126" s="2"/>
      <c r="H126" s="2"/>
      <c r="I126" s="2"/>
      <c r="J126" s="2"/>
      <c r="K126" s="2"/>
      <c r="L126" s="2"/>
      <c r="M126" s="2"/>
      <c r="N126" s="2"/>
      <c r="O126" s="2"/>
      <c r="P126" s="2"/>
      <c r="Q126" s="2"/>
      <c r="R126" s="2"/>
      <c r="S126" s="2"/>
      <c r="T126" s="2"/>
      <c r="U126" s="2"/>
      <c r="V126" s="2"/>
      <c r="W126" s="2"/>
      <c r="X126" s="2"/>
      <c r="Y126" s="2"/>
    </row>
    <row r="127" spans="1:38" s="36" customFormat="1" ht="16.5" thickTop="1" thickBot="1">
      <c r="A127" s="587" t="s">
        <v>772</v>
      </c>
      <c r="B127" s="588"/>
      <c r="C127" s="270"/>
      <c r="D127" s="270"/>
      <c r="E127" s="270"/>
      <c r="F127" s="270"/>
      <c r="G127" s="523" t="s">
        <v>905</v>
      </c>
      <c r="H127" s="270"/>
      <c r="I127" s="270"/>
      <c r="J127" s="270"/>
      <c r="K127" s="270">
        <v>5459900</v>
      </c>
      <c r="L127" s="270"/>
      <c r="M127" s="270">
        <v>5517000</v>
      </c>
      <c r="N127" s="270"/>
      <c r="O127" s="270"/>
      <c r="P127" s="270"/>
      <c r="Q127" s="270"/>
      <c r="R127" s="270"/>
      <c r="S127" s="270">
        <f>8426760.93</f>
        <v>8426760.9299999997</v>
      </c>
      <c r="T127" s="270"/>
      <c r="U127" s="270"/>
      <c r="V127" s="270"/>
      <c r="W127" s="270"/>
      <c r="X127" s="270"/>
      <c r="Y127" s="270"/>
    </row>
    <row r="128" spans="1:38" ht="15.75" thickTop="1">
      <c r="A128" s="38" t="s">
        <v>693</v>
      </c>
      <c r="B128" s="1256" t="str">
        <f>J5</f>
        <v>Don Kings Concrete</v>
      </c>
      <c r="F128" s="2"/>
      <c r="G128" s="521" t="s">
        <v>906</v>
      </c>
      <c r="I128" s="519"/>
      <c r="J128" s="2"/>
      <c r="K128" s="519">
        <f>K73+K83</f>
        <v>137549.33333333331</v>
      </c>
      <c r="L128" s="2"/>
      <c r="M128" s="519"/>
      <c r="N128" s="2"/>
      <c r="O128" s="519"/>
      <c r="P128" s="2"/>
      <c r="Q128" s="519"/>
      <c r="R128" s="2"/>
      <c r="S128" s="519">
        <f>S73</f>
        <v>117549</v>
      </c>
      <c r="T128" s="2"/>
      <c r="U128" s="519"/>
      <c r="V128" s="2"/>
      <c r="W128" s="519"/>
      <c r="X128" s="2"/>
      <c r="Y128" s="519"/>
    </row>
    <row r="129" spans="1:25">
      <c r="A129" s="1142" t="s">
        <v>702</v>
      </c>
      <c r="B129" s="1256" t="str">
        <f t="shared" ref="B129:B131" si="9">J6</f>
        <v>Dan Belanger</v>
      </c>
      <c r="F129" s="2"/>
      <c r="G129" s="522" t="s">
        <v>907</v>
      </c>
      <c r="I129" s="278"/>
      <c r="J129" s="2"/>
      <c r="K129" s="278">
        <f>K64+K70+K87</f>
        <v>29300</v>
      </c>
      <c r="L129" s="2"/>
      <c r="M129" s="278"/>
      <c r="N129" s="2"/>
      <c r="O129" s="278"/>
      <c r="P129" s="2"/>
      <c r="Q129" s="278"/>
      <c r="R129" s="2"/>
      <c r="S129" s="278"/>
      <c r="T129" s="2"/>
      <c r="U129" s="278"/>
      <c r="V129" s="2"/>
      <c r="W129" s="278"/>
      <c r="X129" s="2"/>
      <c r="Y129" s="278"/>
    </row>
    <row r="130" spans="1:25">
      <c r="A130" s="1191" t="s">
        <v>708</v>
      </c>
      <c r="B130" s="1256" t="str">
        <f t="shared" si="9"/>
        <v>(407) 977-9001</v>
      </c>
      <c r="F130" s="2"/>
      <c r="G130" s="798" t="s">
        <v>908</v>
      </c>
      <c r="K130" s="800"/>
    </row>
    <row r="131" spans="1:25">
      <c r="A131" s="1191" t="s">
        <v>713</v>
      </c>
      <c r="B131" s="1256" t="str">
        <f t="shared" si="9"/>
        <v>DBelanger@dkcfl.com</v>
      </c>
      <c r="F131" s="2"/>
      <c r="G131" s="799" t="s">
        <v>909</v>
      </c>
      <c r="I131" s="1242"/>
      <c r="J131" s="2"/>
      <c r="K131" s="1257">
        <f>K76+K77</f>
        <v>74100</v>
      </c>
      <c r="L131" s="2"/>
      <c r="M131" s="1242"/>
      <c r="N131" s="2"/>
      <c r="O131" s="1242"/>
      <c r="P131" s="2"/>
      <c r="Q131" s="1242"/>
      <c r="R131" s="2"/>
      <c r="S131" s="1258">
        <f>S66+S67+S81</f>
        <v>-370789</v>
      </c>
      <c r="T131" s="2"/>
      <c r="U131" s="1242"/>
      <c r="V131" s="2"/>
      <c r="W131" s="1242"/>
      <c r="X131" s="2"/>
      <c r="Y131" s="1242"/>
    </row>
    <row r="132" spans="1:25" ht="15.75" thickBot="1">
      <c r="A132" s="1194" t="s">
        <v>69</v>
      </c>
      <c r="B132" s="1231">
        <f>K96</f>
        <v>5700849.333333333</v>
      </c>
      <c r="F132" s="2"/>
      <c r="I132" s="270">
        <f>SUM(I126:I131)</f>
        <v>0</v>
      </c>
      <c r="J132" s="2"/>
      <c r="K132" s="270">
        <f>SUM(K126:K131)</f>
        <v>5700849.333333333</v>
      </c>
      <c r="L132" s="2"/>
      <c r="M132" s="270">
        <f>SUM(M126:M131)</f>
        <v>5517000</v>
      </c>
      <c r="N132" s="2"/>
      <c r="O132" s="270">
        <f>SUM(O126:O131)</f>
        <v>0</v>
      </c>
      <c r="P132" s="2"/>
      <c r="Q132" s="270">
        <f>SUM(Q126:Q131)</f>
        <v>0</v>
      </c>
      <c r="R132" s="2"/>
      <c r="S132" s="270">
        <f>SUM(S126:S131)</f>
        <v>8173520.9299999997</v>
      </c>
      <c r="T132" s="2"/>
      <c r="U132" s="270">
        <f>SUM(U126:U131)</f>
        <v>0</v>
      </c>
      <c r="V132" s="2"/>
      <c r="W132" s="270">
        <f>SUM(W126:W131)</f>
        <v>0</v>
      </c>
      <c r="X132" s="2"/>
      <c r="Y132" s="270">
        <f>SUM(Y126:Y131)</f>
        <v>0</v>
      </c>
    </row>
    <row r="133" spans="1:25" ht="15.75" thickTop="1">
      <c r="G133" s="520" t="s">
        <v>910</v>
      </c>
      <c r="I133" s="270">
        <f>I96</f>
        <v>6808725.5899999999</v>
      </c>
      <c r="J133" s="2"/>
      <c r="K133" s="270">
        <f>K96</f>
        <v>5700849.333333333</v>
      </c>
      <c r="L133" s="2"/>
      <c r="M133" s="270">
        <f>M96</f>
        <v>5882569.333333333</v>
      </c>
      <c r="N133" s="2"/>
      <c r="O133" s="270">
        <f>O96</f>
        <v>6755331.333333333</v>
      </c>
      <c r="P133" s="2"/>
      <c r="Q133" s="270">
        <f>Q96</f>
        <v>6892046.333333333</v>
      </c>
      <c r="R133" s="2"/>
      <c r="S133" s="270">
        <f>S96</f>
        <v>8202620.9299999997</v>
      </c>
      <c r="T133" s="2"/>
      <c r="U133" s="270">
        <f>U96</f>
        <v>0</v>
      </c>
      <c r="V133" s="2"/>
      <c r="W133" s="270">
        <f>W96</f>
        <v>0</v>
      </c>
      <c r="X133" s="2"/>
      <c r="Y133" s="270">
        <f>Y96</f>
        <v>0</v>
      </c>
    </row>
    <row r="134" spans="1:25">
      <c r="G134" s="523" t="s">
        <v>911</v>
      </c>
      <c r="I134" s="270">
        <f>I132-I133</f>
        <v>-6808725.5899999999</v>
      </c>
      <c r="K134" s="270">
        <f>K132-K133</f>
        <v>0</v>
      </c>
      <c r="M134" s="270">
        <f>M132-M133</f>
        <v>-365569.33333333302</v>
      </c>
      <c r="O134" s="270">
        <f>O132-O133</f>
        <v>-6755331.333333333</v>
      </c>
      <c r="Q134" s="270">
        <f>Q132-Q133</f>
        <v>-6892046.333333333</v>
      </c>
      <c r="S134" s="270">
        <f>S132-S133</f>
        <v>-29100</v>
      </c>
      <c r="U134" s="270">
        <f>U132-U133</f>
        <v>0</v>
      </c>
      <c r="W134" s="270">
        <f>W132-W133</f>
        <v>0</v>
      </c>
      <c r="Y134" s="270">
        <f>Y132-Y133</f>
        <v>0</v>
      </c>
    </row>
    <row r="137" spans="1:25">
      <c r="K137" s="270">
        <v>4025066.222222222</v>
      </c>
    </row>
    <row r="138" spans="1:25">
      <c r="K138" s="270">
        <f>K96-K137</f>
        <v>1675783.111111111</v>
      </c>
    </row>
    <row r="140" spans="1:25">
      <c r="K140" s="270">
        <f>-K66+-K67</f>
        <v>-1805800</v>
      </c>
    </row>
    <row r="141" spans="1:25">
      <c r="K141" s="270">
        <v>2151128</v>
      </c>
    </row>
    <row r="142" spans="1:25">
      <c r="K142" s="270">
        <f>K140-K141</f>
        <v>-3956928</v>
      </c>
    </row>
  </sheetData>
  <mergeCells count="59">
    <mergeCell ref="T4:U4"/>
    <mergeCell ref="T5:U5"/>
    <mergeCell ref="T6:U6"/>
    <mergeCell ref="T7:U7"/>
    <mergeCell ref="P4:Q4"/>
    <mergeCell ref="P5:Q5"/>
    <mergeCell ref="P6:Q6"/>
    <mergeCell ref="P7:Q7"/>
    <mergeCell ref="R4:S4"/>
    <mergeCell ref="R5:S5"/>
    <mergeCell ref="R6:S6"/>
    <mergeCell ref="R7:S7"/>
    <mergeCell ref="L4:M4"/>
    <mergeCell ref="N4:O4"/>
    <mergeCell ref="L7:M7"/>
    <mergeCell ref="H4:I4"/>
    <mergeCell ref="L5:M5"/>
    <mergeCell ref="L6:M6"/>
    <mergeCell ref="H6:I6"/>
    <mergeCell ref="J4:K4"/>
    <mergeCell ref="J5:K5"/>
    <mergeCell ref="J6:K6"/>
    <mergeCell ref="J7:K7"/>
    <mergeCell ref="N6:O6"/>
    <mergeCell ref="N7:O7"/>
    <mergeCell ref="N8:O8"/>
    <mergeCell ref="N5:O5"/>
    <mergeCell ref="H5:I5"/>
    <mergeCell ref="H7:I7"/>
    <mergeCell ref="H8:I8"/>
    <mergeCell ref="J8:K8"/>
    <mergeCell ref="A108:B108"/>
    <mergeCell ref="A112:B112"/>
    <mergeCell ref="A116:B116"/>
    <mergeCell ref="T8:U8"/>
    <mergeCell ref="T9:U9"/>
    <mergeCell ref="P8:Q8"/>
    <mergeCell ref="P9:Q9"/>
    <mergeCell ref="R9:S9"/>
    <mergeCell ref="J9:K9"/>
    <mergeCell ref="A104:B104"/>
    <mergeCell ref="A100:B100"/>
    <mergeCell ref="H9:I9"/>
    <mergeCell ref="L9:M9"/>
    <mergeCell ref="N9:O9"/>
    <mergeCell ref="R8:S8"/>
    <mergeCell ref="L8:M8"/>
    <mergeCell ref="X9:Y9"/>
    <mergeCell ref="V4:W4"/>
    <mergeCell ref="V5:W5"/>
    <mergeCell ref="V6:W6"/>
    <mergeCell ref="V7:W7"/>
    <mergeCell ref="V8:W8"/>
    <mergeCell ref="V9:W9"/>
    <mergeCell ref="X4:Y4"/>
    <mergeCell ref="X5:Y5"/>
    <mergeCell ref="X6:Y6"/>
    <mergeCell ref="X7:Y7"/>
    <mergeCell ref="X8:Y8"/>
  </mergeCells>
  <phoneticPr fontId="14" type="noConversion"/>
  <conditionalFormatting sqref="H11:H19">
    <cfRule type="cellIs" dxfId="639" priority="1" operator="equal">
      <formula>"X"</formula>
    </cfRule>
    <cfRule type="cellIs" dxfId="638" priority="2" operator="equal">
      <formula>"I"</formula>
    </cfRule>
  </conditionalFormatting>
  <conditionalFormatting sqref="J11:J19">
    <cfRule type="cellIs" dxfId="637" priority="7" operator="equal">
      <formula>"X"</formula>
    </cfRule>
    <cfRule type="cellIs" dxfId="636" priority="8" operator="equal">
      <formula>"I"</formula>
    </cfRule>
  </conditionalFormatting>
  <conditionalFormatting sqref="L11:L19 N11:N19 P11:P19 R11:R19 T11:T19 H21:H91 J21:J91 L21:L91 N21:N91 P21:P91 R21:R91 T21:T91 V21:V91 X21:X91">
    <cfRule type="cellIs" dxfId="635" priority="21" operator="equal">
      <formula>"X"</formula>
    </cfRule>
    <cfRule type="cellIs" dxfId="634" priority="22" operator="equal">
      <formula>"I"</formula>
    </cfRule>
  </conditionalFormatting>
  <conditionalFormatting sqref="V11:V19">
    <cfRule type="cellIs" dxfId="633" priority="3" operator="equal">
      <formula>"X"</formula>
    </cfRule>
    <cfRule type="cellIs" dxfId="632" priority="4" operator="equal">
      <formula>"I"</formula>
    </cfRule>
  </conditionalFormatting>
  <conditionalFormatting sqref="X11:X19">
    <cfRule type="cellIs" dxfId="631" priority="5" operator="equal">
      <formula>"X"</formula>
    </cfRule>
    <cfRule type="cellIs" dxfId="630" priority="6" operator="equal">
      <formula>"I"</formula>
    </cfRule>
  </conditionalFormatting>
  <hyperlinks>
    <hyperlink ref="B4" location="'Cost Summary'!A1" display="BACK TO SUMMARY SHEET" xr:uid="{1343C82B-AAAD-4C82-B0EB-1C0C3C35AC76}"/>
    <hyperlink ref="H8" r:id="rId1" xr:uid="{C49F2B17-BF89-4188-807D-E374E9C54334}"/>
    <hyperlink ref="L8" r:id="rId2" xr:uid="{8B3D63EC-D678-4869-AEDF-B70F79E20E5C}"/>
    <hyperlink ref="N8" r:id="rId3" xr:uid="{4AEA2A87-F0C8-4D4F-A1BD-2DDC023A369E}"/>
    <hyperlink ref="R8" r:id="rId4" xr:uid="{E53AD12C-29C5-4E73-9413-D0325C8B40D6}"/>
    <hyperlink ref="J8" r:id="rId5" xr:uid="{A8EA62AB-4244-4FBC-A2BA-A6F725CE1A1A}"/>
    <hyperlink ref="P8" r:id="rId6" xr:uid="{200A0DB6-B68D-4A41-B1AB-649267EF4D4B}"/>
  </hyperlinks>
  <printOptions horizontalCentered="1"/>
  <pageMargins left="0.45" right="0.45" top="0.75" bottom="0.75" header="0.3" footer="0.3"/>
  <pageSetup scale="70" orientation="portrait" horizontalDpi="1200" verticalDpi="1200" r:id="rId7"/>
  <ignoredErrors>
    <ignoredError sqref="B7" twoDigitTextYear="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F979-116E-4F4F-ACC0-DB38A8DCA7E4}">
  <sheetPr>
    <tabColor theme="5" tint="0.39997558519241921"/>
  </sheetPr>
  <dimension ref="A1:AO125"/>
  <sheetViews>
    <sheetView zoomScale="91" zoomScaleNormal="91" workbookViewId="0">
      <pane xSplit="2" ySplit="10" topLeftCell="C27" activePane="bottomRight" state="frozen"/>
      <selection pane="topRight" activeCell="C1" sqref="C1"/>
      <selection pane="bottomLeft" activeCell="A20" sqref="A20"/>
      <selection pane="bottomRight" activeCell="I74" sqref="I74"/>
    </sheetView>
  </sheetViews>
  <sheetFormatPr defaultRowHeight="15"/>
  <cols>
    <col min="1" max="1" width="11" customWidth="1"/>
    <col min="2" max="2" width="70.7109375" style="1" customWidth="1"/>
    <col min="3" max="3" width="13.85546875" style="2" bestFit="1" customWidth="1"/>
    <col min="4"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23" t="s">
        <v>912</v>
      </c>
      <c r="I4" s="2323"/>
      <c r="J4" s="2319" t="s">
        <v>687</v>
      </c>
      <c r="K4" s="2319"/>
      <c r="L4" s="2319" t="s">
        <v>688</v>
      </c>
      <c r="M4" s="2319"/>
      <c r="N4" s="2319" t="s">
        <v>689</v>
      </c>
      <c r="O4" s="2319"/>
      <c r="P4" s="2319" t="s">
        <v>690</v>
      </c>
      <c r="Q4" s="2319"/>
      <c r="R4" s="2319" t="s">
        <v>691</v>
      </c>
      <c r="S4" s="2319"/>
      <c r="X4" s="261"/>
    </row>
    <row r="5" spans="1:24" ht="15.75" thickTop="1">
      <c r="A5" s="292" t="s">
        <v>692</v>
      </c>
      <c r="B5" s="299" t="str">
        <f>'Area Calculations'!B4</f>
        <v>ERAU Residential Hall &amp; Garage Building</v>
      </c>
      <c r="C5" s="294"/>
      <c r="D5" s="263"/>
      <c r="E5" s="264"/>
      <c r="F5" s="279"/>
      <c r="G5" s="271" t="s">
        <v>693</v>
      </c>
      <c r="H5" s="2333" t="s">
        <v>242</v>
      </c>
      <c r="I5" s="2333"/>
      <c r="J5" s="2321"/>
      <c r="K5" s="2321"/>
      <c r="L5" s="2321"/>
      <c r="M5" s="2321"/>
      <c r="N5" s="2321"/>
      <c r="O5" s="2321"/>
      <c r="P5" s="2333"/>
      <c r="Q5" s="2333"/>
      <c r="R5" s="2333"/>
      <c r="S5" s="2333"/>
      <c r="X5" s="261"/>
    </row>
    <row r="6" spans="1:24">
      <c r="A6" s="1082" t="s">
        <v>700</v>
      </c>
      <c r="B6" s="1196" t="s">
        <v>294</v>
      </c>
      <c r="C6" s="415"/>
      <c r="D6" s="416"/>
      <c r="E6" s="417"/>
      <c r="F6" s="418"/>
      <c r="G6" s="419" t="s">
        <v>702</v>
      </c>
      <c r="H6" s="2342" t="s">
        <v>913</v>
      </c>
      <c r="I6" s="2342"/>
      <c r="J6" s="2325"/>
      <c r="K6" s="2325"/>
      <c r="L6" s="2325"/>
      <c r="M6" s="2325"/>
      <c r="N6" s="2325"/>
      <c r="O6" s="2325"/>
      <c r="P6" s="2313"/>
      <c r="Q6" s="2313"/>
      <c r="R6" s="2313"/>
      <c r="S6" s="2313"/>
      <c r="X6" s="261"/>
    </row>
    <row r="7" spans="1:24">
      <c r="A7" s="1082" t="s">
        <v>706</v>
      </c>
      <c r="B7" s="1197" t="s">
        <v>293</v>
      </c>
      <c r="C7" s="415"/>
      <c r="D7" s="416"/>
      <c r="E7" s="417"/>
      <c r="F7" s="418"/>
      <c r="G7" s="829" t="s">
        <v>708</v>
      </c>
      <c r="H7" s="2341" t="s">
        <v>914</v>
      </c>
      <c r="I7" s="2341"/>
      <c r="J7" s="2325"/>
      <c r="K7" s="2325"/>
      <c r="L7" s="2325"/>
      <c r="M7" s="2325"/>
      <c r="N7" s="2325"/>
      <c r="O7" s="2325"/>
      <c r="P7" s="2313"/>
      <c r="Q7" s="2313"/>
      <c r="R7" s="2313"/>
      <c r="S7" s="2313"/>
      <c r="X7" s="261"/>
    </row>
    <row r="8" spans="1:24">
      <c r="A8" s="1082" t="s">
        <v>712</v>
      </c>
      <c r="B8" s="1198"/>
      <c r="C8" s="415"/>
      <c r="D8" s="416"/>
      <c r="E8" s="417"/>
      <c r="F8" s="418"/>
      <c r="G8" s="829" t="s">
        <v>713</v>
      </c>
      <c r="H8" s="1259" t="s">
        <v>915</v>
      </c>
      <c r="I8" s="1259"/>
      <c r="J8" s="2329"/>
      <c r="K8" s="2329"/>
      <c r="L8" s="2329"/>
      <c r="M8" s="2329"/>
      <c r="N8" s="2329"/>
      <c r="O8" s="2329"/>
      <c r="P8" s="2315"/>
      <c r="Q8" s="2315"/>
      <c r="R8" s="2315"/>
      <c r="S8" s="2315"/>
      <c r="X8" s="261"/>
    </row>
    <row r="9" spans="1:24">
      <c r="A9" s="420"/>
      <c r="B9" s="421"/>
      <c r="C9" s="23"/>
      <c r="D9" s="265"/>
      <c r="E9" s="266"/>
      <c r="F9" s="283"/>
      <c r="G9" s="284" t="s">
        <v>717</v>
      </c>
      <c r="H9" s="2317">
        <f>I88</f>
        <v>21767756</v>
      </c>
      <c r="I9" s="2317"/>
      <c r="J9" s="2317">
        <f>K88</f>
        <v>0</v>
      </c>
      <c r="K9" s="2317"/>
      <c r="L9" s="2317">
        <f>M88</f>
        <v>0</v>
      </c>
      <c r="M9" s="2317"/>
      <c r="N9" s="2330">
        <f>O88</f>
        <v>0</v>
      </c>
      <c r="O9" s="2330"/>
      <c r="P9" s="2317">
        <f>Q88</f>
        <v>0</v>
      </c>
      <c r="Q9" s="2317"/>
      <c r="R9" s="2317">
        <f>S88</f>
        <v>0</v>
      </c>
      <c r="S9" s="2317"/>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086"/>
      <c r="B11" s="1260" t="s">
        <v>725</v>
      </c>
      <c r="C11" s="1261"/>
      <c r="D11" s="1089"/>
      <c r="E11" s="1089"/>
      <c r="F11" s="1090"/>
      <c r="G11" s="1091"/>
      <c r="H11" s="1262"/>
      <c r="I11" s="1094"/>
      <c r="J11" s="1262"/>
      <c r="K11" s="285"/>
      <c r="L11" s="1262"/>
      <c r="M11" s="1093"/>
      <c r="N11" s="1262"/>
      <c r="O11" s="1093"/>
      <c r="P11" s="1262"/>
      <c r="Q11" s="1093"/>
      <c r="R11" s="1262"/>
      <c r="S11" s="1093"/>
    </row>
    <row r="12" spans="1:24">
      <c r="A12" s="1086"/>
      <c r="B12" s="1263" t="s">
        <v>726</v>
      </c>
      <c r="C12" s="446"/>
      <c r="D12" s="422"/>
      <c r="E12" s="422"/>
      <c r="F12" s="418"/>
      <c r="G12" s="423"/>
      <c r="H12" s="1264" t="s">
        <v>727</v>
      </c>
      <c r="I12" s="1094"/>
      <c r="J12" s="1264"/>
      <c r="K12" s="1093"/>
      <c r="L12" s="1264"/>
      <c r="M12" s="1093"/>
      <c r="N12" s="1264"/>
      <c r="O12" s="1093"/>
      <c r="P12" s="1264"/>
      <c r="Q12" s="1093"/>
      <c r="R12" s="1264"/>
      <c r="S12" s="1093"/>
    </row>
    <row r="13" spans="1:24">
      <c r="A13" s="1097"/>
      <c r="B13" s="1263" t="s">
        <v>728</v>
      </c>
      <c r="C13" s="446"/>
      <c r="D13" s="422"/>
      <c r="E13" s="422"/>
      <c r="F13" s="418"/>
      <c r="G13" s="423"/>
      <c r="H13" s="1264" t="s">
        <v>727</v>
      </c>
      <c r="I13" s="1094"/>
      <c r="J13" s="1264"/>
      <c r="K13" s="1093"/>
      <c r="L13" s="1264"/>
      <c r="M13" s="1093"/>
      <c r="N13" s="1264"/>
      <c r="O13" s="1093"/>
      <c r="P13" s="1264"/>
      <c r="Q13" s="1093"/>
      <c r="R13" s="1264"/>
      <c r="S13" s="1093"/>
    </row>
    <row r="14" spans="1:24">
      <c r="A14" s="1086"/>
      <c r="B14" s="1265" t="s">
        <v>729</v>
      </c>
      <c r="C14" s="446"/>
      <c r="D14" s="422"/>
      <c r="E14" s="422"/>
      <c r="F14" s="418"/>
      <c r="G14" s="423"/>
      <c r="H14" s="1264" t="s">
        <v>730</v>
      </c>
      <c r="I14" s="1094" t="s">
        <v>916</v>
      </c>
      <c r="J14" s="1264"/>
      <c r="K14" s="1093"/>
      <c r="L14" s="1264"/>
      <c r="M14" s="1093"/>
      <c r="N14" s="1264"/>
      <c r="O14" s="1093"/>
      <c r="P14" s="1264"/>
      <c r="Q14" s="1093"/>
      <c r="R14" s="1264"/>
      <c r="S14" s="1093"/>
    </row>
    <row r="15" spans="1:24">
      <c r="A15" s="1097"/>
      <c r="B15" s="1265" t="s">
        <v>731</v>
      </c>
      <c r="C15" s="446"/>
      <c r="D15" s="422"/>
      <c r="E15" s="422"/>
      <c r="F15" s="418"/>
      <c r="G15" s="423"/>
      <c r="H15" s="1264" t="s">
        <v>727</v>
      </c>
      <c r="I15" s="1094"/>
      <c r="J15" s="1264"/>
      <c r="K15" s="1094"/>
      <c r="L15" s="1264"/>
      <c r="M15" s="1094"/>
      <c r="N15" s="1264"/>
      <c r="O15" s="1094"/>
      <c r="P15" s="1264"/>
      <c r="Q15" s="1094"/>
      <c r="R15" s="1264"/>
      <c r="S15" s="1094"/>
    </row>
    <row r="16" spans="1:24">
      <c r="A16" s="1086"/>
      <c r="B16" s="1265" t="s">
        <v>732</v>
      </c>
      <c r="C16" s="446"/>
      <c r="D16" s="422"/>
      <c r="E16" s="422"/>
      <c r="F16" s="418"/>
      <c r="G16" s="423"/>
      <c r="H16" s="1264" t="s">
        <v>727</v>
      </c>
      <c r="I16" s="1094"/>
      <c r="J16" s="1264"/>
      <c r="K16" s="1093"/>
      <c r="L16" s="1264"/>
      <c r="M16" s="1093"/>
      <c r="N16" s="1264"/>
      <c r="O16" s="1093"/>
      <c r="P16" s="1264"/>
      <c r="Q16" s="1093"/>
      <c r="R16" s="1264"/>
      <c r="S16" s="1093"/>
    </row>
    <row r="17" spans="1:41">
      <c r="A17" s="1097"/>
      <c r="B17" s="1265" t="s">
        <v>733</v>
      </c>
      <c r="C17" s="446"/>
      <c r="D17" s="422"/>
      <c r="E17" s="422"/>
      <c r="F17" s="418"/>
      <c r="G17" s="423"/>
      <c r="H17" s="1264" t="s">
        <v>727</v>
      </c>
      <c r="I17" s="1094"/>
      <c r="J17" s="1264"/>
      <c r="K17" s="1093"/>
      <c r="L17" s="1264"/>
      <c r="M17" s="1093"/>
      <c r="N17" s="1264"/>
      <c r="O17" s="1093"/>
      <c r="P17" s="1264"/>
      <c r="Q17" s="1093"/>
      <c r="R17" s="1264"/>
      <c r="S17" s="1093"/>
    </row>
    <row r="18" spans="1:41">
      <c r="A18" s="1086"/>
      <c r="B18" s="534" t="s">
        <v>734</v>
      </c>
      <c r="C18" s="446"/>
      <c r="D18" s="422"/>
      <c r="E18" s="422"/>
      <c r="F18" s="418"/>
      <c r="G18" s="423"/>
      <c r="H18" s="1264" t="s">
        <v>730</v>
      </c>
      <c r="I18" s="1094" t="s">
        <v>917</v>
      </c>
      <c r="J18" s="1264"/>
      <c r="K18" s="1093"/>
      <c r="L18" s="1264"/>
      <c r="M18" s="1093"/>
      <c r="N18" s="1264"/>
      <c r="O18" s="1093"/>
      <c r="P18" s="1264"/>
      <c r="Q18" s="1093"/>
      <c r="R18" s="1264"/>
      <c r="S18" s="1093"/>
    </row>
    <row r="19" spans="1:41">
      <c r="A19" s="1086"/>
      <c r="B19" s="1154" t="s">
        <v>736</v>
      </c>
      <c r="C19" s="446"/>
      <c r="D19" s="422"/>
      <c r="E19" s="422"/>
      <c r="F19" s="418"/>
      <c r="G19" s="423"/>
      <c r="H19" s="1264"/>
      <c r="I19" s="1094"/>
      <c r="J19" s="1264"/>
      <c r="K19" s="1093"/>
      <c r="L19" s="1264"/>
      <c r="M19" s="1093"/>
      <c r="N19" s="1264"/>
      <c r="O19" s="1093"/>
      <c r="P19" s="1264"/>
      <c r="Q19" s="1093"/>
      <c r="R19" s="1264"/>
      <c r="S19" s="1093"/>
    </row>
    <row r="20" spans="1:41">
      <c r="A20" s="1097"/>
      <c r="B20" s="1266" t="s">
        <v>737</v>
      </c>
      <c r="C20" s="447"/>
      <c r="D20" s="425"/>
      <c r="E20" s="425"/>
      <c r="F20" s="426"/>
      <c r="G20" s="427"/>
      <c r="H20" s="1156"/>
      <c r="I20" s="1236">
        <v>20274020</v>
      </c>
      <c r="J20" s="1156"/>
      <c r="K20" s="1237"/>
      <c r="L20" s="1156"/>
      <c r="M20" s="1237"/>
      <c r="N20" s="1156"/>
      <c r="O20" s="1237"/>
      <c r="P20" s="1156"/>
      <c r="Q20" s="1237"/>
      <c r="R20" s="1156"/>
      <c r="S20" s="1237"/>
    </row>
    <row r="21" spans="1:41">
      <c r="A21" s="1086"/>
      <c r="B21" s="1267" t="s">
        <v>918</v>
      </c>
      <c r="C21" s="70"/>
      <c r="D21" s="86"/>
      <c r="E21" s="86"/>
      <c r="F21" s="280"/>
      <c r="G21" s="274"/>
      <c r="H21" s="1264"/>
      <c r="I21" s="428"/>
      <c r="J21" s="1264"/>
      <c r="K21" s="428"/>
      <c r="L21" s="1264"/>
      <c r="M21" s="428"/>
      <c r="N21" s="1264"/>
      <c r="O21" s="428"/>
      <c r="P21" s="1264"/>
      <c r="Q21" s="428"/>
      <c r="R21" s="1264"/>
      <c r="S21" s="428"/>
    </row>
    <row r="22" spans="1:41" s="69" customFormat="1">
      <c r="A22" s="1097"/>
      <c r="B22" s="1105" t="s">
        <v>919</v>
      </c>
      <c r="C22" s="415" t="s">
        <v>920</v>
      </c>
      <c r="D22" s="455">
        <v>16</v>
      </c>
      <c r="E22" s="422"/>
      <c r="F22" s="429"/>
      <c r="G22" s="423"/>
      <c r="H22" s="1264" t="s">
        <v>727</v>
      </c>
      <c r="I22" s="1107"/>
      <c r="J22" s="1264"/>
      <c r="K22" s="1106"/>
      <c r="L22" s="1264"/>
      <c r="M22" s="1106"/>
      <c r="N22" s="1264"/>
      <c r="O22" s="1107"/>
      <c r="P22" s="1264"/>
      <c r="Q22" s="1107"/>
      <c r="R22" s="1264"/>
      <c r="S22" s="1106"/>
      <c r="T22"/>
      <c r="U22"/>
      <c r="V22"/>
      <c r="W22"/>
      <c r="X22"/>
      <c r="Y22"/>
      <c r="Z22"/>
      <c r="AA22"/>
      <c r="AB22"/>
      <c r="AC22"/>
      <c r="AD22"/>
      <c r="AE22"/>
      <c r="AF22"/>
      <c r="AG22"/>
      <c r="AH22"/>
      <c r="AI22"/>
      <c r="AJ22"/>
      <c r="AK22"/>
      <c r="AL22"/>
      <c r="AM22"/>
      <c r="AN22"/>
      <c r="AO22"/>
    </row>
    <row r="23" spans="1:41">
      <c r="A23" s="1086"/>
      <c r="B23" s="1268" t="s">
        <v>921</v>
      </c>
      <c r="C23" s="415" t="s">
        <v>922</v>
      </c>
      <c r="D23" s="455"/>
      <c r="E23" s="422"/>
      <c r="F23" s="431"/>
      <c r="G23" s="1162"/>
      <c r="H23" s="1264" t="s">
        <v>727</v>
      </c>
      <c r="I23" s="1093"/>
      <c r="J23" s="1264"/>
      <c r="K23" s="1093"/>
      <c r="L23" s="1264"/>
      <c r="M23" s="1093"/>
      <c r="N23" s="1264"/>
      <c r="O23" s="1093"/>
      <c r="P23" s="1264"/>
      <c r="Q23" s="1093"/>
      <c r="R23" s="1264"/>
      <c r="S23" s="1093"/>
    </row>
    <row r="24" spans="1:41">
      <c r="A24" s="1086"/>
      <c r="B24" s="1268" t="s">
        <v>923</v>
      </c>
      <c r="C24" s="415" t="s">
        <v>922</v>
      </c>
      <c r="D24" s="455"/>
      <c r="E24" s="1089"/>
      <c r="F24" s="1161"/>
      <c r="G24" s="1162"/>
      <c r="H24" s="1264" t="s">
        <v>727</v>
      </c>
      <c r="I24" s="1093"/>
      <c r="J24" s="1264"/>
      <c r="K24" s="1093"/>
      <c r="L24" s="1264"/>
      <c r="M24" s="1093"/>
      <c r="N24" s="1264"/>
      <c r="O24" s="1093"/>
      <c r="P24" s="1264"/>
      <c r="Q24" s="1093"/>
      <c r="R24" s="1264"/>
      <c r="S24" s="1093"/>
    </row>
    <row r="25" spans="1:41">
      <c r="A25" s="1097"/>
      <c r="B25" s="1268" t="s">
        <v>924</v>
      </c>
      <c r="C25" s="415" t="s">
        <v>925</v>
      </c>
      <c r="D25" s="455"/>
      <c r="E25" s="422"/>
      <c r="F25" s="431"/>
      <c r="G25" s="1162"/>
      <c r="H25" s="1264" t="s">
        <v>727</v>
      </c>
      <c r="I25" s="1093"/>
      <c r="J25" s="1264"/>
      <c r="K25" s="1093"/>
      <c r="L25" s="1264"/>
      <c r="M25" s="1093"/>
      <c r="N25" s="1264"/>
      <c r="O25" s="1093"/>
      <c r="P25" s="1264"/>
      <c r="Q25" s="1093"/>
      <c r="R25" s="1264"/>
      <c r="S25" s="1093"/>
    </row>
    <row r="26" spans="1:41">
      <c r="A26" s="1086"/>
      <c r="B26" s="1268" t="s">
        <v>926</v>
      </c>
      <c r="C26" s="415" t="s">
        <v>927</v>
      </c>
      <c r="D26" s="455"/>
      <c r="E26" s="422"/>
      <c r="F26" s="431"/>
      <c r="G26" s="1162"/>
      <c r="H26" s="1264" t="s">
        <v>727</v>
      </c>
      <c r="I26" s="1093"/>
      <c r="J26" s="1264"/>
      <c r="K26" s="1093"/>
      <c r="L26" s="1264"/>
      <c r="M26" s="1093"/>
      <c r="N26" s="1264"/>
      <c r="O26" s="1093"/>
      <c r="P26" s="1264"/>
      <c r="Q26" s="1093"/>
      <c r="R26" s="1264"/>
      <c r="S26" s="1093"/>
    </row>
    <row r="27" spans="1:41">
      <c r="A27" s="1086"/>
      <c r="B27" s="1163" t="s">
        <v>928</v>
      </c>
      <c r="C27" s="415" t="s">
        <v>929</v>
      </c>
      <c r="D27" s="455"/>
      <c r="E27" s="422"/>
      <c r="F27" s="431"/>
      <c r="G27" s="1162"/>
      <c r="H27" s="1264" t="s">
        <v>727</v>
      </c>
      <c r="I27" s="1093"/>
      <c r="J27" s="1264"/>
      <c r="K27" s="1093"/>
      <c r="L27" s="1264"/>
      <c r="M27" s="1093"/>
      <c r="N27" s="1264"/>
      <c r="O27" s="1093"/>
      <c r="P27" s="1264"/>
      <c r="Q27" s="1093"/>
      <c r="R27" s="1264"/>
      <c r="S27" s="1093"/>
    </row>
    <row r="28" spans="1:41">
      <c r="A28" s="1086"/>
      <c r="B28" s="1163" t="s">
        <v>930</v>
      </c>
      <c r="C28" s="415"/>
      <c r="D28" s="455"/>
      <c r="E28" s="86"/>
      <c r="F28" s="431"/>
      <c r="G28" s="1162"/>
      <c r="H28" s="1264" t="s">
        <v>727</v>
      </c>
      <c r="I28" s="1093"/>
      <c r="J28" s="1264"/>
      <c r="K28" s="1093"/>
      <c r="L28" s="1264"/>
      <c r="M28" s="1093"/>
      <c r="N28" s="1264"/>
      <c r="O28" s="1093"/>
      <c r="P28" s="1264"/>
      <c r="Q28" s="1093"/>
      <c r="R28" s="1264"/>
      <c r="S28" s="1093"/>
    </row>
    <row r="29" spans="1:41">
      <c r="A29" s="1097"/>
      <c r="B29" s="1163" t="s">
        <v>931</v>
      </c>
      <c r="C29" s="415" t="s">
        <v>929</v>
      </c>
      <c r="D29" s="455"/>
      <c r="E29" s="86"/>
      <c r="F29" s="431"/>
      <c r="G29" s="1162"/>
      <c r="H29" s="1264" t="s">
        <v>727</v>
      </c>
      <c r="I29" s="1093"/>
      <c r="J29" s="1264"/>
      <c r="K29" s="1093"/>
      <c r="L29" s="1264"/>
      <c r="M29" s="1093"/>
      <c r="N29" s="1264"/>
      <c r="O29" s="1093"/>
      <c r="P29" s="1264"/>
      <c r="Q29" s="1093"/>
      <c r="R29" s="1264"/>
      <c r="S29" s="1093"/>
    </row>
    <row r="30" spans="1:41">
      <c r="A30" s="1086"/>
      <c r="B30" s="1163" t="s">
        <v>932</v>
      </c>
      <c r="C30" s="415" t="s">
        <v>929</v>
      </c>
      <c r="D30" s="455"/>
      <c r="E30" s="86"/>
      <c r="F30" s="431"/>
      <c r="G30" s="1162"/>
      <c r="H30" s="1264" t="s">
        <v>727</v>
      </c>
      <c r="I30" s="1093"/>
      <c r="J30" s="1264"/>
      <c r="K30" s="1093"/>
      <c r="L30" s="1264"/>
      <c r="M30" s="1093"/>
      <c r="N30" s="1264"/>
      <c r="O30" s="1093"/>
      <c r="P30" s="1264"/>
      <c r="Q30" s="1093"/>
      <c r="R30" s="1264"/>
      <c r="S30" s="1093"/>
    </row>
    <row r="31" spans="1:41">
      <c r="A31" s="1086"/>
      <c r="B31" s="1163" t="s">
        <v>933</v>
      </c>
      <c r="C31" s="415" t="s">
        <v>929</v>
      </c>
      <c r="D31" s="455"/>
      <c r="E31" s="86"/>
      <c r="F31" s="431"/>
      <c r="G31" s="1162"/>
      <c r="H31" s="1264" t="s">
        <v>727</v>
      </c>
      <c r="I31" s="1093"/>
      <c r="J31" s="1264"/>
      <c r="K31" s="1093"/>
      <c r="L31" s="1264"/>
      <c r="M31" s="1093"/>
      <c r="N31" s="1264"/>
      <c r="O31" s="1093"/>
      <c r="P31" s="1264"/>
      <c r="Q31" s="1093"/>
      <c r="R31" s="1264"/>
      <c r="S31" s="1093"/>
    </row>
    <row r="32" spans="1:41">
      <c r="A32" s="1086"/>
      <c r="B32" s="1163"/>
      <c r="C32" s="415"/>
      <c r="D32" s="455"/>
      <c r="E32" s="86"/>
      <c r="F32" s="1161"/>
      <c r="G32" s="1269"/>
      <c r="H32" s="1264"/>
      <c r="I32" s="1270"/>
      <c r="J32" s="1264"/>
      <c r="K32" s="1093"/>
      <c r="L32" s="1264"/>
      <c r="M32" s="1093"/>
      <c r="N32" s="1264"/>
      <c r="O32" s="1270"/>
      <c r="P32" s="1264"/>
      <c r="Q32" s="1270"/>
      <c r="R32" s="1264"/>
      <c r="S32" s="1093"/>
    </row>
    <row r="33" spans="1:19">
      <c r="A33" s="1086"/>
      <c r="B33" s="1271" t="s">
        <v>934</v>
      </c>
      <c r="C33" s="415"/>
      <c r="D33" s="455"/>
      <c r="E33" s="86"/>
      <c r="F33" s="1161"/>
      <c r="G33" s="1269"/>
      <c r="H33" s="1264"/>
      <c r="I33" s="1270"/>
      <c r="J33" s="1264"/>
      <c r="K33" s="1093"/>
      <c r="L33" s="1264"/>
      <c r="M33" s="1093"/>
      <c r="N33" s="1264"/>
      <c r="O33" s="1270"/>
      <c r="P33" s="1264"/>
      <c r="Q33" s="1270"/>
      <c r="R33" s="1264"/>
      <c r="S33" s="1093"/>
    </row>
    <row r="34" spans="1:19">
      <c r="A34" s="1086"/>
      <c r="B34" s="1105" t="s">
        <v>935</v>
      </c>
      <c r="C34" s="415" t="s">
        <v>936</v>
      </c>
      <c r="D34" s="455">
        <v>4</v>
      </c>
      <c r="E34" s="86"/>
      <c r="F34" s="1272"/>
      <c r="G34" s="1091"/>
      <c r="H34" s="1264" t="s">
        <v>727</v>
      </c>
      <c r="I34" s="1270"/>
      <c r="J34" s="1264"/>
      <c r="K34" s="1093"/>
      <c r="L34" s="1264"/>
      <c r="M34" s="1093"/>
      <c r="N34" s="1264"/>
      <c r="O34" s="1270"/>
      <c r="P34" s="1264"/>
      <c r="Q34" s="1270"/>
      <c r="R34" s="1264"/>
      <c r="S34" s="1093"/>
    </row>
    <row r="35" spans="1:19">
      <c r="A35" s="1086"/>
      <c r="B35" s="1105" t="s">
        <v>937</v>
      </c>
      <c r="C35" s="415" t="s">
        <v>936</v>
      </c>
      <c r="D35" s="455">
        <v>4</v>
      </c>
      <c r="E35" s="86"/>
      <c r="F35" s="1272"/>
      <c r="G35" s="1091"/>
      <c r="H35" s="1264" t="s">
        <v>727</v>
      </c>
      <c r="I35" s="1270"/>
      <c r="J35" s="1264"/>
      <c r="K35" s="1093"/>
      <c r="L35" s="1264"/>
      <c r="M35" s="1093"/>
      <c r="N35" s="1264"/>
      <c r="O35" s="1270"/>
      <c r="P35" s="1264"/>
      <c r="Q35" s="1270"/>
      <c r="R35" s="1264"/>
      <c r="S35" s="1093"/>
    </row>
    <row r="36" spans="1:19">
      <c r="A36" s="1097"/>
      <c r="B36" s="1268" t="s">
        <v>938</v>
      </c>
      <c r="C36" s="415" t="s">
        <v>939</v>
      </c>
      <c r="D36" s="455">
        <v>242000</v>
      </c>
      <c r="E36" s="422" t="s">
        <v>843</v>
      </c>
      <c r="F36" s="431"/>
      <c r="G36" s="1162"/>
      <c r="H36" s="1264" t="s">
        <v>727</v>
      </c>
      <c r="I36" s="1093"/>
      <c r="J36" s="1264"/>
      <c r="K36" s="1093"/>
      <c r="L36" s="1264"/>
      <c r="M36" s="1093"/>
      <c r="N36" s="1264"/>
      <c r="O36" s="1093"/>
      <c r="P36" s="1264"/>
      <c r="Q36" s="1093"/>
      <c r="R36" s="1264"/>
      <c r="S36" s="1093"/>
    </row>
    <row r="37" spans="1:19">
      <c r="A37" s="1097"/>
      <c r="B37" s="1268" t="s">
        <v>940</v>
      </c>
      <c r="C37" s="415" t="s">
        <v>922</v>
      </c>
      <c r="D37" s="456"/>
      <c r="E37" s="422"/>
      <c r="F37" s="431"/>
      <c r="G37" s="1162"/>
      <c r="H37" s="1264" t="s">
        <v>727</v>
      </c>
      <c r="I37" s="1093"/>
      <c r="J37" s="1264"/>
      <c r="K37" s="1093"/>
      <c r="L37" s="1264"/>
      <c r="M37" s="1093"/>
      <c r="N37" s="1264"/>
      <c r="O37" s="1093"/>
      <c r="P37" s="1264"/>
      <c r="Q37" s="1093"/>
      <c r="R37" s="1264"/>
      <c r="S37" s="1093"/>
    </row>
    <row r="38" spans="1:19">
      <c r="A38" s="1086"/>
      <c r="B38" s="1268" t="s">
        <v>941</v>
      </c>
      <c r="C38" s="415" t="s">
        <v>922</v>
      </c>
      <c r="D38" s="455"/>
      <c r="E38" s="422"/>
      <c r="F38" s="431"/>
      <c r="G38" s="1162"/>
      <c r="H38" s="1264" t="s">
        <v>727</v>
      </c>
      <c r="I38" s="1093"/>
      <c r="J38" s="1264"/>
      <c r="K38" s="1093"/>
      <c r="L38" s="1264"/>
      <c r="M38" s="1093"/>
      <c r="N38" s="1264"/>
      <c r="O38" s="1093"/>
      <c r="P38" s="1264"/>
      <c r="Q38" s="1093"/>
      <c r="R38" s="1264"/>
      <c r="S38" s="1093"/>
    </row>
    <row r="39" spans="1:19">
      <c r="A39" s="1086"/>
      <c r="B39" s="1268" t="s">
        <v>942</v>
      </c>
      <c r="C39" s="415" t="s">
        <v>922</v>
      </c>
      <c r="D39" s="455"/>
      <c r="E39" s="422"/>
      <c r="F39" s="431"/>
      <c r="G39" s="1162"/>
      <c r="H39" s="1264" t="s">
        <v>727</v>
      </c>
      <c r="I39" s="1093"/>
      <c r="J39" s="1264"/>
      <c r="K39" s="1093"/>
      <c r="L39" s="1264"/>
      <c r="M39" s="1093"/>
      <c r="N39" s="1264"/>
      <c r="O39" s="1093"/>
      <c r="P39" s="1264"/>
      <c r="Q39" s="1093"/>
      <c r="R39" s="1264"/>
      <c r="S39" s="1093"/>
    </row>
    <row r="40" spans="1:19">
      <c r="A40" s="1097"/>
      <c r="B40" s="1268" t="s">
        <v>943</v>
      </c>
      <c r="C40" s="415" t="s">
        <v>944</v>
      </c>
      <c r="D40" s="455"/>
      <c r="E40" s="422"/>
      <c r="F40" s="431"/>
      <c r="G40" s="1162"/>
      <c r="H40" s="1264" t="s">
        <v>727</v>
      </c>
      <c r="I40" s="1093"/>
      <c r="J40" s="1264"/>
      <c r="K40" s="1093"/>
      <c r="L40" s="1264"/>
      <c r="M40" s="1093"/>
      <c r="N40" s="1264"/>
      <c r="O40" s="1093"/>
      <c r="P40" s="1264"/>
      <c r="Q40" s="1093"/>
      <c r="R40" s="1264"/>
      <c r="S40" s="1093"/>
    </row>
    <row r="41" spans="1:19">
      <c r="A41" s="1086"/>
      <c r="B41" s="1268" t="s">
        <v>945</v>
      </c>
      <c r="C41" s="415" t="s">
        <v>922</v>
      </c>
      <c r="D41" s="455"/>
      <c r="E41" s="422"/>
      <c r="F41" s="431"/>
      <c r="G41" s="1162"/>
      <c r="H41" s="1264" t="s">
        <v>727</v>
      </c>
      <c r="I41" s="1093"/>
      <c r="J41" s="1264"/>
      <c r="K41" s="1093"/>
      <c r="L41" s="1264"/>
      <c r="M41" s="1093"/>
      <c r="N41" s="1264"/>
      <c r="O41" s="1093"/>
      <c r="P41" s="1264"/>
      <c r="Q41" s="1093"/>
      <c r="R41" s="1264"/>
      <c r="S41" s="1093"/>
    </row>
    <row r="42" spans="1:19">
      <c r="A42" s="1097"/>
      <c r="B42" s="1268" t="s">
        <v>946</v>
      </c>
      <c r="C42" s="415" t="s">
        <v>922</v>
      </c>
      <c r="D42" s="455"/>
      <c r="E42" s="422"/>
      <c r="F42" s="431"/>
      <c r="G42" s="1162"/>
      <c r="H42" s="1264" t="s">
        <v>727</v>
      </c>
      <c r="I42" s="1093"/>
      <c r="J42" s="1264"/>
      <c r="K42" s="1093"/>
      <c r="L42" s="1264"/>
      <c r="M42" s="1093"/>
      <c r="N42" s="1264"/>
      <c r="O42" s="1093"/>
      <c r="P42" s="1264"/>
      <c r="Q42" s="1093"/>
      <c r="R42" s="1264"/>
      <c r="S42" s="1093"/>
    </row>
    <row r="43" spans="1:19">
      <c r="A43" s="1086"/>
      <c r="B43" s="1163" t="s">
        <v>947</v>
      </c>
      <c r="C43" s="415" t="s">
        <v>929</v>
      </c>
      <c r="D43" s="455"/>
      <c r="E43" s="422"/>
      <c r="F43" s="431"/>
      <c r="G43" s="1162"/>
      <c r="H43" s="1264" t="s">
        <v>727</v>
      </c>
      <c r="I43" s="1093"/>
      <c r="J43" s="1264"/>
      <c r="K43" s="1093"/>
      <c r="L43" s="1264"/>
      <c r="M43" s="1093"/>
      <c r="N43" s="1264"/>
      <c r="O43" s="1093"/>
      <c r="P43" s="1264"/>
      <c r="Q43" s="1093"/>
      <c r="R43" s="1264"/>
      <c r="S43" s="1093"/>
    </row>
    <row r="44" spans="1:19">
      <c r="A44" s="1086"/>
      <c r="B44" s="1163" t="s">
        <v>948</v>
      </c>
      <c r="C44" s="415"/>
      <c r="D44" s="455"/>
      <c r="E44" s="86"/>
      <c r="F44" s="431"/>
      <c r="G44" s="1162"/>
      <c r="H44" s="1264" t="s">
        <v>727</v>
      </c>
      <c r="I44" s="1093"/>
      <c r="J44" s="1264"/>
      <c r="K44" s="1093"/>
      <c r="L44" s="1264"/>
      <c r="M44" s="1093"/>
      <c r="N44" s="1264"/>
      <c r="O44" s="1093"/>
      <c r="P44" s="1264"/>
      <c r="Q44" s="1093"/>
      <c r="R44" s="1264"/>
      <c r="S44" s="1093"/>
    </row>
    <row r="45" spans="1:19">
      <c r="A45" s="1086"/>
      <c r="B45" s="1163" t="s">
        <v>949</v>
      </c>
      <c r="C45" s="415" t="s">
        <v>929</v>
      </c>
      <c r="D45" s="455"/>
      <c r="E45" s="86"/>
      <c r="F45" s="431"/>
      <c r="G45" s="1162"/>
      <c r="H45" s="1264" t="s">
        <v>727</v>
      </c>
      <c r="I45" s="1093"/>
      <c r="J45" s="1264"/>
      <c r="K45" s="1093"/>
      <c r="L45" s="1264"/>
      <c r="M45" s="1093"/>
      <c r="N45" s="1264"/>
      <c r="O45" s="1093"/>
      <c r="P45" s="1264"/>
      <c r="Q45" s="1093"/>
      <c r="R45" s="1264"/>
      <c r="S45" s="1093"/>
    </row>
    <row r="46" spans="1:19">
      <c r="A46" s="1086"/>
      <c r="B46" s="1163" t="s">
        <v>950</v>
      </c>
      <c r="C46" s="23"/>
      <c r="D46" s="455"/>
      <c r="E46" s="86"/>
      <c r="F46" s="431"/>
      <c r="G46" s="1162"/>
      <c r="H46" s="1264" t="s">
        <v>727</v>
      </c>
      <c r="I46" s="1093"/>
      <c r="J46" s="1264"/>
      <c r="K46" s="1093"/>
      <c r="L46" s="1264"/>
      <c r="M46" s="1093"/>
      <c r="N46" s="1264"/>
      <c r="O46" s="1093"/>
      <c r="P46" s="1264"/>
      <c r="Q46" s="1093"/>
      <c r="R46" s="1264"/>
      <c r="S46" s="1093"/>
    </row>
    <row r="47" spans="1:19">
      <c r="A47" s="1086"/>
      <c r="B47" s="1163"/>
      <c r="C47" s="23"/>
      <c r="D47" s="455"/>
      <c r="E47" s="86"/>
      <c r="F47" s="431"/>
      <c r="G47" s="1162"/>
      <c r="H47" s="1264"/>
      <c r="I47" s="1093"/>
      <c r="J47" s="1264"/>
      <c r="K47" s="1093"/>
      <c r="L47" s="1264"/>
      <c r="M47" s="1093"/>
      <c r="N47" s="1264"/>
      <c r="O47" s="1093"/>
      <c r="P47" s="1264"/>
      <c r="Q47" s="1093"/>
      <c r="R47" s="1264"/>
      <c r="S47" s="1093"/>
    </row>
    <row r="48" spans="1:19">
      <c r="A48" s="1086"/>
      <c r="B48" s="1163" t="s">
        <v>951</v>
      </c>
      <c r="C48" s="23"/>
      <c r="D48" s="455"/>
      <c r="E48" s="86"/>
      <c r="F48" s="431"/>
      <c r="G48" s="1162"/>
      <c r="H48" s="1273" t="s">
        <v>727</v>
      </c>
      <c r="I48" s="1093"/>
      <c r="J48" s="1264"/>
      <c r="K48" s="1093"/>
      <c r="L48" s="1264"/>
      <c r="M48" s="1093"/>
      <c r="N48" s="1264"/>
      <c r="O48" s="1093"/>
      <c r="P48" s="1264"/>
      <c r="Q48" s="1093"/>
      <c r="R48" s="1264"/>
      <c r="S48" s="1093"/>
    </row>
    <row r="49" spans="1:19">
      <c r="A49" s="1086"/>
      <c r="B49" s="1163" t="s">
        <v>952</v>
      </c>
      <c r="C49" s="23" t="s">
        <v>953</v>
      </c>
      <c r="D49" s="455">
        <v>24</v>
      </c>
      <c r="E49" s="86"/>
      <c r="F49" s="431"/>
      <c r="G49" s="1162"/>
      <c r="H49" s="1273" t="s">
        <v>727</v>
      </c>
      <c r="I49" s="1093"/>
      <c r="J49" s="1264"/>
      <c r="K49" s="1093"/>
      <c r="L49" s="1264"/>
      <c r="M49" s="1093"/>
      <c r="N49" s="1264"/>
      <c r="O49" s="1093"/>
      <c r="P49" s="1264"/>
      <c r="Q49" s="1093"/>
      <c r="R49" s="1264"/>
      <c r="S49" s="1093"/>
    </row>
    <row r="50" spans="1:19">
      <c r="A50" s="1086"/>
      <c r="B50" s="1163" t="s">
        <v>954</v>
      </c>
      <c r="C50" s="23" t="s">
        <v>955</v>
      </c>
      <c r="D50" s="379">
        <v>24</v>
      </c>
      <c r="E50" s="86"/>
      <c r="F50" s="431"/>
      <c r="G50" s="1162"/>
      <c r="H50" s="1273" t="s">
        <v>727</v>
      </c>
      <c r="I50" s="1093"/>
      <c r="J50" s="1264"/>
      <c r="K50" s="1093"/>
      <c r="L50" s="1264"/>
      <c r="M50" s="1093"/>
      <c r="N50" s="1264"/>
      <c r="O50" s="1093"/>
      <c r="P50" s="1264"/>
      <c r="Q50" s="1093"/>
      <c r="R50" s="1264"/>
      <c r="S50" s="1093"/>
    </row>
    <row r="51" spans="1:19">
      <c r="A51" s="1086"/>
      <c r="B51" s="1163" t="s">
        <v>956</v>
      </c>
      <c r="C51" s="23" t="s">
        <v>957</v>
      </c>
      <c r="D51" s="378"/>
      <c r="E51" s="86"/>
      <c r="F51" s="431"/>
      <c r="G51" s="1162"/>
      <c r="H51" s="1264"/>
      <c r="I51" s="1093"/>
      <c r="J51" s="1264"/>
      <c r="K51" s="1093"/>
      <c r="L51" s="1264"/>
      <c r="M51" s="1093"/>
      <c r="N51" s="1264"/>
      <c r="O51" s="1093"/>
      <c r="P51" s="1264"/>
      <c r="Q51" s="1093"/>
      <c r="R51" s="1264"/>
      <c r="S51" s="1093"/>
    </row>
    <row r="52" spans="1:19">
      <c r="A52" s="1086"/>
      <c r="B52" s="1163"/>
      <c r="C52" s="23"/>
      <c r="D52" s="378"/>
      <c r="E52" s="86"/>
      <c r="F52" s="431"/>
      <c r="G52" s="1162"/>
      <c r="H52" s="1264"/>
      <c r="I52" s="1093"/>
      <c r="J52" s="1264"/>
      <c r="K52" s="1093"/>
      <c r="L52" s="1264"/>
      <c r="M52" s="1093"/>
      <c r="N52" s="1264"/>
      <c r="O52" s="1093"/>
      <c r="P52" s="1264"/>
      <c r="Q52" s="1093"/>
      <c r="R52" s="1264"/>
      <c r="S52" s="1093"/>
    </row>
    <row r="53" spans="1:19">
      <c r="A53" s="1086"/>
      <c r="B53" s="1163"/>
      <c r="C53" s="23"/>
      <c r="D53" s="378"/>
      <c r="E53" s="86"/>
      <c r="F53" s="431"/>
      <c r="G53" s="1162"/>
      <c r="H53" s="1264"/>
      <c r="I53" s="1093"/>
      <c r="J53" s="1264"/>
      <c r="K53" s="1093"/>
      <c r="L53" s="1264"/>
      <c r="M53" s="1093"/>
      <c r="N53" s="1264"/>
      <c r="O53" s="1093"/>
      <c r="P53" s="1264"/>
      <c r="Q53" s="1093"/>
      <c r="R53" s="1264"/>
      <c r="S53" s="1093"/>
    </row>
    <row r="54" spans="1:19">
      <c r="A54" s="1086"/>
      <c r="B54" s="1163"/>
      <c r="C54" s="23"/>
      <c r="D54" s="378"/>
      <c r="E54" s="86"/>
      <c r="F54" s="431"/>
      <c r="G54" s="1162"/>
      <c r="H54" s="1264"/>
      <c r="I54" s="1093"/>
      <c r="J54" s="1264"/>
      <c r="K54" s="1093"/>
      <c r="L54" s="1264"/>
      <c r="M54" s="1093"/>
      <c r="N54" s="1264"/>
      <c r="O54" s="1093"/>
      <c r="P54" s="1264"/>
      <c r="Q54" s="1093"/>
      <c r="R54" s="1264"/>
      <c r="S54" s="1093"/>
    </row>
    <row r="55" spans="1:19">
      <c r="A55" s="1086"/>
      <c r="B55" s="1271" t="s">
        <v>958</v>
      </c>
      <c r="C55" s="23"/>
      <c r="D55" s="378"/>
      <c r="E55" s="86"/>
      <c r="F55" s="431"/>
      <c r="G55" s="1162"/>
      <c r="H55" s="1264"/>
      <c r="I55" s="1093"/>
      <c r="J55" s="1264"/>
      <c r="K55" s="1093"/>
      <c r="L55" s="1264"/>
      <c r="M55" s="1093"/>
      <c r="N55" s="1264"/>
      <c r="O55" s="1093"/>
      <c r="P55" s="1264"/>
      <c r="Q55" s="1093"/>
      <c r="R55" s="1264"/>
      <c r="S55" s="1093"/>
    </row>
    <row r="56" spans="1:19" ht="48" customHeight="1">
      <c r="A56" s="1086"/>
      <c r="B56" s="1274" t="s">
        <v>959</v>
      </c>
      <c r="C56" s="23"/>
      <c r="D56" s="378"/>
      <c r="E56" s="86"/>
      <c r="F56" s="431"/>
      <c r="G56" s="1162"/>
      <c r="H56" s="1264" t="s">
        <v>727</v>
      </c>
      <c r="I56" s="1093">
        <v>414666</v>
      </c>
      <c r="J56" s="1264"/>
      <c r="K56" s="1093"/>
      <c r="L56" s="1264"/>
      <c r="M56" s="1093"/>
      <c r="N56" s="1264"/>
      <c r="O56" s="1093"/>
      <c r="P56" s="1264"/>
      <c r="Q56" s="1093"/>
      <c r="R56" s="1264"/>
      <c r="S56" s="1093"/>
    </row>
    <row r="57" spans="1:19" ht="30" customHeight="1">
      <c r="A57" s="1086"/>
      <c r="B57" s="1274" t="s">
        <v>960</v>
      </c>
      <c r="C57" s="23"/>
      <c r="D57" s="378"/>
      <c r="E57" s="86"/>
      <c r="F57" s="431"/>
      <c r="G57" s="1162"/>
      <c r="H57" s="1264" t="s">
        <v>727</v>
      </c>
      <c r="I57" s="1093"/>
      <c r="J57" s="1264"/>
      <c r="K57" s="1093"/>
      <c r="L57" s="1264"/>
      <c r="M57" s="1093"/>
      <c r="N57" s="1264"/>
      <c r="O57" s="1093"/>
      <c r="P57" s="1264"/>
      <c r="Q57" s="1093"/>
      <c r="R57" s="1264"/>
      <c r="S57" s="1093"/>
    </row>
    <row r="58" spans="1:19">
      <c r="A58" s="1086"/>
      <c r="B58" s="1163" t="s">
        <v>961</v>
      </c>
      <c r="C58" s="23"/>
      <c r="D58" s="378"/>
      <c r="E58" s="86"/>
      <c r="F58" s="431"/>
      <c r="G58" s="1162"/>
      <c r="H58" s="1264" t="s">
        <v>727</v>
      </c>
      <c r="I58" s="1093">
        <v>104830</v>
      </c>
      <c r="J58" s="1264"/>
      <c r="K58" s="1093"/>
      <c r="L58" s="1264"/>
      <c r="M58" s="1093"/>
      <c r="N58" s="1264"/>
      <c r="O58" s="1093"/>
      <c r="P58" s="1264"/>
      <c r="Q58" s="1093"/>
      <c r="R58" s="1264"/>
      <c r="S58" s="1093"/>
    </row>
    <row r="59" spans="1:19">
      <c r="A59" s="1086"/>
      <c r="B59" s="1274" t="s">
        <v>962</v>
      </c>
      <c r="C59" s="23"/>
      <c r="D59" s="378"/>
      <c r="E59" s="86"/>
      <c r="F59" s="431"/>
      <c r="G59" s="1162"/>
      <c r="H59" s="1264" t="s">
        <v>730</v>
      </c>
      <c r="I59" s="1093"/>
      <c r="J59" s="1264"/>
      <c r="K59" s="1093"/>
      <c r="L59" s="1264"/>
      <c r="M59" s="1093"/>
      <c r="N59" s="1264"/>
      <c r="O59" s="1093"/>
      <c r="P59" s="1264"/>
      <c r="Q59" s="1093"/>
      <c r="R59" s="1264"/>
      <c r="S59" s="1093"/>
    </row>
    <row r="60" spans="1:19" ht="25.5">
      <c r="A60" s="1086"/>
      <c r="B60" s="1274" t="s">
        <v>963</v>
      </c>
      <c r="C60" s="23" t="s">
        <v>964</v>
      </c>
      <c r="D60" s="378"/>
      <c r="E60" s="86"/>
      <c r="F60" s="431"/>
      <c r="G60" s="1162"/>
      <c r="H60" s="1264" t="s">
        <v>727</v>
      </c>
      <c r="I60" s="1093"/>
      <c r="J60" s="1264"/>
      <c r="K60" s="1093"/>
      <c r="L60" s="1264"/>
      <c r="M60" s="1093"/>
      <c r="N60" s="1264"/>
      <c r="O60" s="1093"/>
      <c r="P60" s="1264"/>
      <c r="Q60" s="1093"/>
      <c r="R60" s="1264"/>
      <c r="S60" s="1093"/>
    </row>
    <row r="61" spans="1:19" ht="38.25">
      <c r="A61" s="1086"/>
      <c r="B61" s="1163" t="s">
        <v>965</v>
      </c>
      <c r="C61" s="23" t="s">
        <v>966</v>
      </c>
      <c r="D61" s="378"/>
      <c r="E61" s="86"/>
      <c r="F61" s="431"/>
      <c r="G61" s="1162"/>
      <c r="H61" s="1264" t="s">
        <v>727</v>
      </c>
      <c r="I61" s="1093"/>
      <c r="J61" s="1264"/>
      <c r="K61" s="1093"/>
      <c r="L61" s="1264"/>
      <c r="M61" s="1093"/>
      <c r="N61" s="1264"/>
      <c r="O61" s="1093"/>
      <c r="P61" s="1264"/>
      <c r="Q61" s="1093"/>
      <c r="R61" s="1264"/>
      <c r="S61" s="1093"/>
    </row>
    <row r="62" spans="1:19">
      <c r="A62" s="1086"/>
      <c r="B62" s="1163" t="s">
        <v>967</v>
      </c>
      <c r="C62" s="23"/>
      <c r="D62" s="378"/>
      <c r="E62" s="86"/>
      <c r="F62" s="431"/>
      <c r="G62" s="1162"/>
      <c r="H62" s="1275"/>
      <c r="I62" s="1093"/>
      <c r="J62" s="1264"/>
      <c r="K62" s="1093"/>
      <c r="L62" s="1264"/>
      <c r="M62" s="1093"/>
      <c r="N62" s="1264"/>
      <c r="O62" s="1093"/>
      <c r="P62" s="1264"/>
      <c r="Q62" s="1093"/>
      <c r="R62" s="1264"/>
      <c r="S62" s="1093"/>
    </row>
    <row r="63" spans="1:19">
      <c r="A63" s="1086"/>
      <c r="B63" s="1163" t="s">
        <v>968</v>
      </c>
      <c r="C63" s="23"/>
      <c r="D63" s="378"/>
      <c r="E63" s="86"/>
      <c r="F63" s="431"/>
      <c r="G63" s="1162"/>
      <c r="H63" s="1264" t="s">
        <v>727</v>
      </c>
      <c r="I63" s="1093">
        <v>26500</v>
      </c>
      <c r="J63" s="1264"/>
      <c r="K63" s="1093"/>
      <c r="L63" s="1264"/>
      <c r="M63" s="1093"/>
      <c r="N63" s="1264"/>
      <c r="O63" s="1093"/>
      <c r="P63" s="1264"/>
      <c r="Q63" s="1093"/>
      <c r="R63" s="1264"/>
      <c r="S63" s="1093"/>
    </row>
    <row r="64" spans="1:19">
      <c r="A64" s="1086"/>
      <c r="B64" s="1163" t="s">
        <v>969</v>
      </c>
      <c r="C64" s="23"/>
      <c r="D64" s="378"/>
      <c r="E64" s="86"/>
      <c r="F64" s="431"/>
      <c r="G64" s="1162"/>
      <c r="H64" s="1264" t="s">
        <v>727</v>
      </c>
      <c r="I64" s="1093">
        <v>43500</v>
      </c>
      <c r="J64" s="1264"/>
      <c r="K64" s="1093"/>
      <c r="L64" s="1264"/>
      <c r="M64" s="1093"/>
      <c r="N64" s="1264"/>
      <c r="O64" s="1093"/>
      <c r="P64" s="1264"/>
      <c r="Q64" s="1093"/>
      <c r="R64" s="1264"/>
      <c r="S64" s="1093"/>
    </row>
    <row r="65" spans="1:19">
      <c r="A65" s="1086"/>
      <c r="B65" s="1163" t="s">
        <v>970</v>
      </c>
      <c r="C65" s="23"/>
      <c r="D65" s="378"/>
      <c r="E65" s="86"/>
      <c r="F65" s="431"/>
      <c r="G65" s="1162"/>
      <c r="H65" s="1264" t="s">
        <v>727</v>
      </c>
      <c r="I65" s="1093">
        <v>89590</v>
      </c>
      <c r="J65" s="1264"/>
      <c r="K65" s="1093"/>
      <c r="L65" s="1264"/>
      <c r="M65" s="1093"/>
      <c r="N65" s="1264"/>
      <c r="O65" s="1093"/>
      <c r="P65" s="1264"/>
      <c r="Q65" s="1093"/>
      <c r="R65" s="1264"/>
      <c r="S65" s="1093"/>
    </row>
    <row r="66" spans="1:19">
      <c r="A66" s="1086"/>
      <c r="B66" s="1163" t="s">
        <v>971</v>
      </c>
      <c r="C66" s="23"/>
      <c r="D66" s="378"/>
      <c r="E66" s="86"/>
      <c r="F66" s="431"/>
      <c r="G66" s="1162"/>
      <c r="H66" s="1264" t="s">
        <v>727</v>
      </c>
      <c r="I66" s="1093">
        <v>18900</v>
      </c>
      <c r="J66" s="1264"/>
      <c r="K66" s="1093"/>
      <c r="L66" s="1264"/>
      <c r="M66" s="1093"/>
      <c r="N66" s="1264"/>
      <c r="O66" s="1093"/>
      <c r="P66" s="1264"/>
      <c r="Q66" s="1093"/>
      <c r="R66" s="1264"/>
      <c r="S66" s="1093"/>
    </row>
    <row r="67" spans="1:19">
      <c r="A67" s="1086"/>
      <c r="B67" s="1163" t="s">
        <v>972</v>
      </c>
      <c r="C67" s="23"/>
      <c r="D67" s="378"/>
      <c r="E67" s="86"/>
      <c r="F67" s="431"/>
      <c r="G67" s="1162"/>
      <c r="H67" s="1264" t="s">
        <v>727</v>
      </c>
      <c r="I67" s="1093">
        <f>50375*2</f>
        <v>100750</v>
      </c>
      <c r="J67" s="1264"/>
      <c r="K67" s="1093"/>
      <c r="L67" s="1264"/>
      <c r="M67" s="1093"/>
      <c r="N67" s="1264"/>
      <c r="O67" s="1093"/>
      <c r="P67" s="1264"/>
      <c r="Q67" s="1093"/>
      <c r="R67" s="1264"/>
      <c r="S67" s="1093"/>
    </row>
    <row r="68" spans="1:19">
      <c r="A68" s="1086"/>
      <c r="B68" s="1163" t="s">
        <v>973</v>
      </c>
      <c r="C68" s="23"/>
      <c r="D68" s="378"/>
      <c r="E68" s="86"/>
      <c r="F68" s="431"/>
      <c r="G68" s="1162"/>
      <c r="H68" s="1264" t="s">
        <v>727</v>
      </c>
      <c r="I68" s="1093">
        <f>6*30500</f>
        <v>183000</v>
      </c>
      <c r="J68" s="1264"/>
      <c r="K68" s="1093"/>
      <c r="L68" s="1264"/>
      <c r="M68" s="1093"/>
      <c r="N68" s="1264"/>
      <c r="O68" s="1093"/>
      <c r="P68" s="1264"/>
      <c r="Q68" s="1093"/>
      <c r="R68" s="1264"/>
      <c r="S68" s="1093"/>
    </row>
    <row r="69" spans="1:19">
      <c r="A69" s="1086"/>
      <c r="B69" s="1163" t="s">
        <v>974</v>
      </c>
      <c r="C69" s="23"/>
      <c r="D69" s="378"/>
      <c r="E69" s="86"/>
      <c r="F69" s="431"/>
      <c r="G69" s="1162"/>
      <c r="H69" s="1264" t="s">
        <v>727</v>
      </c>
      <c r="I69" s="1093">
        <v>500000</v>
      </c>
      <c r="J69" s="1264"/>
      <c r="K69" s="1093"/>
      <c r="L69" s="1264"/>
      <c r="M69" s="1093"/>
      <c r="N69" s="1264"/>
      <c r="O69" s="1093"/>
      <c r="P69" s="1264"/>
      <c r="Q69" s="1093"/>
      <c r="R69" s="1264"/>
      <c r="S69" s="1093"/>
    </row>
    <row r="70" spans="1:19">
      <c r="A70" s="1086"/>
      <c r="B70" s="1271" t="s">
        <v>975</v>
      </c>
      <c r="C70" s="23"/>
      <c r="D70" s="378"/>
      <c r="E70" s="86"/>
      <c r="F70" s="431"/>
      <c r="G70" s="1162"/>
      <c r="H70" s="1264" t="s">
        <v>727</v>
      </c>
      <c r="I70" s="1093"/>
      <c r="J70" s="1264"/>
      <c r="K70" s="1093"/>
      <c r="L70" s="1264"/>
      <c r="M70" s="1093"/>
      <c r="N70" s="1264"/>
      <c r="O70" s="1093"/>
      <c r="P70" s="1264"/>
      <c r="Q70" s="1093"/>
      <c r="R70" s="1264"/>
      <c r="S70" s="1093"/>
    </row>
    <row r="71" spans="1:19">
      <c r="A71" s="1086"/>
      <c r="B71" s="1163" t="s">
        <v>976</v>
      </c>
      <c r="C71" s="23"/>
      <c r="D71" s="378"/>
      <c r="E71" s="86"/>
      <c r="F71" s="431"/>
      <c r="G71" s="1162"/>
      <c r="H71" s="1264" t="s">
        <v>727</v>
      </c>
      <c r="I71" s="1093"/>
      <c r="J71" s="1264"/>
      <c r="K71" s="1093"/>
      <c r="L71" s="1264"/>
      <c r="M71" s="1093"/>
      <c r="N71" s="1264"/>
      <c r="O71" s="1093"/>
      <c r="P71" s="1264"/>
      <c r="Q71" s="1093"/>
      <c r="R71" s="1264"/>
      <c r="S71" s="1093"/>
    </row>
    <row r="72" spans="1:19">
      <c r="A72" s="1086"/>
      <c r="B72" s="1163" t="s">
        <v>977</v>
      </c>
      <c r="C72" s="23"/>
      <c r="D72" s="378"/>
      <c r="E72" s="86"/>
      <c r="F72" s="431"/>
      <c r="G72" s="1162"/>
      <c r="H72" s="1264" t="s">
        <v>727</v>
      </c>
      <c r="I72" s="1093"/>
      <c r="J72" s="1264"/>
      <c r="K72" s="1093"/>
      <c r="L72" s="1264"/>
      <c r="M72" s="1093"/>
      <c r="N72" s="1264"/>
      <c r="O72" s="1093"/>
      <c r="P72" s="1264"/>
      <c r="Q72" s="1093"/>
      <c r="R72" s="1264"/>
      <c r="S72" s="1093"/>
    </row>
    <row r="73" spans="1:19">
      <c r="A73" s="1086"/>
      <c r="B73" s="1163" t="s">
        <v>978</v>
      </c>
      <c r="C73" s="23"/>
      <c r="D73" s="378"/>
      <c r="E73" s="86"/>
      <c r="F73" s="431"/>
      <c r="G73" s="1162"/>
      <c r="H73" s="1264" t="s">
        <v>727</v>
      </c>
      <c r="I73" s="1093"/>
      <c r="J73" s="1264"/>
      <c r="K73" s="1093"/>
      <c r="L73" s="1264"/>
      <c r="M73" s="1093"/>
      <c r="N73" s="1264"/>
      <c r="O73" s="1093"/>
      <c r="P73" s="1264"/>
      <c r="Q73" s="1093"/>
      <c r="R73" s="1264"/>
      <c r="S73" s="1093"/>
    </row>
    <row r="74" spans="1:19">
      <c r="A74" s="1086"/>
      <c r="B74" s="1163" t="s">
        <v>979</v>
      </c>
      <c r="C74" s="23"/>
      <c r="D74" s="378"/>
      <c r="E74" s="86"/>
      <c r="F74" s="431"/>
      <c r="G74" s="1162"/>
      <c r="H74" s="1264" t="s">
        <v>727</v>
      </c>
      <c r="I74" s="1093"/>
      <c r="J74" s="1264"/>
      <c r="K74" s="1093"/>
      <c r="L74" s="1264"/>
      <c r="M74" s="1093"/>
      <c r="N74" s="1264"/>
      <c r="O74" s="1093"/>
      <c r="P74" s="1264"/>
      <c r="Q74" s="1093"/>
      <c r="R74" s="1264"/>
      <c r="S74" s="1093"/>
    </row>
    <row r="75" spans="1:19">
      <c r="A75" s="1086"/>
      <c r="B75" s="1163" t="s">
        <v>980</v>
      </c>
      <c r="C75" s="23"/>
      <c r="D75" s="378"/>
      <c r="E75" s="86"/>
      <c r="F75" s="431"/>
      <c r="G75" s="1162"/>
      <c r="H75" s="1264" t="s">
        <v>727</v>
      </c>
      <c r="I75" s="1093"/>
      <c r="J75" s="1264"/>
      <c r="K75" s="1093"/>
      <c r="L75" s="1264"/>
      <c r="M75" s="1093"/>
      <c r="N75" s="1264"/>
      <c r="O75" s="1093"/>
      <c r="P75" s="1264"/>
      <c r="Q75" s="1093"/>
      <c r="R75" s="1264"/>
      <c r="S75" s="1093"/>
    </row>
    <row r="76" spans="1:19" ht="25.5">
      <c r="A76" s="1086"/>
      <c r="B76" s="1163" t="s">
        <v>981</v>
      </c>
      <c r="C76" s="23" t="s">
        <v>982</v>
      </c>
      <c r="D76" s="378"/>
      <c r="E76" s="86"/>
      <c r="F76" s="431"/>
      <c r="G76" s="1162"/>
      <c r="H76" s="1264" t="s">
        <v>727</v>
      </c>
      <c r="I76" s="1093"/>
      <c r="J76" s="1264"/>
      <c r="K76" s="1093"/>
      <c r="L76" s="1264"/>
      <c r="M76" s="1093"/>
      <c r="N76" s="1264"/>
      <c r="O76" s="1093"/>
      <c r="P76" s="1264"/>
      <c r="Q76" s="1093"/>
      <c r="R76" s="1264"/>
      <c r="S76" s="1093"/>
    </row>
    <row r="77" spans="1:19">
      <c r="A77" s="1086"/>
      <c r="B77" s="1163" t="s">
        <v>983</v>
      </c>
      <c r="C77" s="23" t="s">
        <v>984</v>
      </c>
      <c r="D77" s="87"/>
      <c r="E77" s="86"/>
      <c r="F77" s="431"/>
      <c r="G77" s="1162"/>
      <c r="H77" s="1264"/>
      <c r="I77" s="1093"/>
      <c r="J77" s="1264"/>
      <c r="K77" s="1093"/>
      <c r="L77" s="1264"/>
      <c r="M77" s="1093"/>
      <c r="N77" s="1264"/>
      <c r="O77" s="1093"/>
      <c r="P77" s="1264"/>
      <c r="Q77" s="1093"/>
      <c r="R77" s="1264"/>
      <c r="S77" s="1093"/>
    </row>
    <row r="78" spans="1:19">
      <c r="A78" s="1086"/>
      <c r="B78" s="1163" t="s">
        <v>985</v>
      </c>
      <c r="C78" s="23" t="s">
        <v>986</v>
      </c>
      <c r="D78" s="87"/>
      <c r="E78" s="86"/>
      <c r="F78" s="431"/>
      <c r="G78" s="1162"/>
      <c r="H78" s="1264"/>
      <c r="I78" s="1093"/>
      <c r="J78" s="1264"/>
      <c r="K78" s="1093"/>
      <c r="L78" s="1264"/>
      <c r="M78" s="1093"/>
      <c r="N78" s="1264"/>
      <c r="O78" s="1093"/>
      <c r="P78" s="1264"/>
      <c r="Q78" s="1093"/>
      <c r="R78" s="1264"/>
      <c r="S78" s="1093"/>
    </row>
    <row r="79" spans="1:19">
      <c r="A79" s="1086"/>
      <c r="B79" s="1163" t="s">
        <v>987</v>
      </c>
      <c r="C79" s="23" t="s">
        <v>986</v>
      </c>
      <c r="D79" s="87"/>
      <c r="E79" s="86"/>
      <c r="F79" s="431"/>
      <c r="G79" s="1162"/>
      <c r="H79" s="1264"/>
      <c r="I79" s="1093"/>
      <c r="J79" s="1264"/>
      <c r="K79" s="1093"/>
      <c r="L79" s="1264"/>
      <c r="M79" s="1093"/>
      <c r="N79" s="1264"/>
      <c r="O79" s="1093"/>
      <c r="P79" s="1264"/>
      <c r="Q79" s="1093"/>
      <c r="R79" s="1264"/>
      <c r="S79" s="1093"/>
    </row>
    <row r="80" spans="1:19">
      <c r="A80" s="1086"/>
      <c r="B80" s="1163"/>
      <c r="C80" s="23"/>
      <c r="D80" s="87"/>
      <c r="E80" s="86"/>
      <c r="F80" s="431"/>
      <c r="G80" s="1162"/>
      <c r="H80" s="1264"/>
      <c r="I80" s="1093"/>
      <c r="J80" s="1264"/>
      <c r="K80" s="1093"/>
      <c r="L80" s="1264"/>
      <c r="M80" s="1093"/>
      <c r="N80" s="1264"/>
      <c r="O80" s="1093"/>
      <c r="P80" s="1264"/>
      <c r="Q80" s="1093"/>
      <c r="R80" s="1264"/>
      <c r="S80" s="1093"/>
    </row>
    <row r="81" spans="1:34">
      <c r="A81" s="1086"/>
      <c r="B81" s="1163" t="s">
        <v>988</v>
      </c>
      <c r="C81" s="23"/>
      <c r="D81" s="87"/>
      <c r="E81" s="86"/>
      <c r="F81" s="431"/>
      <c r="G81" s="1162"/>
      <c r="H81" s="1264"/>
      <c r="I81" s="1249">
        <v>12000</v>
      </c>
      <c r="J81" s="1264"/>
      <c r="K81" s="1093"/>
      <c r="L81" s="1264"/>
      <c r="M81" s="1093"/>
      <c r="N81" s="1264"/>
      <c r="O81" s="1093"/>
      <c r="P81" s="1264"/>
      <c r="Q81" s="1093"/>
      <c r="R81" s="1264"/>
      <c r="S81" s="1093"/>
    </row>
    <row r="82" spans="1:34">
      <c r="A82" s="1086"/>
      <c r="B82" s="1163"/>
      <c r="C82" s="23"/>
      <c r="D82" s="87"/>
      <c r="E82" s="86"/>
      <c r="F82" s="431"/>
      <c r="G82" s="830"/>
      <c r="H82" s="1264"/>
      <c r="I82" s="1093"/>
      <c r="J82" s="1264"/>
      <c r="K82" s="1093"/>
      <c r="L82" s="1264"/>
      <c r="M82" s="1093"/>
      <c r="N82" s="1264"/>
      <c r="O82" s="1093"/>
      <c r="P82" s="1264"/>
      <c r="Q82" s="1093"/>
      <c r="R82" s="1264"/>
      <c r="S82" s="1093"/>
    </row>
    <row r="83" spans="1:34" ht="15.75" thickBot="1">
      <c r="A83" s="1086"/>
      <c r="B83" s="1163"/>
      <c r="C83" s="23"/>
      <c r="D83" s="87"/>
      <c r="E83" s="86"/>
      <c r="F83" s="431"/>
      <c r="G83" s="830"/>
      <c r="H83" s="1264"/>
      <c r="I83" s="1093"/>
      <c r="J83" s="1264"/>
      <c r="K83" s="1093"/>
      <c r="L83" s="1264"/>
      <c r="M83" s="1093"/>
      <c r="N83" s="1264"/>
      <c r="O83" s="1093"/>
      <c r="P83" s="1264"/>
      <c r="Q83" s="1093"/>
      <c r="R83" s="1264"/>
      <c r="S83" s="1093"/>
    </row>
    <row r="84" spans="1:34" ht="15.75" thickTop="1">
      <c r="A84" s="296"/>
      <c r="B84" s="301"/>
      <c r="C84" s="297"/>
      <c r="D84" s="15"/>
      <c r="E84" s="16"/>
      <c r="F84" s="282" t="s">
        <v>753</v>
      </c>
      <c r="G84" s="272"/>
      <c r="H84" s="273"/>
      <c r="I84" s="273">
        <f>SUM(I13:I83)</f>
        <v>21767756</v>
      </c>
      <c r="J84" s="273"/>
      <c r="K84" s="273">
        <f>SUM(K13:K83)</f>
        <v>0</v>
      </c>
      <c r="L84" s="273"/>
      <c r="M84" s="273">
        <f>SUM(M13:M83)</f>
        <v>0</v>
      </c>
      <c r="N84" s="273"/>
      <c r="O84" s="273">
        <f>SUM(O13:O83)</f>
        <v>0</v>
      </c>
      <c r="P84" s="273"/>
      <c r="Q84" s="273">
        <f>SUM(Q13:Q83)</f>
        <v>0</v>
      </c>
      <c r="R84" s="273"/>
      <c r="S84" s="273">
        <f>SUM(S13:S83)</f>
        <v>0</v>
      </c>
    </row>
    <row r="85" spans="1:34">
      <c r="A85" s="1114"/>
      <c r="B85" s="1164"/>
      <c r="C85" s="432"/>
      <c r="D85" s="433"/>
      <c r="E85" s="434"/>
      <c r="F85" s="435" t="s">
        <v>754</v>
      </c>
      <c r="G85" s="436"/>
      <c r="H85" s="1165">
        <v>0</v>
      </c>
      <c r="I85" s="1166"/>
      <c r="J85" s="1165">
        <v>0</v>
      </c>
      <c r="K85" s="1166"/>
      <c r="L85" s="1165">
        <v>0</v>
      </c>
      <c r="M85" s="1166"/>
      <c r="N85" s="1165">
        <v>0</v>
      </c>
      <c r="O85" s="1166"/>
      <c r="P85" s="1165">
        <v>0</v>
      </c>
      <c r="Q85" s="1166"/>
      <c r="R85" s="1165">
        <v>0</v>
      </c>
      <c r="S85" s="1166"/>
    </row>
    <row r="86" spans="1:34">
      <c r="A86" s="1114"/>
      <c r="B86" s="1164"/>
      <c r="C86" s="432"/>
      <c r="D86" s="433"/>
      <c r="E86" s="434"/>
      <c r="F86" s="435" t="s">
        <v>755</v>
      </c>
      <c r="G86" s="436"/>
      <c r="H86" s="1166"/>
      <c r="I86" s="1166">
        <f>H85*I84</f>
        <v>0</v>
      </c>
      <c r="J86" s="1166"/>
      <c r="K86" s="1166">
        <f>J85*K84</f>
        <v>0</v>
      </c>
      <c r="L86" s="1166"/>
      <c r="M86" s="1166">
        <f>L85*M84</f>
        <v>0</v>
      </c>
      <c r="N86" s="1166"/>
      <c r="O86" s="1166">
        <f>N85*O84</f>
        <v>0</v>
      </c>
      <c r="P86" s="1166"/>
      <c r="Q86" s="1166">
        <f>P85*Q84</f>
        <v>0</v>
      </c>
      <c r="R86" s="1166"/>
      <c r="S86" s="1166">
        <f>R85*S84</f>
        <v>0</v>
      </c>
    </row>
    <row r="87" spans="1:34">
      <c r="A87" s="1114"/>
      <c r="B87" s="1164"/>
      <c r="C87" s="432"/>
      <c r="D87" s="433"/>
      <c r="E87" s="434"/>
      <c r="F87" s="435"/>
      <c r="G87" s="436"/>
      <c r="H87" s="1166"/>
      <c r="I87" s="1166"/>
      <c r="J87" s="1166"/>
      <c r="K87" s="1166"/>
      <c r="L87" s="1166"/>
      <c r="M87" s="1166"/>
      <c r="N87" s="1166"/>
      <c r="O87" s="1166"/>
      <c r="P87" s="1166"/>
      <c r="Q87" s="1166"/>
      <c r="R87" s="1166"/>
      <c r="S87" s="1166"/>
    </row>
    <row r="88" spans="1:34">
      <c r="A88" s="1114"/>
      <c r="B88" s="1164"/>
      <c r="C88" s="432"/>
      <c r="D88" s="433"/>
      <c r="E88" s="434"/>
      <c r="F88" s="435" t="s">
        <v>756</v>
      </c>
      <c r="G88" s="436"/>
      <c r="H88" s="1166"/>
      <c r="I88" s="1166">
        <f>SUM(I84:I86)</f>
        <v>21767756</v>
      </c>
      <c r="J88" s="1166"/>
      <c r="K88" s="1166">
        <f>SUM(K84:K86)</f>
        <v>0</v>
      </c>
      <c r="L88" s="1166"/>
      <c r="M88" s="1166">
        <f>SUM(M84:M86)</f>
        <v>0</v>
      </c>
      <c r="N88" s="1166"/>
      <c r="O88" s="1166">
        <f>SUM(O84:O86)</f>
        <v>0</v>
      </c>
      <c r="P88" s="1166"/>
      <c r="Q88" s="1166">
        <f>SUM(Q84:Q86)</f>
        <v>0</v>
      </c>
      <c r="R88" s="1166"/>
      <c r="S88" s="1166">
        <f>SUM(S84:S86)</f>
        <v>0</v>
      </c>
    </row>
    <row r="89" spans="1:34">
      <c r="A89" s="1114"/>
      <c r="B89" s="1164"/>
      <c r="C89" s="432"/>
      <c r="D89" s="433"/>
      <c r="E89" s="434"/>
      <c r="F89" s="437" t="s">
        <v>757</v>
      </c>
      <c r="G89" s="438"/>
      <c r="H89" s="1167"/>
      <c r="I89" s="1167">
        <f>I88/'Area Calculations'!$G$4</f>
        <v>37.61732822039771</v>
      </c>
      <c r="J89" s="1167"/>
      <c r="K89" s="1167">
        <f>K88/'Area Calculations'!$G$4</f>
        <v>0</v>
      </c>
      <c r="L89" s="1167"/>
      <c r="M89" s="1167">
        <f>M88/'Area Calculations'!$G$4</f>
        <v>0</v>
      </c>
      <c r="N89" s="1167"/>
      <c r="O89" s="1167">
        <f>O88/'Area Calculations'!$G$4</f>
        <v>0</v>
      </c>
      <c r="P89" s="1167"/>
      <c r="Q89" s="1167">
        <f>Q88/'Area Calculations'!$G$4</f>
        <v>0</v>
      </c>
      <c r="R89" s="1167"/>
      <c r="S89" s="1167">
        <f>S88/'Area Calculations'!$G$4</f>
        <v>0</v>
      </c>
    </row>
    <row r="90" spans="1:34">
      <c r="A90" s="1114"/>
      <c r="B90" s="1164"/>
      <c r="C90" s="432"/>
      <c r="D90" s="433"/>
      <c r="E90" s="434"/>
      <c r="F90" s="437" t="s">
        <v>758</v>
      </c>
      <c r="G90" s="438"/>
      <c r="H90" s="1167"/>
      <c r="I90" s="1167">
        <f>I88/'Area Calculations'!$G$9</f>
        <v>203436.97196261681</v>
      </c>
      <c r="J90" s="1167"/>
      <c r="K90" s="1167">
        <f>K88/'Area Calculations'!$G$9</f>
        <v>0</v>
      </c>
      <c r="L90" s="1167"/>
      <c r="M90" s="1167">
        <f>M88/'Area Calculations'!$G$9</f>
        <v>0</v>
      </c>
      <c r="N90" s="1167"/>
      <c r="O90" s="1167">
        <f>O88/'Area Calculations'!$G$9</f>
        <v>0</v>
      </c>
      <c r="P90" s="1167"/>
      <c r="Q90" s="1167">
        <f>Q88/'Area Calculations'!$G$9</f>
        <v>0</v>
      </c>
      <c r="R90" s="1167"/>
      <c r="S90" s="1167">
        <f>S88/'Area Calculations'!$G$9</f>
        <v>0</v>
      </c>
    </row>
    <row r="91" spans="1:34" ht="15.75" thickBot="1">
      <c r="A91" s="1114"/>
      <c r="B91" s="1164"/>
      <c r="C91" s="432"/>
      <c r="D91" s="433"/>
      <c r="E91" s="434"/>
      <c r="F91" s="439"/>
      <c r="G91" s="436"/>
      <c r="H91" s="1168"/>
      <c r="I91" s="1168"/>
      <c r="J91" s="1168"/>
      <c r="K91" s="1168"/>
      <c r="L91" s="1168"/>
      <c r="M91" s="1168"/>
      <c r="N91" s="1168"/>
      <c r="O91" s="1168"/>
      <c r="P91" s="1168"/>
      <c r="Q91" s="1168"/>
      <c r="R91" s="1168"/>
      <c r="S91" s="1168"/>
    </row>
    <row r="92" spans="1:34" ht="16.5" thickTop="1" thickBot="1">
      <c r="A92" s="2331" t="s">
        <v>759</v>
      </c>
      <c r="B92" s="2332"/>
      <c r="C92" s="298"/>
      <c r="D92" s="12"/>
      <c r="E92" s="12"/>
      <c r="F92" s="12"/>
      <c r="G92" s="26"/>
      <c r="H92" s="24"/>
      <c r="I92" s="20"/>
      <c r="J92" s="20"/>
      <c r="K92" s="20"/>
      <c r="L92" s="20"/>
      <c r="M92" s="20"/>
      <c r="N92" s="20"/>
      <c r="O92" s="20"/>
      <c r="P92" s="20"/>
      <c r="Q92" s="20"/>
      <c r="R92" s="20"/>
      <c r="S92" s="20"/>
    </row>
    <row r="93" spans="1:34" ht="15.75" thickTop="1">
      <c r="A93" s="1169"/>
      <c r="B93" s="1105"/>
      <c r="C93" s="1276"/>
      <c r="D93" s="1089"/>
      <c r="E93" s="1089"/>
      <c r="F93" s="1089"/>
      <c r="G93" s="1170"/>
      <c r="H93" s="1171"/>
      <c r="I93" s="1172"/>
      <c r="J93" s="1172"/>
      <c r="K93" s="1172"/>
      <c r="L93" s="1172"/>
      <c r="M93" s="1172"/>
      <c r="N93" s="1172"/>
      <c r="O93" s="1172"/>
      <c r="P93" s="1172"/>
      <c r="Q93" s="1172"/>
      <c r="R93" s="1172"/>
      <c r="S93" s="1172"/>
    </row>
    <row r="94" spans="1:34">
      <c r="A94" s="1169"/>
      <c r="B94" s="1105"/>
      <c r="C94" s="1276"/>
      <c r="D94" s="1089"/>
      <c r="E94" s="1089"/>
      <c r="F94" s="1089"/>
      <c r="G94" s="1170"/>
      <c r="H94" s="1171"/>
      <c r="I94" s="1172"/>
      <c r="J94" s="1172"/>
      <c r="K94" s="1172"/>
      <c r="L94" s="1172"/>
      <c r="M94" s="1172"/>
      <c r="N94" s="1172"/>
      <c r="O94" s="1172"/>
      <c r="P94" s="1172"/>
      <c r="Q94" s="1172"/>
      <c r="R94" s="1172"/>
      <c r="S94" s="1172"/>
    </row>
    <row r="95" spans="1:34" ht="15.75" thickBot="1">
      <c r="A95" s="1169"/>
      <c r="B95" s="1105"/>
      <c r="C95" s="1276"/>
      <c r="D95" s="1089"/>
      <c r="E95" s="1089"/>
      <c r="F95" s="1089"/>
      <c r="G95" s="1170"/>
      <c r="H95" s="1171"/>
      <c r="I95" s="1172"/>
      <c r="J95" s="1172"/>
      <c r="K95" s="1172"/>
      <c r="L95" s="1172"/>
      <c r="M95" s="1172"/>
      <c r="N95" s="1172"/>
      <c r="O95" s="1172"/>
      <c r="P95" s="1172"/>
      <c r="Q95" s="1172"/>
      <c r="R95" s="1172"/>
      <c r="S95" s="1172"/>
    </row>
    <row r="96" spans="1:34" s="2" customFormat="1" ht="16.5" thickTop="1" thickBot="1">
      <c r="A96" s="2331" t="s">
        <v>760</v>
      </c>
      <c r="B96" s="2332"/>
      <c r="C96" s="298"/>
      <c r="D96" s="12"/>
      <c r="E96" s="12"/>
      <c r="F96" s="12"/>
      <c r="G96" s="26"/>
      <c r="H96" s="24"/>
      <c r="I96" s="20"/>
      <c r="J96" s="20"/>
      <c r="K96" s="20"/>
      <c r="L96" s="20"/>
      <c r="M96" s="20"/>
      <c r="N96" s="20"/>
      <c r="O96" s="20"/>
      <c r="P96" s="20"/>
      <c r="Q96" s="20"/>
      <c r="R96" s="20"/>
      <c r="S96" s="20"/>
      <c r="T96"/>
      <c r="U96"/>
      <c r="V96"/>
      <c r="W96"/>
      <c r="X96"/>
      <c r="Y96"/>
      <c r="Z96"/>
      <c r="AA96"/>
      <c r="AB96"/>
      <c r="AC96"/>
      <c r="AD96"/>
      <c r="AE96"/>
      <c r="AF96"/>
      <c r="AG96"/>
      <c r="AH96"/>
    </row>
    <row r="97" spans="1:34" s="2" customFormat="1" ht="15.75" thickTop="1">
      <c r="A97" s="1169"/>
      <c r="B97" s="1105"/>
      <c r="C97" s="1276"/>
      <c r="D97" s="1089"/>
      <c r="E97" s="1089"/>
      <c r="F97" s="1089"/>
      <c r="G97" s="1170"/>
      <c r="H97" s="1171"/>
      <c r="I97" s="1172"/>
      <c r="J97" s="1172"/>
      <c r="K97" s="1172"/>
      <c r="L97" s="1172"/>
      <c r="M97" s="1172"/>
      <c r="N97" s="1172"/>
      <c r="O97" s="1172"/>
      <c r="P97" s="1172"/>
      <c r="Q97" s="1172"/>
      <c r="R97" s="1172"/>
      <c r="S97" s="1172"/>
      <c r="T97"/>
      <c r="U97"/>
      <c r="V97"/>
      <c r="W97"/>
      <c r="X97"/>
      <c r="Y97"/>
      <c r="Z97"/>
      <c r="AA97"/>
      <c r="AB97"/>
      <c r="AC97"/>
      <c r="AD97"/>
      <c r="AE97"/>
      <c r="AF97"/>
      <c r="AG97"/>
      <c r="AH97"/>
    </row>
    <row r="98" spans="1:34" s="2" customFormat="1">
      <c r="A98" s="1169"/>
      <c r="B98" s="1105"/>
      <c r="C98" s="1276"/>
      <c r="D98" s="1089"/>
      <c r="E98" s="1089"/>
      <c r="F98" s="1089"/>
      <c r="G98" s="1170"/>
      <c r="H98" s="1171"/>
      <c r="I98" s="1172"/>
      <c r="J98" s="1172"/>
      <c r="K98" s="1172"/>
      <c r="L98" s="1172"/>
      <c r="M98" s="1172"/>
      <c r="N98" s="1172"/>
      <c r="O98" s="1172"/>
      <c r="P98" s="1172"/>
      <c r="Q98" s="1172"/>
      <c r="R98" s="1172"/>
      <c r="S98" s="1172"/>
      <c r="T98"/>
      <c r="U98"/>
      <c r="V98"/>
      <c r="W98"/>
      <c r="X98"/>
      <c r="Y98"/>
      <c r="Z98"/>
      <c r="AA98"/>
      <c r="AB98"/>
      <c r="AC98"/>
      <c r="AD98"/>
      <c r="AE98"/>
      <c r="AF98"/>
      <c r="AG98"/>
      <c r="AH98"/>
    </row>
    <row r="99" spans="1:34" ht="15.75" thickBot="1">
      <c r="A99" s="1169"/>
      <c r="B99" s="1105"/>
      <c r="C99" s="1276"/>
      <c r="D99" s="1089"/>
      <c r="E99" s="1089"/>
      <c r="F99" s="1089"/>
      <c r="G99" s="1170"/>
      <c r="H99" s="1171"/>
      <c r="I99" s="1172"/>
      <c r="J99" s="1172"/>
      <c r="K99" s="1172"/>
      <c r="L99" s="1172"/>
      <c r="M99" s="1172"/>
      <c r="N99" s="1172"/>
      <c r="O99" s="1172"/>
      <c r="P99" s="1172"/>
      <c r="Q99" s="1172"/>
      <c r="R99" s="1172"/>
      <c r="S99" s="1172"/>
    </row>
    <row r="100" spans="1:34" s="2" customFormat="1" ht="16.5" thickTop="1" thickBot="1">
      <c r="A100" s="2331" t="s">
        <v>761</v>
      </c>
      <c r="B100" s="2332"/>
      <c r="C100" s="298"/>
      <c r="D100" s="12"/>
      <c r="E100" s="12"/>
      <c r="F100" s="12"/>
      <c r="G100" s="26"/>
      <c r="H100" s="24"/>
      <c r="I100" s="20"/>
      <c r="J100" s="20"/>
      <c r="K100" s="20"/>
      <c r="L100" s="20"/>
      <c r="M100" s="20"/>
      <c r="N100" s="20"/>
      <c r="O100" s="20"/>
      <c r="P100" s="20"/>
      <c r="Q100" s="20"/>
      <c r="R100" s="20"/>
      <c r="S100" s="20"/>
      <c r="T100"/>
      <c r="U100"/>
      <c r="V100"/>
      <c r="W100"/>
      <c r="X100"/>
      <c r="Y100"/>
      <c r="Z100"/>
      <c r="AA100"/>
      <c r="AB100"/>
      <c r="AC100"/>
      <c r="AD100"/>
      <c r="AE100"/>
      <c r="AF100"/>
      <c r="AG100"/>
      <c r="AH100"/>
    </row>
    <row r="101" spans="1:34" s="2" customFormat="1" ht="15.75" thickTop="1">
      <c r="A101" s="1169"/>
      <c r="B101" s="1105"/>
      <c r="C101" s="1276"/>
      <c r="D101" s="1089"/>
      <c r="E101" s="1089"/>
      <c r="F101" s="1089"/>
      <c r="G101" s="1170"/>
      <c r="H101" s="1171"/>
      <c r="I101" s="1172"/>
      <c r="J101" s="1172"/>
      <c r="K101" s="1172"/>
      <c r="L101" s="1172"/>
      <c r="M101" s="1172"/>
      <c r="N101" s="1172"/>
      <c r="O101" s="1172"/>
      <c r="P101" s="1172"/>
      <c r="Q101" s="1172"/>
      <c r="R101" s="1172"/>
      <c r="S101" s="1172"/>
      <c r="T101"/>
      <c r="U101"/>
      <c r="V101"/>
      <c r="W101"/>
      <c r="X101"/>
      <c r="Y101"/>
      <c r="Z101"/>
      <c r="AA101"/>
      <c r="AB101"/>
      <c r="AC101"/>
      <c r="AD101"/>
      <c r="AE101"/>
      <c r="AF101"/>
      <c r="AG101"/>
      <c r="AH101"/>
    </row>
    <row r="102" spans="1:34" s="2" customFormat="1">
      <c r="A102" s="1124"/>
      <c r="B102" s="1105"/>
      <c r="C102" s="415"/>
      <c r="D102" s="422"/>
      <c r="E102" s="422"/>
      <c r="F102" s="422"/>
      <c r="G102" s="831"/>
      <c r="H102" s="440"/>
      <c r="I102" s="1173"/>
      <c r="J102" s="1173"/>
      <c r="K102" s="1173"/>
      <c r="L102" s="1173"/>
      <c r="M102" s="1173"/>
      <c r="N102" s="1173"/>
      <c r="O102" s="1173"/>
      <c r="P102" s="1173"/>
      <c r="Q102" s="1173"/>
      <c r="R102" s="1173"/>
      <c r="S102" s="1173"/>
      <c r="T102"/>
      <c r="U102"/>
      <c r="V102"/>
      <c r="W102"/>
      <c r="X102"/>
      <c r="Y102"/>
      <c r="Z102"/>
      <c r="AA102"/>
      <c r="AB102"/>
      <c r="AC102"/>
      <c r="AD102"/>
      <c r="AE102"/>
      <c r="AF102"/>
      <c r="AG102"/>
      <c r="AH102"/>
    </row>
    <row r="103" spans="1:34" s="2" customFormat="1" ht="15.75" thickBot="1">
      <c r="A103" s="1126"/>
      <c r="B103" s="1174"/>
      <c r="C103" s="415"/>
      <c r="D103" s="422"/>
      <c r="E103" s="422"/>
      <c r="F103" s="422"/>
      <c r="G103" s="831"/>
      <c r="H103" s="441"/>
      <c r="I103" s="1175"/>
      <c r="J103" s="1175"/>
      <c r="K103" s="1175"/>
      <c r="L103" s="1175"/>
      <c r="M103" s="1175"/>
      <c r="N103" s="1175"/>
      <c r="O103" s="1175"/>
      <c r="P103" s="1175"/>
      <c r="Q103" s="1175"/>
      <c r="R103" s="1175"/>
      <c r="S103" s="1175"/>
    </row>
    <row r="104" spans="1:34" s="2" customFormat="1" ht="16.5" thickTop="1" thickBot="1">
      <c r="A104" s="2331" t="s">
        <v>762</v>
      </c>
      <c r="B104" s="2332"/>
      <c r="C104" s="298"/>
      <c r="D104" s="12"/>
      <c r="E104" s="12"/>
      <c r="F104" s="12"/>
      <c r="G104" s="26"/>
      <c r="H104" s="24"/>
      <c r="I104" s="20"/>
      <c r="J104" s="20"/>
      <c r="K104" s="20"/>
      <c r="L104" s="20"/>
      <c r="M104" s="20"/>
      <c r="N104" s="20"/>
      <c r="O104" s="20"/>
      <c r="P104" s="20"/>
      <c r="Q104" s="20"/>
      <c r="R104" s="20"/>
      <c r="S104" s="20"/>
      <c r="T104"/>
      <c r="U104"/>
      <c r="V104"/>
      <c r="W104"/>
      <c r="X104"/>
      <c r="Y104"/>
      <c r="Z104"/>
      <c r="AA104"/>
      <c r="AB104"/>
      <c r="AC104"/>
      <c r="AD104"/>
      <c r="AE104"/>
      <c r="AF104"/>
      <c r="AG104"/>
      <c r="AH104"/>
    </row>
    <row r="105" spans="1:34" ht="15.75" thickTop="1">
      <c r="A105" s="1176"/>
      <c r="B105" s="1177"/>
      <c r="C105" s="1276"/>
      <c r="D105" s="1089"/>
      <c r="E105" s="1089"/>
      <c r="F105" s="1089"/>
      <c r="G105" s="1170"/>
      <c r="H105" s="1171"/>
      <c r="I105" s="1172"/>
      <c r="J105" s="1172"/>
      <c r="K105" s="1172"/>
      <c r="L105" s="1172"/>
      <c r="M105" s="1172"/>
      <c r="N105" s="1172"/>
      <c r="O105" s="1172"/>
      <c r="P105" s="1172"/>
      <c r="Q105" s="1172"/>
      <c r="R105" s="1172"/>
      <c r="S105" s="1172"/>
      <c r="T105" s="2"/>
      <c r="U105" s="2"/>
      <c r="V105" s="2"/>
      <c r="W105" s="2"/>
      <c r="X105" s="2"/>
      <c r="Y105" s="2"/>
      <c r="Z105" s="2"/>
      <c r="AA105" s="2"/>
      <c r="AB105" s="2"/>
      <c r="AC105" s="2"/>
      <c r="AD105" s="2"/>
      <c r="AE105" s="2"/>
      <c r="AF105" s="2"/>
      <c r="AG105" s="2"/>
      <c r="AH105" s="2"/>
    </row>
    <row r="106" spans="1:34">
      <c r="A106" s="1126"/>
      <c r="B106" s="1174"/>
      <c r="C106" s="415"/>
      <c r="D106" s="422"/>
      <c r="E106" s="422"/>
      <c r="F106" s="422"/>
      <c r="G106" s="831"/>
      <c r="H106" s="442"/>
      <c r="I106" s="1178"/>
      <c r="J106" s="1178"/>
      <c r="K106" s="1178"/>
      <c r="L106" s="1178"/>
      <c r="M106" s="1178"/>
      <c r="N106" s="1178"/>
      <c r="O106" s="1178"/>
      <c r="P106" s="1178"/>
      <c r="Q106" s="1178"/>
      <c r="R106" s="1178"/>
      <c r="S106" s="1178"/>
      <c r="T106" s="2"/>
      <c r="U106" s="2"/>
      <c r="V106" s="2"/>
      <c r="W106" s="2"/>
      <c r="X106" s="2"/>
      <c r="Y106" s="2"/>
      <c r="Z106" s="2"/>
      <c r="AA106" s="2"/>
      <c r="AB106" s="2"/>
      <c r="AC106" s="2"/>
      <c r="AD106" s="2"/>
      <c r="AE106" s="2"/>
      <c r="AF106" s="2"/>
      <c r="AG106" s="2"/>
      <c r="AH106" s="2"/>
    </row>
    <row r="107" spans="1:34" ht="15.75" thickBot="1">
      <c r="A107" s="1126"/>
      <c r="B107" s="1174"/>
      <c r="C107" s="415"/>
      <c r="D107" s="422"/>
      <c r="E107" s="422"/>
      <c r="F107" s="422"/>
      <c r="G107" s="831"/>
      <c r="H107" s="442"/>
      <c r="I107" s="1178"/>
      <c r="J107" s="1178"/>
      <c r="K107" s="1178"/>
      <c r="L107" s="1178"/>
      <c r="M107" s="1178"/>
      <c r="N107" s="1178"/>
      <c r="O107" s="1178"/>
      <c r="P107" s="1178"/>
      <c r="Q107" s="1178"/>
      <c r="R107" s="1178"/>
      <c r="S107" s="1178"/>
      <c r="T107" s="2"/>
      <c r="U107" s="2"/>
      <c r="V107" s="2"/>
      <c r="W107" s="2"/>
      <c r="X107" s="2"/>
      <c r="Y107" s="2"/>
      <c r="Z107" s="2"/>
      <c r="AA107" s="2"/>
      <c r="AB107" s="2"/>
      <c r="AC107" s="2"/>
      <c r="AD107" s="2"/>
      <c r="AE107" s="2"/>
      <c r="AF107" s="2"/>
      <c r="AG107" s="2"/>
      <c r="AH107" s="2"/>
    </row>
    <row r="108" spans="1:34" ht="16.5" thickTop="1" thickBot="1">
      <c r="A108" s="2331" t="s">
        <v>763</v>
      </c>
      <c r="B108" s="2332"/>
      <c r="C108" s="298"/>
      <c r="D108" s="12"/>
      <c r="E108" s="12"/>
      <c r="F108" s="12"/>
      <c r="G108" s="26"/>
      <c r="H108" s="24"/>
      <c r="I108" s="20"/>
      <c r="J108" s="20"/>
      <c r="K108" s="20"/>
      <c r="L108" s="20"/>
      <c r="M108" s="20"/>
      <c r="N108" s="20"/>
      <c r="O108" s="20"/>
      <c r="P108" s="20"/>
      <c r="Q108" s="20"/>
      <c r="R108" s="20"/>
      <c r="S108" s="20"/>
    </row>
    <row r="109" spans="1:34" ht="15.75" thickTop="1">
      <c r="A109" s="1124"/>
      <c r="B109" s="1105" t="s">
        <v>764</v>
      </c>
      <c r="C109" s="415"/>
      <c r="D109" s="422"/>
      <c r="E109" s="422"/>
      <c r="F109" s="422"/>
      <c r="G109" s="831"/>
      <c r="H109" s="442"/>
      <c r="I109" s="1178"/>
      <c r="J109" s="1178"/>
      <c r="K109" s="1178"/>
      <c r="L109" s="1178"/>
      <c r="M109" s="1178"/>
      <c r="N109" s="1178"/>
      <c r="O109" s="1178"/>
      <c r="P109" s="1178"/>
      <c r="Q109" s="1178"/>
      <c r="R109" s="1178"/>
      <c r="S109" s="1178"/>
    </row>
    <row r="110" spans="1:34">
      <c r="A110" s="1124"/>
      <c r="B110" s="1105" t="s">
        <v>765</v>
      </c>
      <c r="C110" s="415"/>
      <c r="D110" s="422"/>
      <c r="E110" s="422"/>
      <c r="F110" s="422"/>
      <c r="G110" s="831"/>
      <c r="H110" s="442"/>
      <c r="I110" s="1178"/>
      <c r="J110" s="1178"/>
      <c r="K110" s="1178"/>
      <c r="L110" s="1178"/>
      <c r="M110" s="1178"/>
      <c r="N110" s="1178"/>
      <c r="O110" s="1178"/>
      <c r="P110" s="1178"/>
      <c r="Q110" s="1178"/>
      <c r="R110" s="1178"/>
      <c r="S110" s="1178"/>
    </row>
    <row r="111" spans="1:34">
      <c r="A111" s="1124"/>
      <c r="B111" s="1105" t="s">
        <v>766</v>
      </c>
      <c r="C111" s="415"/>
      <c r="D111" s="422"/>
      <c r="E111" s="422"/>
      <c r="F111" s="422"/>
      <c r="G111" s="831"/>
      <c r="H111" s="442"/>
      <c r="I111" s="1178"/>
      <c r="J111" s="1178"/>
      <c r="K111" s="1178"/>
      <c r="L111" s="1178"/>
      <c r="M111" s="1178"/>
      <c r="N111" s="1178"/>
      <c r="O111" s="1178"/>
      <c r="P111" s="1178"/>
      <c r="Q111" s="1178"/>
      <c r="R111" s="1178"/>
      <c r="S111" s="1178"/>
    </row>
    <row r="112" spans="1:34">
      <c r="A112" s="1124"/>
      <c r="B112" s="1105" t="s">
        <v>767</v>
      </c>
      <c r="C112" s="415"/>
      <c r="D112" s="422"/>
      <c r="E112" s="422"/>
      <c r="F112" s="422"/>
      <c r="G112" s="831"/>
      <c r="H112" s="442"/>
      <c r="I112" s="1178"/>
      <c r="J112" s="1178"/>
      <c r="K112" s="1178"/>
      <c r="L112" s="1178"/>
      <c r="M112" s="1178"/>
      <c r="N112" s="1178"/>
      <c r="O112" s="1178"/>
      <c r="P112" s="1178"/>
      <c r="Q112" s="1178"/>
      <c r="R112" s="1178"/>
      <c r="S112" s="1178"/>
    </row>
    <row r="113" spans="1:19" ht="15.75" thickBot="1">
      <c r="A113" s="443"/>
      <c r="B113" s="421"/>
      <c r="C113" s="23"/>
      <c r="D113" s="86"/>
      <c r="E113" s="86"/>
      <c r="F113" s="86"/>
      <c r="G113" s="27"/>
      <c r="H113" s="25"/>
      <c r="I113" s="444"/>
      <c r="J113" s="444"/>
      <c r="K113" s="444"/>
      <c r="L113" s="444"/>
      <c r="M113" s="444"/>
      <c r="N113" s="444"/>
      <c r="O113" s="444"/>
      <c r="P113" s="444"/>
      <c r="Q113" s="444"/>
      <c r="R113" s="444"/>
      <c r="S113" s="444"/>
    </row>
    <row r="114" spans="1:19" ht="16.5" thickTop="1" thickBot="1">
      <c r="A114" s="72" t="s">
        <v>768</v>
      </c>
      <c r="B114" s="73"/>
      <c r="C114" s="298"/>
      <c r="D114" s="12"/>
      <c r="E114" s="12"/>
      <c r="F114" s="12"/>
      <c r="G114" s="26"/>
      <c r="H114" s="24"/>
      <c r="I114" s="20"/>
      <c r="J114" s="20"/>
      <c r="K114" s="20"/>
      <c r="L114" s="20"/>
      <c r="M114" s="20"/>
      <c r="N114" s="20"/>
      <c r="O114" s="20"/>
      <c r="P114" s="20"/>
      <c r="Q114" s="20"/>
      <c r="R114" s="20"/>
      <c r="S114" s="20"/>
    </row>
    <row r="115" spans="1:19" ht="15.75" thickTop="1">
      <c r="A115" s="1169"/>
      <c r="B115" s="1179" t="s">
        <v>769</v>
      </c>
      <c r="C115" s="1276"/>
      <c r="D115" s="1089"/>
      <c r="E115" s="1089"/>
      <c r="F115" s="1089"/>
      <c r="G115" s="1170"/>
      <c r="H115" s="1180"/>
      <c r="I115" s="1181"/>
      <c r="J115" s="1181"/>
      <c r="K115" s="1181"/>
      <c r="L115" s="1181"/>
      <c r="M115" s="1181"/>
      <c r="N115" s="1181"/>
      <c r="O115" s="1181"/>
      <c r="P115" s="1181"/>
      <c r="Q115" s="1181"/>
      <c r="R115" s="1181"/>
      <c r="S115" s="1181"/>
    </row>
    <row r="116" spans="1:19">
      <c r="A116" s="1124"/>
      <c r="B116" s="1105" t="s">
        <v>770</v>
      </c>
      <c r="C116" s="415"/>
      <c r="D116" s="422"/>
      <c r="E116" s="422"/>
      <c r="F116" s="422"/>
      <c r="G116" s="831"/>
      <c r="H116" s="445"/>
      <c r="I116" s="1182"/>
      <c r="J116" s="1182"/>
      <c r="K116" s="1182"/>
      <c r="L116" s="1182"/>
      <c r="M116" s="1182"/>
      <c r="N116" s="1182"/>
      <c r="O116" s="1182"/>
      <c r="P116" s="1182"/>
      <c r="Q116" s="1182"/>
      <c r="R116" s="1182"/>
      <c r="S116" s="1182"/>
    </row>
    <row r="117" spans="1:19" ht="15.75" thickBot="1">
      <c r="A117" s="1183"/>
      <c r="B117" s="1184" t="s">
        <v>771</v>
      </c>
      <c r="C117" s="1185"/>
      <c r="D117" s="1186"/>
      <c r="E117" s="1186"/>
      <c r="F117" s="1186"/>
      <c r="G117" s="1187"/>
      <c r="H117" s="1188"/>
      <c r="I117" s="1189"/>
      <c r="J117" s="1189"/>
      <c r="K117" s="1189"/>
      <c r="L117" s="1189"/>
      <c r="M117" s="1189"/>
      <c r="N117" s="1189"/>
      <c r="O117" s="1189"/>
      <c r="P117" s="1189"/>
      <c r="Q117" s="1189"/>
      <c r="R117" s="1189"/>
      <c r="S117" s="1189"/>
    </row>
    <row r="118" spans="1:19" ht="16.5" thickTop="1" thickBot="1">
      <c r="F118" s="2"/>
      <c r="G118" s="2"/>
      <c r="H118" s="2"/>
      <c r="I118" s="2"/>
      <c r="J118" s="2"/>
      <c r="K118" s="2"/>
      <c r="L118" s="2"/>
      <c r="M118" s="2"/>
      <c r="N118" s="2"/>
      <c r="O118" s="2"/>
      <c r="P118" s="2"/>
      <c r="Q118" s="2"/>
      <c r="R118" s="2"/>
      <c r="S118" s="2"/>
    </row>
    <row r="119" spans="1:19" ht="16.5" thickTop="1" thickBot="1">
      <c r="A119" s="37" t="s">
        <v>772</v>
      </c>
      <c r="B119" s="39"/>
      <c r="F119" s="2"/>
      <c r="G119" s="2"/>
      <c r="H119" s="2"/>
      <c r="I119" s="2"/>
      <c r="J119" s="2"/>
      <c r="K119" s="2"/>
      <c r="L119" s="2"/>
      <c r="M119" s="2"/>
      <c r="N119" s="2"/>
      <c r="O119" s="2"/>
      <c r="P119" s="2"/>
      <c r="Q119" s="2"/>
      <c r="R119" s="2"/>
      <c r="S119" s="2"/>
    </row>
    <row r="120" spans="1:19" ht="15.75" thickTop="1">
      <c r="A120" s="38" t="s">
        <v>693</v>
      </c>
      <c r="B120" s="1277" t="str">
        <f>H5</f>
        <v>Metromont</v>
      </c>
      <c r="F120" s="2"/>
      <c r="G120" s="2"/>
      <c r="H120" s="2"/>
      <c r="I120" s="2"/>
      <c r="J120" s="2"/>
      <c r="K120" s="2"/>
      <c r="L120" s="2"/>
      <c r="M120" s="2"/>
      <c r="N120" s="2"/>
      <c r="O120" s="2"/>
      <c r="P120" s="2"/>
      <c r="Q120" s="2"/>
      <c r="R120" s="2"/>
      <c r="S120" s="2"/>
    </row>
    <row r="121" spans="1:19">
      <c r="A121" s="1142" t="s">
        <v>702</v>
      </c>
      <c r="B121" s="1277" t="str">
        <f>H6</f>
        <v>Eric Scherden</v>
      </c>
      <c r="F121" s="2"/>
      <c r="G121" s="2"/>
      <c r="H121" s="2"/>
      <c r="I121" s="2"/>
      <c r="J121" s="2"/>
      <c r="K121" s="2"/>
      <c r="L121" s="2"/>
      <c r="M121" s="2"/>
      <c r="N121" s="2"/>
      <c r="O121" s="2"/>
      <c r="P121" s="2"/>
      <c r="Q121" s="2"/>
      <c r="R121" s="2"/>
      <c r="S121" s="2"/>
    </row>
    <row r="122" spans="1:19">
      <c r="A122" s="1191" t="s">
        <v>708</v>
      </c>
      <c r="B122" s="1192" t="str">
        <f>H7</f>
        <v> 813-417-8796</v>
      </c>
      <c r="F122" s="2"/>
      <c r="G122" s="2"/>
      <c r="H122" s="2"/>
      <c r="I122" s="2"/>
      <c r="J122" s="2"/>
      <c r="K122" s="2"/>
      <c r="L122" s="2"/>
      <c r="M122" s="2"/>
      <c r="N122" s="2"/>
      <c r="O122" s="2"/>
      <c r="P122" s="2"/>
      <c r="Q122" s="2"/>
      <c r="R122" s="2"/>
      <c r="S122" s="2"/>
    </row>
    <row r="123" spans="1:19">
      <c r="A123" s="1191" t="s">
        <v>713</v>
      </c>
      <c r="B123" s="1278" t="str">
        <f>H8</f>
        <v xml:space="preserve"> escherden@metromont.com </v>
      </c>
      <c r="F123" s="2"/>
      <c r="G123" s="2"/>
      <c r="H123" s="2"/>
      <c r="I123" s="2"/>
      <c r="J123" s="2"/>
      <c r="K123" s="2"/>
      <c r="L123" s="2"/>
      <c r="M123" s="2"/>
      <c r="N123" s="2"/>
      <c r="O123" s="2"/>
      <c r="P123" s="2"/>
      <c r="Q123" s="2"/>
      <c r="R123" s="2"/>
      <c r="S123" s="2"/>
    </row>
    <row r="124" spans="1:19" ht="15.75" thickBot="1">
      <c r="A124" s="1194" t="s">
        <v>69</v>
      </c>
      <c r="B124" s="1231">
        <f>H9</f>
        <v>21767756</v>
      </c>
      <c r="F124" s="2"/>
      <c r="G124" s="2"/>
      <c r="H124" s="2"/>
      <c r="I124" s="2"/>
      <c r="J124" s="2"/>
      <c r="K124" s="2"/>
      <c r="L124" s="2"/>
      <c r="M124" s="2"/>
      <c r="N124" s="2"/>
      <c r="O124" s="2"/>
      <c r="P124" s="2"/>
      <c r="Q124" s="2"/>
      <c r="R124" s="2"/>
      <c r="S124" s="2"/>
    </row>
    <row r="125" spans="1:19" ht="15.75" thickTop="1"/>
  </sheetData>
  <mergeCells count="40">
    <mergeCell ref="A92:B92"/>
    <mergeCell ref="A96:B96"/>
    <mergeCell ref="A100:B100"/>
    <mergeCell ref="A104:B104"/>
    <mergeCell ref="A108:B108"/>
    <mergeCell ref="H5:I5"/>
    <mergeCell ref="J5:K5"/>
    <mergeCell ref="L5:M5"/>
    <mergeCell ref="N5:O5"/>
    <mergeCell ref="H4:I4"/>
    <mergeCell ref="J4:K4"/>
    <mergeCell ref="L4:M4"/>
    <mergeCell ref="N4:O4"/>
    <mergeCell ref="H7:I7"/>
    <mergeCell ref="J7:K7"/>
    <mergeCell ref="L7:M7"/>
    <mergeCell ref="N7:O7"/>
    <mergeCell ref="H6:I6"/>
    <mergeCell ref="J6:K6"/>
    <mergeCell ref="L6:M6"/>
    <mergeCell ref="N6:O6"/>
    <mergeCell ref="H9:I9"/>
    <mergeCell ref="J9:K9"/>
    <mergeCell ref="L9:M9"/>
    <mergeCell ref="N9:O9"/>
    <mergeCell ref="J8:K8"/>
    <mergeCell ref="L8:M8"/>
    <mergeCell ref="N8:O8"/>
    <mergeCell ref="R8:S8"/>
    <mergeCell ref="P9:Q9"/>
    <mergeCell ref="R9:S9"/>
    <mergeCell ref="P4:Q4"/>
    <mergeCell ref="R4:S4"/>
    <mergeCell ref="P5:Q5"/>
    <mergeCell ref="R5:S5"/>
    <mergeCell ref="P6:Q6"/>
    <mergeCell ref="R6:S6"/>
    <mergeCell ref="P7:Q7"/>
    <mergeCell ref="R7:S7"/>
    <mergeCell ref="P8:Q8"/>
  </mergeCells>
  <conditionalFormatting sqref="H11:H19 J11:J19 L11:L19 N11:N19 P11:P19 R11:R19 H21:H83 J21:J83 L21:L83 N21:N83 P21:P83 R21:R83">
    <cfRule type="cellIs" dxfId="629" priority="13" operator="equal">
      <formula>"X"</formula>
    </cfRule>
    <cfRule type="cellIs" dxfId="628" priority="14" operator="equal">
      <formula>"I"</formula>
    </cfRule>
  </conditionalFormatting>
  <hyperlinks>
    <hyperlink ref="B4" location="'Cost Summary'!A1" display="BACK TO SUMMARY SHEET" xr:uid="{1008E6F8-37B3-41C5-87BA-27B7A59CAE36}"/>
    <hyperlink ref="H8" r:id="rId1" xr:uid="{4B75FC47-53FA-48B7-8ADC-B49FB9C20141}"/>
  </hyperlinks>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F892-E0D9-449E-9AD4-6E287B15F442}">
  <sheetPr>
    <tabColor theme="5" tint="0.39997558519241921"/>
  </sheetPr>
  <dimension ref="A1:AO92"/>
  <sheetViews>
    <sheetView zoomScale="90" zoomScaleNormal="90" workbookViewId="0">
      <pane xSplit="2" ySplit="10" topLeftCell="C11" activePane="bottomRight" state="frozen"/>
      <selection pane="topRight" activeCell="C1" sqref="C1"/>
      <selection pane="bottomLeft" activeCell="A11" sqref="A11"/>
      <selection pane="bottomRight" activeCell="H29" sqref="H29"/>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912</v>
      </c>
      <c r="I4" s="2320"/>
      <c r="J4" s="2319" t="s">
        <v>687</v>
      </c>
      <c r="K4" s="2320"/>
      <c r="L4" s="2319" t="s">
        <v>688</v>
      </c>
      <c r="M4" s="2320"/>
      <c r="N4" s="2319" t="s">
        <v>689</v>
      </c>
      <c r="O4" s="2320"/>
      <c r="P4" s="2319" t="s">
        <v>690</v>
      </c>
      <c r="Q4" s="2320"/>
      <c r="R4" s="2319" t="s">
        <v>691</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1196" t="s">
        <v>989</v>
      </c>
      <c r="C6" s="415"/>
      <c r="D6" s="416"/>
      <c r="E6" s="417"/>
      <c r="F6" s="418"/>
      <c r="G6" s="419" t="s">
        <v>702</v>
      </c>
      <c r="H6" s="2325"/>
      <c r="I6" s="2326"/>
      <c r="J6" s="2325"/>
      <c r="K6" s="2326"/>
      <c r="L6" s="2325"/>
      <c r="M6" s="2326"/>
      <c r="N6" s="2325"/>
      <c r="O6" s="2326"/>
      <c r="P6" s="2313"/>
      <c r="Q6" s="2314"/>
      <c r="R6" s="2313"/>
      <c r="S6" s="2314"/>
      <c r="X6" s="261"/>
    </row>
    <row r="7" spans="1:24">
      <c r="A7" s="1082" t="s">
        <v>706</v>
      </c>
      <c r="B7" s="1197" t="s">
        <v>990</v>
      </c>
      <c r="C7" s="415"/>
      <c r="D7" s="416"/>
      <c r="E7" s="417"/>
      <c r="F7" s="418"/>
      <c r="G7" s="829" t="s">
        <v>708</v>
      </c>
      <c r="H7" s="2325"/>
      <c r="I7" s="2326"/>
      <c r="J7" s="2325"/>
      <c r="K7" s="2326"/>
      <c r="L7" s="2325"/>
      <c r="M7" s="2326"/>
      <c r="N7" s="2325"/>
      <c r="O7" s="2326"/>
      <c r="P7" s="2313"/>
      <c r="Q7" s="2314"/>
      <c r="R7" s="2313"/>
      <c r="S7" s="2314"/>
      <c r="X7" s="261"/>
    </row>
    <row r="8" spans="1:24">
      <c r="A8" s="1082" t="s">
        <v>712</v>
      </c>
      <c r="B8" s="1198"/>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I56</f>
        <v>0</v>
      </c>
      <c r="I9" s="2318"/>
      <c r="J9" s="2317">
        <f>K56</f>
        <v>0</v>
      </c>
      <c r="K9" s="2318"/>
      <c r="L9" s="2317">
        <f>M56</f>
        <v>0</v>
      </c>
      <c r="M9" s="2318"/>
      <c r="N9" s="2330">
        <f>O56</f>
        <v>0</v>
      </c>
      <c r="O9" s="2330"/>
      <c r="P9" s="2317">
        <f>Q56</f>
        <v>0</v>
      </c>
      <c r="Q9" s="2318"/>
      <c r="R9" s="2317">
        <f>S56</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086"/>
      <c r="B11" s="1260" t="s">
        <v>725</v>
      </c>
      <c r="C11" s="1279"/>
      <c r="D11" s="1089"/>
      <c r="E11" s="1089"/>
      <c r="F11" s="1090"/>
      <c r="G11" s="1091"/>
      <c r="H11" s="1262"/>
      <c r="I11" s="1094"/>
      <c r="J11" s="1262"/>
      <c r="K11" s="285"/>
      <c r="L11" s="1262"/>
      <c r="M11" s="1093"/>
      <c r="N11" s="1262"/>
      <c r="O11" s="1093"/>
      <c r="P11" s="1262"/>
      <c r="Q11" s="1093"/>
      <c r="R11" s="1262"/>
      <c r="S11" s="1093"/>
    </row>
    <row r="12" spans="1:24">
      <c r="A12" s="1086"/>
      <c r="B12" s="1263" t="s">
        <v>726</v>
      </c>
      <c r="C12" s="446"/>
      <c r="D12" s="422"/>
      <c r="E12" s="422"/>
      <c r="F12" s="418"/>
      <c r="G12" s="423"/>
      <c r="H12" s="1264"/>
      <c r="I12" s="1094"/>
      <c r="J12" s="1264"/>
      <c r="K12" s="1093"/>
      <c r="L12" s="1264"/>
      <c r="M12" s="1093"/>
      <c r="N12" s="1264"/>
      <c r="O12" s="1093"/>
      <c r="P12" s="1264"/>
      <c r="Q12" s="1093"/>
      <c r="R12" s="1264"/>
      <c r="S12" s="1093"/>
    </row>
    <row r="13" spans="1:24">
      <c r="A13" s="1097"/>
      <c r="B13" s="1263" t="s">
        <v>728</v>
      </c>
      <c r="C13" s="446"/>
      <c r="D13" s="422"/>
      <c r="E13" s="422"/>
      <c r="F13" s="418"/>
      <c r="G13" s="423"/>
      <c r="H13" s="1264"/>
      <c r="I13" s="1094"/>
      <c r="J13" s="1264"/>
      <c r="K13" s="1093"/>
      <c r="L13" s="1264"/>
      <c r="M13" s="1093"/>
      <c r="N13" s="1264"/>
      <c r="O13" s="1093"/>
      <c r="P13" s="1264"/>
      <c r="Q13" s="1093"/>
      <c r="R13" s="1264"/>
      <c r="S13" s="1093"/>
    </row>
    <row r="14" spans="1:24">
      <c r="A14" s="1086"/>
      <c r="B14" s="1265" t="s">
        <v>729</v>
      </c>
      <c r="C14" s="446"/>
      <c r="D14" s="422"/>
      <c r="E14" s="422"/>
      <c r="F14" s="418"/>
      <c r="G14" s="423"/>
      <c r="H14" s="1264"/>
      <c r="I14" s="1094"/>
      <c r="J14" s="1264"/>
      <c r="K14" s="1093"/>
      <c r="L14" s="1264"/>
      <c r="M14" s="1093"/>
      <c r="N14" s="1264"/>
      <c r="O14" s="1093"/>
      <c r="P14" s="1264"/>
      <c r="Q14" s="1093"/>
      <c r="R14" s="1264"/>
      <c r="S14" s="1093"/>
    </row>
    <row r="15" spans="1:24">
      <c r="A15" s="1097"/>
      <c r="B15" s="1265" t="s">
        <v>731</v>
      </c>
      <c r="C15" s="446"/>
      <c r="D15" s="422"/>
      <c r="E15" s="422"/>
      <c r="F15" s="418"/>
      <c r="G15" s="423"/>
      <c r="H15" s="1264"/>
      <c r="I15" s="1094"/>
      <c r="J15" s="1264"/>
      <c r="K15" s="1094"/>
      <c r="L15" s="1264"/>
      <c r="M15" s="1094"/>
      <c r="N15" s="1264"/>
      <c r="O15" s="1094"/>
      <c r="P15" s="1264"/>
      <c r="Q15" s="1094"/>
      <c r="R15" s="1264"/>
      <c r="S15" s="1094"/>
    </row>
    <row r="16" spans="1:24">
      <c r="A16" s="1086"/>
      <c r="B16" s="1265" t="s">
        <v>732</v>
      </c>
      <c r="C16" s="446"/>
      <c r="D16" s="422"/>
      <c r="E16" s="422"/>
      <c r="F16" s="418"/>
      <c r="G16" s="423"/>
      <c r="H16" s="1264"/>
      <c r="I16" s="1094"/>
      <c r="J16" s="1264"/>
      <c r="K16" s="1093"/>
      <c r="L16" s="1264"/>
      <c r="M16" s="1093"/>
      <c r="N16" s="1264"/>
      <c r="O16" s="1093"/>
      <c r="P16" s="1264"/>
      <c r="Q16" s="1093"/>
      <c r="R16" s="1264"/>
      <c r="S16" s="1093"/>
    </row>
    <row r="17" spans="1:41">
      <c r="A17" s="1097"/>
      <c r="B17" s="1265" t="s">
        <v>733</v>
      </c>
      <c r="C17" s="446"/>
      <c r="D17" s="422"/>
      <c r="E17" s="422"/>
      <c r="F17" s="418"/>
      <c r="G17" s="423"/>
      <c r="H17" s="1264"/>
      <c r="I17" s="1094"/>
      <c r="J17" s="1264"/>
      <c r="K17" s="1093"/>
      <c r="L17" s="1264"/>
      <c r="M17" s="1093"/>
      <c r="N17" s="1264"/>
      <c r="O17" s="1093"/>
      <c r="P17" s="1264"/>
      <c r="Q17" s="1093"/>
      <c r="R17" s="1264"/>
      <c r="S17" s="1093"/>
    </row>
    <row r="18" spans="1:41">
      <c r="A18" s="1086"/>
      <c r="B18" s="1154" t="s">
        <v>736</v>
      </c>
      <c r="C18" s="446"/>
      <c r="D18" s="422"/>
      <c r="E18" s="422"/>
      <c r="F18" s="418"/>
      <c r="G18" s="423"/>
      <c r="H18" s="1264"/>
      <c r="I18" s="1094"/>
      <c r="J18" s="1264"/>
      <c r="K18" s="1093"/>
      <c r="L18" s="1264"/>
      <c r="M18" s="1093"/>
      <c r="N18" s="1264"/>
      <c r="O18" s="1093"/>
      <c r="P18" s="1264"/>
      <c r="Q18" s="1093"/>
      <c r="R18" s="1264"/>
      <c r="S18" s="1093"/>
    </row>
    <row r="19" spans="1:41">
      <c r="A19" s="1097"/>
      <c r="B19" s="1280" t="s">
        <v>737</v>
      </c>
      <c r="C19" s="447"/>
      <c r="D19" s="425"/>
      <c r="E19" s="425"/>
      <c r="F19" s="426"/>
      <c r="G19" s="427"/>
      <c r="H19" s="1156"/>
      <c r="I19" s="1236"/>
      <c r="J19" s="1156"/>
      <c r="K19" s="1237"/>
      <c r="L19" s="1156"/>
      <c r="M19" s="1237"/>
      <c r="N19" s="1156"/>
      <c r="O19" s="1237"/>
      <c r="P19" s="1156"/>
      <c r="Q19" s="1237"/>
      <c r="R19" s="1156"/>
      <c r="S19" s="1237"/>
    </row>
    <row r="20" spans="1:41">
      <c r="A20" s="1086"/>
      <c r="B20" s="1104"/>
      <c r="C20" s="70"/>
      <c r="D20" s="86"/>
      <c r="E20" s="86"/>
      <c r="F20" s="280"/>
      <c r="G20" s="274"/>
      <c r="H20" s="1264"/>
      <c r="I20" s="428"/>
      <c r="J20" s="1264"/>
      <c r="K20" s="428"/>
      <c r="L20" s="1264"/>
      <c r="M20" s="428"/>
      <c r="N20" s="1264"/>
      <c r="O20" s="428"/>
      <c r="P20" s="1264"/>
      <c r="Q20" s="428"/>
      <c r="R20" s="1264"/>
      <c r="S20" s="428"/>
    </row>
    <row r="21" spans="1:41" s="69" customFormat="1">
      <c r="A21" s="1097"/>
      <c r="B21" s="1105"/>
      <c r="C21" s="415"/>
      <c r="D21" s="422"/>
      <c r="E21" s="422"/>
      <c r="F21" s="429"/>
      <c r="G21" s="423"/>
      <c r="H21" s="1264"/>
      <c r="I21" s="1107"/>
      <c r="J21" s="1264"/>
      <c r="K21" s="1106"/>
      <c r="L21" s="1264"/>
      <c r="M21" s="1106"/>
      <c r="N21" s="1264"/>
      <c r="O21" s="1107"/>
      <c r="P21" s="1264"/>
      <c r="Q21" s="1107"/>
      <c r="R21" s="1264"/>
      <c r="S21" s="1106"/>
      <c r="T21"/>
      <c r="U21"/>
      <c r="V21"/>
      <c r="W21"/>
      <c r="X21"/>
      <c r="Y21"/>
      <c r="Z21"/>
      <c r="AA21"/>
      <c r="AB21"/>
      <c r="AC21"/>
      <c r="AD21"/>
      <c r="AE21"/>
      <c r="AF21"/>
      <c r="AG21"/>
      <c r="AH21"/>
      <c r="AI21"/>
      <c r="AJ21"/>
      <c r="AK21"/>
      <c r="AL21"/>
      <c r="AM21"/>
      <c r="AN21"/>
      <c r="AO21"/>
    </row>
    <row r="22" spans="1:41">
      <c r="A22" s="1086"/>
      <c r="B22" s="1268"/>
      <c r="C22" s="1276"/>
      <c r="D22" s="1160"/>
      <c r="E22" s="1089"/>
      <c r="F22" s="1161"/>
      <c r="G22" s="1162"/>
      <c r="H22" s="1264"/>
      <c r="I22" s="1093"/>
      <c r="J22" s="1264"/>
      <c r="K22" s="1093"/>
      <c r="L22" s="1264"/>
      <c r="M22" s="1093"/>
      <c r="N22" s="1264"/>
      <c r="O22" s="1093"/>
      <c r="P22" s="1264"/>
      <c r="Q22" s="1093"/>
      <c r="R22" s="1264"/>
      <c r="S22" s="1093"/>
    </row>
    <row r="23" spans="1:41">
      <c r="A23" s="1097"/>
      <c r="B23" s="1268"/>
      <c r="C23" s="415"/>
      <c r="D23" s="430"/>
      <c r="E23" s="422"/>
      <c r="F23" s="431"/>
      <c r="G23" s="1162"/>
      <c r="H23" s="1264"/>
      <c r="I23" s="1093"/>
      <c r="J23" s="1264"/>
      <c r="K23" s="1093"/>
      <c r="L23" s="1264"/>
      <c r="M23" s="1093"/>
      <c r="N23" s="1264"/>
      <c r="O23" s="1093"/>
      <c r="P23" s="1264"/>
      <c r="Q23" s="1093"/>
      <c r="R23" s="1264"/>
      <c r="S23" s="1093"/>
    </row>
    <row r="24" spans="1:41">
      <c r="A24" s="1086"/>
      <c r="B24" s="1268"/>
      <c r="C24" s="415"/>
      <c r="D24" s="430"/>
      <c r="E24" s="422"/>
      <c r="F24" s="431"/>
      <c r="G24" s="1162"/>
      <c r="H24" s="1264"/>
      <c r="I24" s="1093"/>
      <c r="J24" s="1264"/>
      <c r="K24" s="1093"/>
      <c r="L24" s="1264"/>
      <c r="M24" s="1093"/>
      <c r="N24" s="1264"/>
      <c r="O24" s="1093"/>
      <c r="P24" s="1264"/>
      <c r="Q24" s="1093"/>
      <c r="R24" s="1264"/>
      <c r="S24" s="1093"/>
    </row>
    <row r="25" spans="1:41">
      <c r="A25" s="1097"/>
      <c r="B25" s="1268"/>
      <c r="C25" s="415"/>
      <c r="D25" s="430"/>
      <c r="E25" s="422"/>
      <c r="F25" s="431"/>
      <c r="G25" s="1162"/>
      <c r="H25" s="1264"/>
      <c r="I25" s="1093"/>
      <c r="J25" s="1264"/>
      <c r="K25" s="1093"/>
      <c r="L25" s="1264"/>
      <c r="M25" s="1093"/>
      <c r="N25" s="1264"/>
      <c r="O25" s="1093"/>
      <c r="P25" s="1264"/>
      <c r="Q25" s="1093"/>
      <c r="R25" s="1264"/>
      <c r="S25" s="1093"/>
    </row>
    <row r="26" spans="1:41">
      <c r="A26" s="1086"/>
      <c r="B26" s="1268"/>
      <c r="C26" s="415"/>
      <c r="D26" s="430"/>
      <c r="E26" s="422"/>
      <c r="F26" s="431"/>
      <c r="G26" s="1162"/>
      <c r="H26" s="1264"/>
      <c r="I26" s="1093"/>
      <c r="J26" s="1264"/>
      <c r="K26" s="1093"/>
      <c r="L26" s="1264"/>
      <c r="M26" s="1093"/>
      <c r="N26" s="1264"/>
      <c r="O26" s="1093"/>
      <c r="P26" s="1264"/>
      <c r="Q26" s="1093"/>
      <c r="R26" s="1264"/>
      <c r="S26" s="1093"/>
    </row>
    <row r="27" spans="1:41">
      <c r="A27" s="1097"/>
      <c r="B27" s="1268"/>
      <c r="C27" s="415"/>
      <c r="D27" s="430"/>
      <c r="E27" s="422"/>
      <c r="F27" s="431"/>
      <c r="G27" s="1162"/>
      <c r="H27" s="1264"/>
      <c r="I27" s="1093"/>
      <c r="J27" s="1264"/>
      <c r="K27" s="1093"/>
      <c r="L27" s="1264"/>
      <c r="M27" s="1093"/>
      <c r="N27" s="1264"/>
      <c r="O27" s="1093"/>
      <c r="P27" s="1264"/>
      <c r="Q27" s="1093"/>
      <c r="R27" s="1264"/>
      <c r="S27" s="1093"/>
    </row>
    <row r="28" spans="1:41">
      <c r="A28" s="1086"/>
      <c r="B28" s="1268"/>
      <c r="C28" s="415"/>
      <c r="D28" s="430"/>
      <c r="E28" s="422"/>
      <c r="F28" s="431"/>
      <c r="G28" s="1162"/>
      <c r="H28" s="1264"/>
      <c r="I28" s="1093"/>
      <c r="J28" s="1264"/>
      <c r="K28" s="1093"/>
      <c r="L28" s="1264"/>
      <c r="M28" s="1093"/>
      <c r="N28" s="1264"/>
      <c r="O28" s="1093"/>
      <c r="P28" s="1264"/>
      <c r="Q28" s="1093"/>
      <c r="R28" s="1264"/>
      <c r="S28" s="1093"/>
    </row>
    <row r="29" spans="1:41">
      <c r="A29" s="1097"/>
      <c r="B29" s="1268"/>
      <c r="C29" s="415"/>
      <c r="D29" s="430"/>
      <c r="E29" s="422"/>
      <c r="F29" s="431"/>
      <c r="G29" s="1162"/>
      <c r="H29" s="1264"/>
      <c r="I29" s="1093"/>
      <c r="J29" s="1264"/>
      <c r="K29" s="1093"/>
      <c r="L29" s="1264"/>
      <c r="M29" s="1093"/>
      <c r="N29" s="1264"/>
      <c r="O29" s="1093"/>
      <c r="P29" s="1264"/>
      <c r="Q29" s="1093"/>
      <c r="R29" s="1264"/>
      <c r="S29" s="1093"/>
    </row>
    <row r="30" spans="1:41">
      <c r="A30" s="1086"/>
      <c r="B30" s="1268"/>
      <c r="C30" s="415"/>
      <c r="D30" s="430"/>
      <c r="E30" s="422"/>
      <c r="F30" s="431"/>
      <c r="G30" s="1162"/>
      <c r="H30" s="1264"/>
      <c r="I30" s="1093"/>
      <c r="J30" s="1264"/>
      <c r="K30" s="1093"/>
      <c r="L30" s="1264"/>
      <c r="M30" s="1093"/>
      <c r="N30" s="1264"/>
      <c r="O30" s="1093"/>
      <c r="P30" s="1264"/>
      <c r="Q30" s="1093"/>
      <c r="R30" s="1264"/>
      <c r="S30" s="1093"/>
    </row>
    <row r="31" spans="1:41">
      <c r="A31" s="1097"/>
      <c r="B31" s="1268"/>
      <c r="C31" s="415"/>
      <c r="D31" s="430"/>
      <c r="E31" s="422"/>
      <c r="F31" s="431"/>
      <c r="G31" s="1162"/>
      <c r="H31" s="1264"/>
      <c r="I31" s="1093"/>
      <c r="J31" s="1264"/>
      <c r="K31" s="1093"/>
      <c r="L31" s="1264"/>
      <c r="M31" s="1093"/>
      <c r="N31" s="1264"/>
      <c r="O31" s="1093"/>
      <c r="P31" s="1264"/>
      <c r="Q31" s="1093"/>
      <c r="R31" s="1264"/>
      <c r="S31" s="1093"/>
    </row>
    <row r="32" spans="1:41">
      <c r="A32" s="1086"/>
      <c r="B32" s="1163"/>
      <c r="C32" s="23"/>
      <c r="D32" s="430"/>
      <c r="E32" s="422"/>
      <c r="F32" s="431"/>
      <c r="G32" s="1162"/>
      <c r="H32" s="1264"/>
      <c r="I32" s="1093"/>
      <c r="J32" s="1264"/>
      <c r="K32" s="1093"/>
      <c r="L32" s="1264"/>
      <c r="M32" s="1093"/>
      <c r="N32" s="1264"/>
      <c r="O32" s="1093"/>
      <c r="P32" s="1264"/>
      <c r="Q32" s="1093"/>
      <c r="R32" s="1264"/>
      <c r="S32" s="1093"/>
    </row>
    <row r="33" spans="1:19">
      <c r="A33" s="1097"/>
      <c r="B33" s="1163"/>
      <c r="C33" s="23"/>
      <c r="D33" s="87"/>
      <c r="E33" s="86"/>
      <c r="F33" s="431"/>
      <c r="G33" s="1162"/>
      <c r="H33" s="1264"/>
      <c r="I33" s="1093"/>
      <c r="J33" s="1264"/>
      <c r="K33" s="1093"/>
      <c r="L33" s="1264"/>
      <c r="M33" s="1093"/>
      <c r="N33" s="1264"/>
      <c r="O33" s="1093"/>
      <c r="P33" s="1264"/>
      <c r="Q33" s="1093"/>
      <c r="R33" s="1264"/>
      <c r="S33" s="1093"/>
    </row>
    <row r="34" spans="1:19">
      <c r="A34" s="1086"/>
      <c r="B34" s="1163"/>
      <c r="C34" s="23"/>
      <c r="D34" s="87"/>
      <c r="E34" s="86"/>
      <c r="F34" s="431"/>
      <c r="G34" s="1162"/>
      <c r="H34" s="1264"/>
      <c r="I34" s="1093"/>
      <c r="J34" s="1264"/>
      <c r="K34" s="1093"/>
      <c r="L34" s="1264"/>
      <c r="M34" s="1093"/>
      <c r="N34" s="1264"/>
      <c r="O34" s="1093"/>
      <c r="P34" s="1264"/>
      <c r="Q34" s="1093"/>
      <c r="R34" s="1264"/>
      <c r="S34" s="1093"/>
    </row>
    <row r="35" spans="1:19">
      <c r="A35" s="1086"/>
      <c r="B35" s="1163"/>
      <c r="C35" s="23"/>
      <c r="D35" s="87"/>
      <c r="E35" s="86"/>
      <c r="F35" s="431"/>
      <c r="G35" s="1162"/>
      <c r="H35" s="1264"/>
      <c r="I35" s="1093"/>
      <c r="J35" s="1264"/>
      <c r="K35" s="1093"/>
      <c r="L35" s="1264"/>
      <c r="M35" s="1093"/>
      <c r="N35" s="1264"/>
      <c r="O35" s="1093"/>
      <c r="P35" s="1264"/>
      <c r="Q35" s="1093"/>
      <c r="R35" s="1264"/>
      <c r="S35" s="1093"/>
    </row>
    <row r="36" spans="1:19">
      <c r="A36" s="1086"/>
      <c r="B36" s="1163"/>
      <c r="C36" s="23"/>
      <c r="D36" s="87"/>
      <c r="E36" s="86"/>
      <c r="F36" s="431"/>
      <c r="G36" s="1162"/>
      <c r="H36" s="1264"/>
      <c r="I36" s="1093"/>
      <c r="J36" s="1264"/>
      <c r="K36" s="1093"/>
      <c r="L36" s="1264"/>
      <c r="M36" s="1093"/>
      <c r="N36" s="1264"/>
      <c r="O36" s="1093"/>
      <c r="P36" s="1264"/>
      <c r="Q36" s="1093"/>
      <c r="R36" s="1264"/>
      <c r="S36" s="1093"/>
    </row>
    <row r="37" spans="1:19">
      <c r="A37" s="1086"/>
      <c r="B37" s="1163"/>
      <c r="C37" s="23"/>
      <c r="D37" s="87"/>
      <c r="E37" s="86"/>
      <c r="F37" s="431"/>
      <c r="G37" s="1162"/>
      <c r="H37" s="1264"/>
      <c r="I37" s="1093"/>
      <c r="J37" s="1264"/>
      <c r="K37" s="1093"/>
      <c r="L37" s="1264"/>
      <c r="M37" s="1093"/>
      <c r="N37" s="1264"/>
      <c r="O37" s="1093"/>
      <c r="P37" s="1264"/>
      <c r="Q37" s="1093"/>
      <c r="R37" s="1264"/>
      <c r="S37" s="1093"/>
    </row>
    <row r="38" spans="1:19">
      <c r="A38" s="1086"/>
      <c r="B38" s="1163"/>
      <c r="C38" s="23"/>
      <c r="D38" s="87"/>
      <c r="E38" s="86"/>
      <c r="F38" s="431"/>
      <c r="G38" s="1162"/>
      <c r="H38" s="1264"/>
      <c r="I38" s="1093"/>
      <c r="J38" s="1264"/>
      <c r="K38" s="1093"/>
      <c r="L38" s="1264"/>
      <c r="M38" s="1093"/>
      <c r="N38" s="1264"/>
      <c r="O38" s="1093"/>
      <c r="P38" s="1264"/>
      <c r="Q38" s="1093"/>
      <c r="R38" s="1264"/>
      <c r="S38" s="1093"/>
    </row>
    <row r="39" spans="1:19">
      <c r="A39" s="1086"/>
      <c r="B39" s="1163"/>
      <c r="C39" s="23"/>
      <c r="D39" s="87"/>
      <c r="E39" s="86"/>
      <c r="F39" s="431"/>
      <c r="G39" s="1162"/>
      <c r="H39" s="1264"/>
      <c r="I39" s="1093"/>
      <c r="J39" s="1264"/>
      <c r="K39" s="1093"/>
      <c r="L39" s="1264"/>
      <c r="M39" s="1093"/>
      <c r="N39" s="1264"/>
      <c r="O39" s="1093"/>
      <c r="P39" s="1264"/>
      <c r="Q39" s="1093"/>
      <c r="R39" s="1264"/>
      <c r="S39" s="1093"/>
    </row>
    <row r="40" spans="1:19">
      <c r="A40" s="1086"/>
      <c r="B40" s="1163"/>
      <c r="C40" s="23"/>
      <c r="D40" s="87"/>
      <c r="E40" s="86"/>
      <c r="F40" s="431"/>
      <c r="G40" s="1162"/>
      <c r="H40" s="1264"/>
      <c r="I40" s="1093"/>
      <c r="J40" s="1264"/>
      <c r="K40" s="1093"/>
      <c r="L40" s="1264"/>
      <c r="M40" s="1093"/>
      <c r="N40" s="1264"/>
      <c r="O40" s="1093"/>
      <c r="P40" s="1264"/>
      <c r="Q40" s="1093"/>
      <c r="R40" s="1264"/>
      <c r="S40" s="1093"/>
    </row>
    <row r="41" spans="1:19">
      <c r="A41" s="1086"/>
      <c r="B41" s="1163"/>
      <c r="C41" s="23"/>
      <c r="D41" s="87"/>
      <c r="E41" s="86"/>
      <c r="F41" s="431"/>
      <c r="G41" s="1162"/>
      <c r="H41" s="1264"/>
      <c r="I41" s="1093"/>
      <c r="J41" s="1264"/>
      <c r="K41" s="1093"/>
      <c r="L41" s="1264"/>
      <c r="M41" s="1093"/>
      <c r="N41" s="1264"/>
      <c r="O41" s="1093"/>
      <c r="P41" s="1264"/>
      <c r="Q41" s="1093"/>
      <c r="R41" s="1264"/>
      <c r="S41" s="1093"/>
    </row>
    <row r="42" spans="1:19">
      <c r="A42" s="1086"/>
      <c r="B42" s="1163"/>
      <c r="C42" s="23"/>
      <c r="D42" s="87"/>
      <c r="E42" s="86"/>
      <c r="F42" s="431"/>
      <c r="G42" s="1162"/>
      <c r="H42" s="1264"/>
      <c r="I42" s="1093"/>
      <c r="J42" s="1264"/>
      <c r="K42" s="1093"/>
      <c r="L42" s="1264"/>
      <c r="M42" s="1093"/>
      <c r="N42" s="1264"/>
      <c r="O42" s="1093"/>
      <c r="P42" s="1264"/>
      <c r="Q42" s="1093"/>
      <c r="R42" s="1264"/>
      <c r="S42" s="1093"/>
    </row>
    <row r="43" spans="1:19">
      <c r="A43" s="1086"/>
      <c r="B43" s="1163"/>
      <c r="C43" s="23"/>
      <c r="D43" s="87"/>
      <c r="E43" s="86"/>
      <c r="F43" s="431"/>
      <c r="G43" s="1162"/>
      <c r="H43" s="1264"/>
      <c r="I43" s="1093"/>
      <c r="J43" s="1264"/>
      <c r="K43" s="1093"/>
      <c r="L43" s="1264"/>
      <c r="M43" s="1093"/>
      <c r="N43" s="1264"/>
      <c r="O43" s="1093"/>
      <c r="P43" s="1264"/>
      <c r="Q43" s="1093"/>
      <c r="R43" s="1264"/>
      <c r="S43" s="1093"/>
    </row>
    <row r="44" spans="1:19">
      <c r="A44" s="1086"/>
      <c r="B44" s="1163"/>
      <c r="C44" s="23"/>
      <c r="D44" s="87"/>
      <c r="E44" s="86"/>
      <c r="F44" s="431"/>
      <c r="G44" s="1162"/>
      <c r="H44" s="1264"/>
      <c r="I44" s="1093"/>
      <c r="J44" s="1264"/>
      <c r="K44" s="1093"/>
      <c r="L44" s="1264"/>
      <c r="M44" s="1093"/>
      <c r="N44" s="1264"/>
      <c r="O44" s="1093"/>
      <c r="P44" s="1264"/>
      <c r="Q44" s="1093"/>
      <c r="R44" s="1264"/>
      <c r="S44" s="1093"/>
    </row>
    <row r="45" spans="1:19">
      <c r="A45" s="1086"/>
      <c r="B45" s="1163"/>
      <c r="C45" s="23"/>
      <c r="D45" s="87"/>
      <c r="E45" s="86"/>
      <c r="F45" s="431"/>
      <c r="G45" s="1162"/>
      <c r="H45" s="1264"/>
      <c r="I45" s="1093"/>
      <c r="J45" s="1264"/>
      <c r="K45" s="1093"/>
      <c r="L45" s="1264"/>
      <c r="M45" s="1093"/>
      <c r="N45" s="1264"/>
      <c r="O45" s="1093"/>
      <c r="P45" s="1264"/>
      <c r="Q45" s="1093"/>
      <c r="R45" s="1264"/>
      <c r="S45" s="1093"/>
    </row>
    <row r="46" spans="1:19">
      <c r="A46" s="1086"/>
      <c r="B46" s="1163"/>
      <c r="C46" s="23"/>
      <c r="D46" s="87"/>
      <c r="E46" s="86"/>
      <c r="F46" s="431"/>
      <c r="G46" s="1162"/>
      <c r="H46" s="1264"/>
      <c r="I46" s="1093"/>
      <c r="J46" s="1264"/>
      <c r="K46" s="1093"/>
      <c r="L46" s="1264"/>
      <c r="M46" s="1093"/>
      <c r="N46" s="1264"/>
      <c r="O46" s="1093"/>
      <c r="P46" s="1264"/>
      <c r="Q46" s="1093"/>
      <c r="R46" s="1264"/>
      <c r="S46" s="1093"/>
    </row>
    <row r="47" spans="1:19">
      <c r="A47" s="1086"/>
      <c r="B47" s="1163"/>
      <c r="C47" s="23"/>
      <c r="D47" s="87"/>
      <c r="E47" s="86"/>
      <c r="F47" s="431"/>
      <c r="G47" s="1162"/>
      <c r="H47" s="1264"/>
      <c r="I47" s="1093"/>
      <c r="J47" s="1264"/>
      <c r="K47" s="1093"/>
      <c r="L47" s="1264"/>
      <c r="M47" s="1093"/>
      <c r="N47" s="1264"/>
      <c r="O47" s="1093"/>
      <c r="P47" s="1264"/>
      <c r="Q47" s="1093"/>
      <c r="R47" s="1264"/>
      <c r="S47" s="1093"/>
    </row>
    <row r="48" spans="1:19">
      <c r="A48" s="1086"/>
      <c r="B48" s="1163"/>
      <c r="C48" s="23"/>
      <c r="D48" s="87"/>
      <c r="E48" s="86"/>
      <c r="F48" s="431"/>
      <c r="G48" s="1162"/>
      <c r="H48" s="1264"/>
      <c r="I48" s="1093"/>
      <c r="J48" s="1264"/>
      <c r="K48" s="1093"/>
      <c r="L48" s="1264"/>
      <c r="M48" s="1093"/>
      <c r="N48" s="1264"/>
      <c r="O48" s="1093"/>
      <c r="P48" s="1264"/>
      <c r="Q48" s="1093"/>
      <c r="R48" s="1264"/>
      <c r="S48" s="1093"/>
    </row>
    <row r="49" spans="1:34">
      <c r="A49" s="1086"/>
      <c r="B49" s="1163"/>
      <c r="C49" s="23"/>
      <c r="D49" s="87"/>
      <c r="E49" s="86"/>
      <c r="F49" s="431"/>
      <c r="G49" s="830"/>
      <c r="H49" s="1264"/>
      <c r="I49" s="1093"/>
      <c r="J49" s="1264"/>
      <c r="K49" s="1093"/>
      <c r="L49" s="1264"/>
      <c r="M49" s="1093"/>
      <c r="N49" s="1264"/>
      <c r="O49" s="1093"/>
      <c r="P49" s="1264"/>
      <c r="Q49" s="1093"/>
      <c r="R49" s="1264"/>
      <c r="S49" s="1093"/>
    </row>
    <row r="50" spans="1:34" ht="15.75" thickBot="1">
      <c r="A50" s="1086"/>
      <c r="B50" s="1163"/>
      <c r="C50" s="23"/>
      <c r="D50" s="87"/>
      <c r="E50" s="86"/>
      <c r="F50" s="431"/>
      <c r="G50" s="830"/>
      <c r="H50" s="1264"/>
      <c r="I50" s="1093"/>
      <c r="J50" s="1264"/>
      <c r="K50" s="1093"/>
      <c r="L50" s="1264"/>
      <c r="M50" s="1093"/>
      <c r="N50" s="1264"/>
      <c r="O50" s="1093"/>
      <c r="P50" s="1264"/>
      <c r="Q50" s="1093"/>
      <c r="R50" s="1264"/>
      <c r="S50" s="1093"/>
    </row>
    <row r="51" spans="1:34" ht="15.75" thickTop="1">
      <c r="A51" s="296"/>
      <c r="B51" s="301"/>
      <c r="C51" s="297"/>
      <c r="D51" s="15"/>
      <c r="E51" s="16"/>
      <c r="F51" s="282"/>
      <c r="G51" s="272"/>
      <c r="H51" s="273"/>
      <c r="I51" s="273"/>
      <c r="J51" s="273"/>
      <c r="K51" s="273"/>
      <c r="L51" s="273"/>
      <c r="M51" s="273"/>
      <c r="N51" s="273"/>
      <c r="O51" s="273"/>
      <c r="P51" s="273"/>
      <c r="Q51" s="273"/>
      <c r="R51" s="273"/>
      <c r="S51" s="273"/>
    </row>
    <row r="52" spans="1:34">
      <c r="A52" s="1114"/>
      <c r="B52" s="1164"/>
      <c r="C52" s="432"/>
      <c r="D52" s="433"/>
      <c r="E52" s="434"/>
      <c r="F52" s="435" t="s">
        <v>753</v>
      </c>
      <c r="G52" s="436"/>
      <c r="H52" s="1166"/>
      <c r="I52" s="1166">
        <f>SUM(I13:I51)</f>
        <v>0</v>
      </c>
      <c r="J52" s="1166"/>
      <c r="K52" s="1166">
        <f>SUM(K13:K51)</f>
        <v>0</v>
      </c>
      <c r="L52" s="1166"/>
      <c r="M52" s="1166">
        <f>SUM(M13:M51)</f>
        <v>0</v>
      </c>
      <c r="N52" s="1166"/>
      <c r="O52" s="1166">
        <f>SUM(O13:O51)</f>
        <v>0</v>
      </c>
      <c r="P52" s="1166"/>
      <c r="Q52" s="1166">
        <f>SUM(Q13:Q51)</f>
        <v>0</v>
      </c>
      <c r="R52" s="1166"/>
      <c r="S52" s="1166">
        <f>SUM(S13:S51)</f>
        <v>0</v>
      </c>
    </row>
    <row r="53" spans="1:34">
      <c r="A53" s="1114"/>
      <c r="B53" s="1164"/>
      <c r="C53" s="432"/>
      <c r="D53" s="433"/>
      <c r="E53" s="434"/>
      <c r="F53" s="435" t="s">
        <v>754</v>
      </c>
      <c r="G53" s="436"/>
      <c r="H53" s="1165">
        <v>0</v>
      </c>
      <c r="I53" s="1166"/>
      <c r="J53" s="1165">
        <v>0</v>
      </c>
      <c r="K53" s="1166"/>
      <c r="L53" s="1165">
        <v>0</v>
      </c>
      <c r="M53" s="1166"/>
      <c r="N53" s="1165">
        <v>0</v>
      </c>
      <c r="O53" s="1166"/>
      <c r="P53" s="1165">
        <v>0</v>
      </c>
      <c r="Q53" s="1166"/>
      <c r="R53" s="1165">
        <v>0</v>
      </c>
      <c r="S53" s="1166"/>
    </row>
    <row r="54" spans="1:34">
      <c r="A54" s="1114"/>
      <c r="B54" s="1164"/>
      <c r="C54" s="432"/>
      <c r="D54" s="433"/>
      <c r="E54" s="434"/>
      <c r="F54" s="435" t="s">
        <v>755</v>
      </c>
      <c r="G54" s="436"/>
      <c r="H54" s="1166"/>
      <c r="I54" s="1166">
        <f>H53*I52</f>
        <v>0</v>
      </c>
      <c r="J54" s="1166"/>
      <c r="K54" s="1166">
        <f>J53*K52</f>
        <v>0</v>
      </c>
      <c r="L54" s="1166"/>
      <c r="M54" s="1166">
        <f>L53*M52</f>
        <v>0</v>
      </c>
      <c r="N54" s="1166"/>
      <c r="O54" s="1166">
        <f>N53*O52</f>
        <v>0</v>
      </c>
      <c r="P54" s="1166"/>
      <c r="Q54" s="1166">
        <f>P53*Q52</f>
        <v>0</v>
      </c>
      <c r="R54" s="1166"/>
      <c r="S54" s="1166">
        <f>R53*S52</f>
        <v>0</v>
      </c>
    </row>
    <row r="55" spans="1:34">
      <c r="A55" s="1114"/>
      <c r="B55" s="1164"/>
      <c r="C55" s="432"/>
      <c r="D55" s="433"/>
      <c r="E55" s="434"/>
      <c r="F55" s="435"/>
      <c r="G55" s="436"/>
      <c r="H55" s="1166"/>
      <c r="I55" s="1166"/>
      <c r="J55" s="1166"/>
      <c r="K55" s="1166"/>
      <c r="L55" s="1166"/>
      <c r="M55" s="1166"/>
      <c r="N55" s="1166"/>
      <c r="O55" s="1166"/>
      <c r="P55" s="1166"/>
      <c r="Q55" s="1166"/>
      <c r="R55" s="1166"/>
      <c r="S55" s="1166"/>
    </row>
    <row r="56" spans="1:34">
      <c r="A56" s="1114"/>
      <c r="B56" s="1164"/>
      <c r="C56" s="432"/>
      <c r="D56" s="433"/>
      <c r="E56" s="434"/>
      <c r="F56" s="437" t="s">
        <v>756</v>
      </c>
      <c r="G56" s="438"/>
      <c r="H56" s="1167"/>
      <c r="I56" s="1167">
        <f>SUM(I52:I54)</f>
        <v>0</v>
      </c>
      <c r="J56" s="1167"/>
      <c r="K56" s="1167">
        <f>SUM(K52:K54)</f>
        <v>0</v>
      </c>
      <c r="L56" s="1167"/>
      <c r="M56" s="1167">
        <f>SUM(M52:M54)</f>
        <v>0</v>
      </c>
      <c r="N56" s="1167"/>
      <c r="O56" s="1167">
        <f>SUM(O52:O54)</f>
        <v>0</v>
      </c>
      <c r="P56" s="1167"/>
      <c r="Q56" s="1167">
        <f>SUM(Q52:Q54)</f>
        <v>0</v>
      </c>
      <c r="R56" s="1167"/>
      <c r="S56" s="1167">
        <f>SUM(S52:S54)</f>
        <v>0</v>
      </c>
    </row>
    <row r="57" spans="1:34">
      <c r="A57" s="1114"/>
      <c r="B57" s="1164"/>
      <c r="C57" s="432"/>
      <c r="D57" s="433"/>
      <c r="E57" s="434"/>
      <c r="F57" s="437" t="s">
        <v>757</v>
      </c>
      <c r="G57" s="438"/>
      <c r="H57" s="1167"/>
      <c r="I57" s="1167">
        <f>I56/'Area Calculations'!$G$4</f>
        <v>0</v>
      </c>
      <c r="J57" s="1167"/>
      <c r="K57" s="1167">
        <f>K56/'Area Calculations'!$G$4</f>
        <v>0</v>
      </c>
      <c r="L57" s="1167"/>
      <c r="M57" s="1167">
        <f>M56/'Area Calculations'!$G$4</f>
        <v>0</v>
      </c>
      <c r="N57" s="1167"/>
      <c r="O57" s="1167">
        <f>O56/'Area Calculations'!$G$4</f>
        <v>0</v>
      </c>
      <c r="P57" s="1167"/>
      <c r="Q57" s="1167">
        <f>Q56/'Area Calculations'!$G$4</f>
        <v>0</v>
      </c>
      <c r="R57" s="1167"/>
      <c r="S57" s="1167">
        <f>S56/'Area Calculations'!$G$4</f>
        <v>0</v>
      </c>
    </row>
    <row r="58" spans="1:34" ht="15.75" thickBot="1">
      <c r="A58" s="1114"/>
      <c r="B58" s="1164"/>
      <c r="C58" s="432"/>
      <c r="D58" s="433"/>
      <c r="E58" s="434"/>
      <c r="F58" s="439" t="s">
        <v>758</v>
      </c>
      <c r="G58" s="436"/>
      <c r="H58" s="1168"/>
      <c r="I58" s="1168">
        <f>I56/'Area Calculations'!$G$9</f>
        <v>0</v>
      </c>
      <c r="J58" s="1168"/>
      <c r="K58" s="1168">
        <f>K56/'Area Calculations'!$G$9</f>
        <v>0</v>
      </c>
      <c r="L58" s="1168"/>
      <c r="M58" s="1168">
        <f>M56/'Area Calculations'!$G$9</f>
        <v>0</v>
      </c>
      <c r="N58" s="1168"/>
      <c r="O58" s="1168">
        <f>O56/'Area Calculations'!$G$9</f>
        <v>0</v>
      </c>
      <c r="P58" s="1168"/>
      <c r="Q58" s="1168">
        <f>Q56/'Area Calculations'!$G$9</f>
        <v>0</v>
      </c>
      <c r="R58" s="1168"/>
      <c r="S58" s="1168">
        <f>S56/'Area Calculations'!$G$9</f>
        <v>0</v>
      </c>
    </row>
    <row r="59" spans="1:34" ht="16.5" thickTop="1" thickBot="1">
      <c r="A59" s="2331"/>
      <c r="B59" s="2332"/>
      <c r="C59" s="298"/>
      <c r="D59" s="12"/>
      <c r="E59" s="12"/>
      <c r="F59" s="12"/>
      <c r="G59" s="26"/>
      <c r="H59" s="24"/>
      <c r="I59" s="20"/>
      <c r="J59" s="20"/>
      <c r="K59" s="20"/>
      <c r="L59" s="20"/>
      <c r="M59" s="20"/>
      <c r="N59" s="20"/>
      <c r="O59" s="20"/>
      <c r="P59" s="20"/>
      <c r="Q59" s="20"/>
      <c r="R59" s="20"/>
      <c r="S59" s="20"/>
    </row>
    <row r="60" spans="1:34" ht="15.75" thickTop="1">
      <c r="A60" s="1169" t="s">
        <v>759</v>
      </c>
      <c r="B60" s="1105"/>
      <c r="C60" s="1276"/>
      <c r="D60" s="1089"/>
      <c r="E60" s="1089"/>
      <c r="F60" s="1089"/>
      <c r="G60" s="1170"/>
      <c r="H60" s="1171"/>
      <c r="I60" s="1172"/>
      <c r="J60" s="1172"/>
      <c r="K60" s="1172"/>
      <c r="L60" s="1172"/>
      <c r="M60" s="1172"/>
      <c r="N60" s="1172"/>
      <c r="O60" s="1172"/>
      <c r="P60" s="1172"/>
      <c r="Q60" s="1172"/>
      <c r="R60" s="1172"/>
      <c r="S60" s="1172"/>
    </row>
    <row r="61" spans="1:34">
      <c r="A61" s="1169"/>
      <c r="B61" s="1105"/>
      <c r="C61" s="1276"/>
      <c r="D61" s="1089"/>
      <c r="E61" s="1089"/>
      <c r="F61" s="1089"/>
      <c r="G61" s="1170"/>
      <c r="H61" s="1171"/>
      <c r="I61" s="1172"/>
      <c r="J61" s="1172"/>
      <c r="K61" s="1172"/>
      <c r="L61" s="1172"/>
      <c r="M61" s="1172"/>
      <c r="N61" s="1172"/>
      <c r="O61" s="1172"/>
      <c r="P61" s="1172"/>
      <c r="Q61" s="1172"/>
      <c r="R61" s="1172"/>
      <c r="S61" s="1172"/>
    </row>
    <row r="62" spans="1:34" ht="15.75" thickBot="1">
      <c r="A62" s="1169"/>
      <c r="B62" s="1105"/>
      <c r="C62" s="1276"/>
      <c r="D62" s="1089"/>
      <c r="E62" s="1089"/>
      <c r="F62" s="1089"/>
      <c r="G62" s="1170"/>
      <c r="H62" s="1171"/>
      <c r="I62" s="1172"/>
      <c r="J62" s="1172"/>
      <c r="K62" s="1172"/>
      <c r="L62" s="1172"/>
      <c r="M62" s="1172"/>
      <c r="N62" s="1172"/>
      <c r="O62" s="1172"/>
      <c r="P62" s="1172"/>
      <c r="Q62" s="1172"/>
      <c r="R62" s="1172"/>
      <c r="S62" s="1172"/>
    </row>
    <row r="63" spans="1:34" s="2" customFormat="1" ht="16.5" thickTop="1" thickBot="1">
      <c r="A63" s="2331"/>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1169" t="s">
        <v>760</v>
      </c>
      <c r="B64" s="1105"/>
      <c r="C64" s="1276"/>
      <c r="D64" s="1089"/>
      <c r="E64" s="1089"/>
      <c r="F64" s="1089"/>
      <c r="G64" s="1170"/>
      <c r="H64" s="1171"/>
      <c r="I64" s="1172"/>
      <c r="J64" s="1172"/>
      <c r="K64" s="1172"/>
      <c r="L64" s="1172"/>
      <c r="M64" s="1172"/>
      <c r="N64" s="1172"/>
      <c r="O64" s="1172"/>
      <c r="P64" s="1172"/>
      <c r="Q64" s="1172"/>
      <c r="R64" s="1172"/>
      <c r="S64" s="1172"/>
      <c r="T64"/>
      <c r="U64"/>
      <c r="V64"/>
      <c r="W64"/>
      <c r="X64"/>
      <c r="Y64"/>
      <c r="Z64"/>
      <c r="AA64"/>
      <c r="AB64"/>
      <c r="AC64"/>
      <c r="AD64"/>
      <c r="AE64"/>
      <c r="AF64"/>
      <c r="AG64"/>
      <c r="AH64"/>
    </row>
    <row r="65" spans="1:34" s="2" customFormat="1">
      <c r="A65" s="1169"/>
      <c r="B65" s="1105"/>
      <c r="C65" s="1276"/>
      <c r="D65" s="1089"/>
      <c r="E65" s="1089"/>
      <c r="F65" s="1089"/>
      <c r="G65" s="1170"/>
      <c r="H65" s="1171"/>
      <c r="I65" s="1172"/>
      <c r="J65" s="1172"/>
      <c r="K65" s="1172"/>
      <c r="L65" s="1172"/>
      <c r="M65" s="1172"/>
      <c r="N65" s="1172"/>
      <c r="O65" s="1172"/>
      <c r="P65" s="1172"/>
      <c r="Q65" s="1172"/>
      <c r="R65" s="1172"/>
      <c r="S65" s="1172"/>
      <c r="T65"/>
      <c r="U65"/>
      <c r="V65"/>
      <c r="W65"/>
      <c r="X65"/>
      <c r="Y65"/>
      <c r="Z65"/>
      <c r="AA65"/>
      <c r="AB65"/>
      <c r="AC65"/>
      <c r="AD65"/>
      <c r="AE65"/>
      <c r="AF65"/>
      <c r="AG65"/>
      <c r="AH65"/>
    </row>
    <row r="66" spans="1:34" ht="15.75" thickBot="1">
      <c r="A66" s="1169"/>
      <c r="B66" s="1105"/>
      <c r="C66" s="1276"/>
      <c r="D66" s="1089"/>
      <c r="E66" s="1089"/>
      <c r="F66" s="1089"/>
      <c r="G66" s="1170"/>
      <c r="H66" s="1171"/>
      <c r="I66" s="1172"/>
      <c r="J66" s="1172"/>
      <c r="K66" s="1172"/>
      <c r="L66" s="1172"/>
      <c r="M66" s="1172"/>
      <c r="N66" s="1172"/>
      <c r="O66" s="1172"/>
      <c r="P66" s="1172"/>
      <c r="Q66" s="1172"/>
      <c r="R66" s="1172"/>
      <c r="S66" s="1172"/>
    </row>
    <row r="67" spans="1:34" s="2" customFormat="1" ht="16.5" thickTop="1" thickBot="1">
      <c r="A67" s="2331"/>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1169" t="s">
        <v>761</v>
      </c>
      <c r="B68" s="1105"/>
      <c r="C68" s="1276"/>
      <c r="D68" s="1089"/>
      <c r="E68" s="1089"/>
      <c r="F68" s="1089"/>
      <c r="G68" s="1170"/>
      <c r="H68" s="1171"/>
      <c r="I68" s="1172"/>
      <c r="J68" s="1172"/>
      <c r="K68" s="1172"/>
      <c r="L68" s="1172"/>
      <c r="M68" s="1172"/>
      <c r="N68" s="1172"/>
      <c r="O68" s="1172"/>
      <c r="P68" s="1172"/>
      <c r="Q68" s="1172"/>
      <c r="R68" s="1172"/>
      <c r="S68" s="1172"/>
      <c r="T68"/>
      <c r="U68"/>
      <c r="V68"/>
      <c r="W68"/>
      <c r="X68"/>
      <c r="Y68"/>
      <c r="Z68"/>
      <c r="AA68"/>
      <c r="AB68"/>
      <c r="AC68"/>
      <c r="AD68"/>
      <c r="AE68"/>
      <c r="AF68"/>
      <c r="AG68"/>
      <c r="AH68"/>
    </row>
    <row r="69" spans="1:34" s="2" customFormat="1">
      <c r="A69" s="1124"/>
      <c r="B69" s="1105"/>
      <c r="C69" s="415"/>
      <c r="D69" s="422"/>
      <c r="E69" s="422"/>
      <c r="F69" s="422"/>
      <c r="G69" s="831"/>
      <c r="H69" s="440"/>
      <c r="I69" s="1173"/>
      <c r="J69" s="1173"/>
      <c r="K69" s="1173"/>
      <c r="L69" s="1173"/>
      <c r="M69" s="1173"/>
      <c r="N69" s="1173"/>
      <c r="O69" s="1173"/>
      <c r="P69" s="1173"/>
      <c r="Q69" s="1173"/>
      <c r="R69" s="1173"/>
      <c r="S69" s="1173"/>
      <c r="T69"/>
      <c r="U69"/>
      <c r="V69"/>
      <c r="W69"/>
      <c r="X69"/>
      <c r="Y69"/>
      <c r="Z69"/>
      <c r="AA69"/>
      <c r="AB69"/>
      <c r="AC69"/>
      <c r="AD69"/>
      <c r="AE69"/>
      <c r="AF69"/>
      <c r="AG69"/>
      <c r="AH69"/>
    </row>
    <row r="70" spans="1:34" s="2" customFormat="1" ht="15.75" thickBot="1">
      <c r="A70" s="1126"/>
      <c r="B70" s="1174"/>
      <c r="C70" s="415"/>
      <c r="D70" s="422"/>
      <c r="E70" s="422"/>
      <c r="F70" s="422"/>
      <c r="G70" s="831"/>
      <c r="H70" s="441"/>
      <c r="I70" s="1175"/>
      <c r="J70" s="1175"/>
      <c r="K70" s="1175"/>
      <c r="L70" s="1175"/>
      <c r="M70" s="1175"/>
      <c r="N70" s="1175"/>
      <c r="O70" s="1175"/>
      <c r="P70" s="1175"/>
      <c r="Q70" s="1175"/>
      <c r="R70" s="1175"/>
      <c r="S70" s="1175"/>
    </row>
    <row r="71" spans="1:34" s="2" customFormat="1" ht="16.5" thickTop="1" thickBot="1">
      <c r="A71" s="2331"/>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1176" t="s">
        <v>762</v>
      </c>
      <c r="B72" s="1177"/>
      <c r="C72" s="1276"/>
      <c r="D72" s="1089"/>
      <c r="E72" s="1089"/>
      <c r="F72" s="1089"/>
      <c r="G72" s="1170"/>
      <c r="H72" s="1171"/>
      <c r="I72" s="1172"/>
      <c r="J72" s="1172"/>
      <c r="K72" s="1172"/>
      <c r="L72" s="1172"/>
      <c r="M72" s="1172"/>
      <c r="N72" s="1172"/>
      <c r="O72" s="1172"/>
      <c r="P72" s="1172"/>
      <c r="Q72" s="1172"/>
      <c r="R72" s="1172"/>
      <c r="S72" s="1172"/>
      <c r="T72" s="2"/>
      <c r="U72" s="2"/>
      <c r="V72" s="2"/>
      <c r="W72" s="2"/>
      <c r="X72" s="2"/>
      <c r="Y72" s="2"/>
      <c r="Z72" s="2"/>
      <c r="AA72" s="2"/>
      <c r="AB72" s="2"/>
      <c r="AC72" s="2"/>
      <c r="AD72" s="2"/>
      <c r="AE72" s="2"/>
      <c r="AF72" s="2"/>
      <c r="AG72" s="2"/>
      <c r="AH72" s="2"/>
    </row>
    <row r="73" spans="1:34">
      <c r="A73" s="1126"/>
      <c r="B73" s="1174"/>
      <c r="C73" s="415"/>
      <c r="D73" s="422"/>
      <c r="E73" s="422"/>
      <c r="F73" s="422"/>
      <c r="G73" s="831"/>
      <c r="H73" s="442"/>
      <c r="I73" s="1178"/>
      <c r="J73" s="1178"/>
      <c r="K73" s="1178"/>
      <c r="L73" s="1178"/>
      <c r="M73" s="1178"/>
      <c r="N73" s="1178"/>
      <c r="O73" s="1178"/>
      <c r="P73" s="1178"/>
      <c r="Q73" s="1178"/>
      <c r="R73" s="1178"/>
      <c r="S73" s="1178"/>
      <c r="T73" s="2"/>
      <c r="U73" s="2"/>
      <c r="V73" s="2"/>
      <c r="W73" s="2"/>
      <c r="X73" s="2"/>
      <c r="Y73" s="2"/>
      <c r="Z73" s="2"/>
      <c r="AA73" s="2"/>
      <c r="AB73" s="2"/>
      <c r="AC73" s="2"/>
      <c r="AD73" s="2"/>
      <c r="AE73" s="2"/>
      <c r="AF73" s="2"/>
      <c r="AG73" s="2"/>
      <c r="AH73" s="2"/>
    </row>
    <row r="74" spans="1:34" ht="15.75" thickBot="1">
      <c r="A74" s="1126"/>
      <c r="B74" s="1174"/>
      <c r="C74" s="415"/>
      <c r="D74" s="422"/>
      <c r="E74" s="422"/>
      <c r="F74" s="422"/>
      <c r="G74" s="831"/>
      <c r="H74" s="442"/>
      <c r="I74" s="1178"/>
      <c r="J74" s="1178"/>
      <c r="K74" s="1178"/>
      <c r="L74" s="1178"/>
      <c r="M74" s="1178"/>
      <c r="N74" s="1178"/>
      <c r="O74" s="1178"/>
      <c r="P74" s="1178"/>
      <c r="Q74" s="1178"/>
      <c r="R74" s="1178"/>
      <c r="S74" s="1178"/>
      <c r="T74" s="2"/>
      <c r="U74" s="2"/>
      <c r="V74" s="2"/>
      <c r="W74" s="2"/>
      <c r="X74" s="2"/>
      <c r="Y74" s="2"/>
      <c r="Z74" s="2"/>
      <c r="AA74" s="2"/>
      <c r="AB74" s="2"/>
      <c r="AC74" s="2"/>
      <c r="AD74" s="2"/>
      <c r="AE74" s="2"/>
      <c r="AF74" s="2"/>
      <c r="AG74" s="2"/>
      <c r="AH74" s="2"/>
    </row>
    <row r="75" spans="1:34" ht="16.5" thickTop="1" thickBot="1">
      <c r="A75" s="2331"/>
      <c r="B75" s="2332"/>
      <c r="C75" s="298"/>
      <c r="D75" s="12"/>
      <c r="E75" s="12"/>
      <c r="F75" s="12"/>
      <c r="G75" s="26"/>
      <c r="H75" s="24"/>
      <c r="I75" s="20"/>
      <c r="J75" s="20"/>
      <c r="K75" s="20"/>
      <c r="L75" s="20"/>
      <c r="M75" s="20"/>
      <c r="N75" s="20"/>
      <c r="O75" s="20"/>
      <c r="P75" s="20"/>
      <c r="Q75" s="20"/>
      <c r="R75" s="20"/>
      <c r="S75" s="20"/>
    </row>
    <row r="76" spans="1:34" ht="15.75" thickTop="1">
      <c r="A76" s="1124" t="s">
        <v>763</v>
      </c>
      <c r="B76" s="1105"/>
      <c r="C76" s="415"/>
      <c r="D76" s="422"/>
      <c r="E76" s="422"/>
      <c r="F76" s="422"/>
      <c r="G76" s="831"/>
      <c r="H76" s="442"/>
      <c r="I76" s="1178"/>
      <c r="J76" s="1178"/>
      <c r="K76" s="1178"/>
      <c r="L76" s="1178"/>
      <c r="M76" s="1178"/>
      <c r="N76" s="1178"/>
      <c r="O76" s="1178"/>
      <c r="P76" s="1178"/>
      <c r="Q76" s="1178"/>
      <c r="R76" s="1178"/>
      <c r="S76" s="1178"/>
    </row>
    <row r="77" spans="1:34">
      <c r="A77" s="1124"/>
      <c r="B77" s="1105" t="s">
        <v>764</v>
      </c>
      <c r="C77" s="415"/>
      <c r="D77" s="422"/>
      <c r="E77" s="422"/>
      <c r="F77" s="422"/>
      <c r="G77" s="831"/>
      <c r="H77" s="442"/>
      <c r="I77" s="1178"/>
      <c r="J77" s="1178"/>
      <c r="K77" s="1178"/>
      <c r="L77" s="1178"/>
      <c r="M77" s="1178"/>
      <c r="N77" s="1178"/>
      <c r="O77" s="1178"/>
      <c r="P77" s="1178"/>
      <c r="Q77" s="1178"/>
      <c r="R77" s="1178"/>
      <c r="S77" s="1178"/>
    </row>
    <row r="78" spans="1:34">
      <c r="A78" s="1124"/>
      <c r="B78" s="1105" t="s">
        <v>765</v>
      </c>
      <c r="C78" s="415"/>
      <c r="D78" s="422"/>
      <c r="E78" s="422"/>
      <c r="F78" s="422"/>
      <c r="G78" s="831"/>
      <c r="H78" s="442"/>
      <c r="I78" s="1178"/>
      <c r="J78" s="1178"/>
      <c r="K78" s="1178"/>
      <c r="L78" s="1178"/>
      <c r="M78" s="1178"/>
      <c r="N78" s="1178"/>
      <c r="O78" s="1178"/>
      <c r="P78" s="1178"/>
      <c r="Q78" s="1178"/>
      <c r="R78" s="1178"/>
      <c r="S78" s="1178"/>
    </row>
    <row r="79" spans="1:34">
      <c r="A79" s="1124"/>
      <c r="B79" s="1105" t="s">
        <v>766</v>
      </c>
      <c r="C79" s="415"/>
      <c r="D79" s="422"/>
      <c r="E79" s="422"/>
      <c r="F79" s="422"/>
      <c r="G79" s="831"/>
      <c r="H79" s="442"/>
      <c r="I79" s="1178"/>
      <c r="J79" s="1178"/>
      <c r="K79" s="1178"/>
      <c r="L79" s="1178"/>
      <c r="M79" s="1178"/>
      <c r="N79" s="1178"/>
      <c r="O79" s="1178"/>
      <c r="P79" s="1178"/>
      <c r="Q79" s="1178"/>
      <c r="R79" s="1178"/>
      <c r="S79" s="1178"/>
    </row>
    <row r="80" spans="1:34" ht="15.75" thickBot="1">
      <c r="A80" s="443"/>
      <c r="B80" s="421" t="s">
        <v>767</v>
      </c>
      <c r="C80" s="23"/>
      <c r="D80" s="86"/>
      <c r="E80" s="86"/>
      <c r="F80" s="86"/>
      <c r="G80" s="27"/>
      <c r="H80" s="25"/>
      <c r="I80" s="444"/>
      <c r="J80" s="444"/>
      <c r="K80" s="444"/>
      <c r="L80" s="444"/>
      <c r="M80" s="444"/>
      <c r="N80" s="444"/>
      <c r="O80" s="444"/>
      <c r="P80" s="444"/>
      <c r="Q80" s="444"/>
      <c r="R80" s="444"/>
      <c r="S80" s="444"/>
    </row>
    <row r="81" spans="1:19" ht="16.5" thickTop="1" thickBot="1">
      <c r="A81" s="72"/>
      <c r="B81" s="73"/>
      <c r="C81" s="298"/>
      <c r="D81" s="12"/>
      <c r="E81" s="12"/>
      <c r="F81" s="12"/>
      <c r="G81" s="26"/>
      <c r="H81" s="24"/>
      <c r="I81" s="20"/>
      <c r="J81" s="20"/>
      <c r="K81" s="20"/>
      <c r="L81" s="20"/>
      <c r="M81" s="20"/>
      <c r="N81" s="20"/>
      <c r="O81" s="20"/>
      <c r="P81" s="20"/>
      <c r="Q81" s="20"/>
      <c r="R81" s="20"/>
      <c r="S81" s="20"/>
    </row>
    <row r="82" spans="1:19" ht="15.75" thickTop="1">
      <c r="A82" s="1169" t="s">
        <v>768</v>
      </c>
      <c r="B82" s="1179"/>
      <c r="C82" s="1276"/>
      <c r="D82" s="1089"/>
      <c r="E82" s="1089"/>
      <c r="F82" s="1089"/>
      <c r="G82" s="1170"/>
      <c r="H82" s="1180"/>
      <c r="I82" s="1181"/>
      <c r="J82" s="1181"/>
      <c r="K82" s="1181"/>
      <c r="L82" s="1181"/>
      <c r="M82" s="1181"/>
      <c r="N82" s="1181"/>
      <c r="O82" s="1181"/>
      <c r="P82" s="1181"/>
      <c r="Q82" s="1181"/>
      <c r="R82" s="1181"/>
      <c r="S82" s="1181"/>
    </row>
    <row r="83" spans="1:19">
      <c r="A83" s="1124"/>
      <c r="B83" s="1105" t="s">
        <v>769</v>
      </c>
      <c r="C83" s="415"/>
      <c r="D83" s="422"/>
      <c r="E83" s="422"/>
      <c r="F83" s="422"/>
      <c r="G83" s="831"/>
      <c r="H83" s="445"/>
      <c r="I83" s="1182"/>
      <c r="J83" s="1182"/>
      <c r="K83" s="1182"/>
      <c r="L83" s="1182"/>
      <c r="M83" s="1182"/>
      <c r="N83" s="1182"/>
      <c r="O83" s="1182"/>
      <c r="P83" s="1182"/>
      <c r="Q83" s="1182"/>
      <c r="R83" s="1182"/>
      <c r="S83" s="1182"/>
    </row>
    <row r="84" spans="1:19" ht="15.75" thickBot="1">
      <c r="A84" s="1183"/>
      <c r="B84" s="1184" t="s">
        <v>770</v>
      </c>
      <c r="C84" s="1185"/>
      <c r="D84" s="1186"/>
      <c r="E84" s="1186"/>
      <c r="F84" s="1186"/>
      <c r="G84" s="1187"/>
      <c r="H84" s="1188"/>
      <c r="I84" s="1189"/>
      <c r="J84" s="1189"/>
      <c r="K84" s="1189"/>
      <c r="L84" s="1189"/>
      <c r="M84" s="1189"/>
      <c r="N84" s="1189"/>
      <c r="O84" s="1189"/>
      <c r="P84" s="1189"/>
      <c r="Q84" s="1189"/>
      <c r="R84" s="1189"/>
      <c r="S84" s="1189"/>
    </row>
    <row r="85" spans="1:19" ht="16.5" thickTop="1" thickBot="1">
      <c r="B85" s="1" t="s">
        <v>771</v>
      </c>
      <c r="F85" s="2"/>
      <c r="G85" s="2"/>
      <c r="H85" s="2"/>
      <c r="I85" s="2"/>
      <c r="J85" s="2"/>
      <c r="K85" s="2"/>
      <c r="L85" s="2"/>
      <c r="M85" s="2"/>
      <c r="N85" s="2"/>
      <c r="O85" s="2"/>
      <c r="P85" s="2"/>
      <c r="Q85" s="2"/>
      <c r="R85" s="2"/>
      <c r="S85" s="2"/>
    </row>
    <row r="86" spans="1:19" ht="16.5" thickTop="1" thickBot="1">
      <c r="A86" s="37"/>
      <c r="B86" s="39"/>
      <c r="F86" s="2"/>
      <c r="G86" s="2"/>
      <c r="H86" s="2"/>
      <c r="I86" s="2"/>
      <c r="J86" s="2"/>
      <c r="K86" s="2"/>
      <c r="L86" s="2"/>
      <c r="M86" s="2"/>
      <c r="N86" s="2"/>
      <c r="O86" s="2"/>
      <c r="P86" s="2"/>
      <c r="Q86" s="2"/>
      <c r="R86" s="2"/>
      <c r="S86" s="2"/>
    </row>
    <row r="87" spans="1:19" ht="15.75" thickTop="1">
      <c r="A87" s="38" t="s">
        <v>772</v>
      </c>
      <c r="B87" s="1190"/>
      <c r="F87" s="2"/>
      <c r="G87" s="2"/>
      <c r="H87" s="2"/>
      <c r="I87" s="2"/>
      <c r="J87" s="2"/>
      <c r="K87" s="2"/>
      <c r="L87" s="2"/>
      <c r="M87" s="2"/>
      <c r="N87" s="2"/>
      <c r="O87" s="2"/>
      <c r="P87" s="2"/>
      <c r="Q87" s="2"/>
      <c r="R87" s="2"/>
      <c r="S87" s="2"/>
    </row>
    <row r="88" spans="1:19">
      <c r="A88" s="1142" t="s">
        <v>693</v>
      </c>
      <c r="B88" s="1190"/>
      <c r="F88" s="2"/>
      <c r="G88" s="2"/>
      <c r="H88" s="2"/>
      <c r="I88" s="2"/>
      <c r="J88" s="2"/>
      <c r="K88" s="2"/>
      <c r="L88" s="2"/>
      <c r="M88" s="2"/>
      <c r="N88" s="2"/>
      <c r="O88" s="2"/>
      <c r="P88" s="2"/>
      <c r="Q88" s="2"/>
      <c r="R88" s="2"/>
      <c r="S88" s="2"/>
    </row>
    <row r="89" spans="1:19">
      <c r="A89" s="1191" t="s">
        <v>702</v>
      </c>
      <c r="B89" s="1192"/>
      <c r="F89" s="2"/>
      <c r="G89" s="2"/>
      <c r="H89" s="2"/>
      <c r="I89" s="2"/>
      <c r="J89" s="2"/>
      <c r="K89" s="2"/>
      <c r="L89" s="2"/>
      <c r="M89" s="2"/>
      <c r="N89" s="2"/>
      <c r="O89" s="2"/>
      <c r="P89" s="2"/>
      <c r="Q89" s="2"/>
      <c r="R89" s="2"/>
      <c r="S89" s="2"/>
    </row>
    <row r="90" spans="1:19">
      <c r="A90" s="1191" t="s">
        <v>708</v>
      </c>
      <c r="B90" s="1193"/>
      <c r="F90" s="2"/>
      <c r="G90" s="2"/>
      <c r="H90" s="2"/>
      <c r="I90" s="2"/>
      <c r="J90" s="2"/>
      <c r="K90" s="2"/>
      <c r="L90" s="2"/>
      <c r="M90" s="2"/>
      <c r="N90" s="2"/>
      <c r="O90" s="2"/>
      <c r="P90" s="2"/>
      <c r="Q90" s="2"/>
      <c r="R90" s="2"/>
      <c r="S90" s="2"/>
    </row>
    <row r="91" spans="1:19" ht="15.75" thickBot="1">
      <c r="A91" s="1194" t="s">
        <v>713</v>
      </c>
      <c r="B91" s="1195"/>
      <c r="F91" s="2"/>
      <c r="G91" s="2"/>
      <c r="H91" s="2"/>
      <c r="I91" s="2"/>
      <c r="J91" s="2"/>
      <c r="K91" s="2"/>
      <c r="L91" s="2"/>
      <c r="M91" s="2"/>
      <c r="N91" s="2"/>
      <c r="O91" s="2"/>
      <c r="P91" s="2"/>
      <c r="Q91" s="2"/>
      <c r="R91" s="2"/>
      <c r="S91" s="2"/>
    </row>
    <row r="92" spans="1:19" ht="15.75" thickTop="1">
      <c r="A92" t="s">
        <v>69</v>
      </c>
    </row>
  </sheetData>
  <mergeCells count="41">
    <mergeCell ref="H4:I4"/>
    <mergeCell ref="J4:K4"/>
    <mergeCell ref="L4:M4"/>
    <mergeCell ref="N4:O4"/>
    <mergeCell ref="A75:B75"/>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8:S8"/>
    <mergeCell ref="P4:Q4"/>
    <mergeCell ref="R4:S4"/>
    <mergeCell ref="P5:Q5"/>
    <mergeCell ref="R5:S5"/>
    <mergeCell ref="P6:Q6"/>
    <mergeCell ref="R6:S6"/>
    <mergeCell ref="P7:Q7"/>
    <mergeCell ref="R7:S7"/>
    <mergeCell ref="P8:Q8"/>
    <mergeCell ref="R9:S9"/>
    <mergeCell ref="A59:B59"/>
    <mergeCell ref="A63:B63"/>
    <mergeCell ref="A67:B67"/>
    <mergeCell ref="A71:B71"/>
    <mergeCell ref="H9:I9"/>
    <mergeCell ref="J9:K9"/>
    <mergeCell ref="L9:M9"/>
    <mergeCell ref="N9:O9"/>
    <mergeCell ref="P9:Q9"/>
  </mergeCells>
  <conditionalFormatting sqref="H11:H18 J11:J18 L11:L18 N11:N18 P11:P18 R11:R18">
    <cfRule type="cellIs" dxfId="627" priority="13" operator="equal">
      <formula>"X"</formula>
    </cfRule>
    <cfRule type="cellIs" dxfId="626" priority="14" operator="equal">
      <formula>"I"</formula>
    </cfRule>
  </conditionalFormatting>
  <conditionalFormatting sqref="H20:H50">
    <cfRule type="cellIs" dxfId="625" priority="1" operator="equal">
      <formula>"X"</formula>
    </cfRule>
    <cfRule type="cellIs" dxfId="624" priority="2" operator="equal">
      <formula>"I"</formula>
    </cfRule>
  </conditionalFormatting>
  <conditionalFormatting sqref="J20:J50">
    <cfRule type="cellIs" dxfId="623" priority="3" operator="equal">
      <formula>"X"</formula>
    </cfRule>
    <cfRule type="cellIs" dxfId="622" priority="4" operator="equal">
      <formula>"I"</formula>
    </cfRule>
  </conditionalFormatting>
  <conditionalFormatting sqref="L20:L50">
    <cfRule type="cellIs" dxfId="621" priority="5" operator="equal">
      <formula>"X"</formula>
    </cfRule>
    <cfRule type="cellIs" dxfId="620" priority="6" operator="equal">
      <formula>"I"</formula>
    </cfRule>
  </conditionalFormatting>
  <conditionalFormatting sqref="N20:N50">
    <cfRule type="cellIs" dxfId="619" priority="7" operator="equal">
      <formula>"X"</formula>
    </cfRule>
    <cfRule type="cellIs" dxfId="618" priority="8" operator="equal">
      <formula>"I"</formula>
    </cfRule>
  </conditionalFormatting>
  <conditionalFormatting sqref="P20:P50">
    <cfRule type="cellIs" dxfId="617" priority="9" operator="equal">
      <formula>"X"</formula>
    </cfRule>
    <cfRule type="cellIs" dxfId="616" priority="10" operator="equal">
      <formula>"I"</formula>
    </cfRule>
  </conditionalFormatting>
  <conditionalFormatting sqref="R20:R50">
    <cfRule type="cellIs" dxfId="615" priority="11" operator="equal">
      <formula>"X"</formula>
    </cfRule>
    <cfRule type="cellIs" dxfId="614" priority="12" operator="equal">
      <formula>"I"</formula>
    </cfRule>
  </conditionalFormatting>
  <hyperlinks>
    <hyperlink ref="B4" location="'Cost Summary'!A1" display="BACK TO SUMMARY SHEET" xr:uid="{DFE08542-DB84-4819-A9AF-5DC4BFE52024}"/>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B0A71-F448-453D-BC28-DF572E3568E1}">
  <dimension ref="A1:AO92"/>
  <sheetViews>
    <sheetView zoomScale="90" zoomScaleNormal="90" workbookViewId="0">
      <pane xSplit="2" ySplit="10" topLeftCell="H52" activePane="bottomRight" state="frozen"/>
      <selection pane="topRight" activeCell="C1" sqref="C1"/>
      <selection pane="bottomLeft" activeCell="A11" sqref="A11"/>
      <selection pane="bottomRight" activeCell="H52" sqref="H52"/>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912</v>
      </c>
      <c r="I4" s="2320"/>
      <c r="J4" s="2319" t="s">
        <v>687</v>
      </c>
      <c r="K4" s="2320"/>
      <c r="L4" s="2319" t="s">
        <v>688</v>
      </c>
      <c r="M4" s="2320"/>
      <c r="N4" s="2319" t="s">
        <v>689</v>
      </c>
      <c r="O4" s="2320"/>
      <c r="P4" s="2319" t="s">
        <v>690</v>
      </c>
      <c r="Q4" s="2320"/>
      <c r="R4" s="2319" t="s">
        <v>691</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1196" t="s">
        <v>991</v>
      </c>
      <c r="C6" s="415"/>
      <c r="D6" s="416"/>
      <c r="E6" s="417"/>
      <c r="F6" s="418"/>
      <c r="G6" s="419" t="s">
        <v>702</v>
      </c>
      <c r="H6" s="2325"/>
      <c r="I6" s="2326"/>
      <c r="J6" s="2325"/>
      <c r="K6" s="2326"/>
      <c r="L6" s="2325"/>
      <c r="M6" s="2326"/>
      <c r="N6" s="2325"/>
      <c r="O6" s="2326"/>
      <c r="P6" s="2313"/>
      <c r="Q6" s="2314"/>
      <c r="R6" s="2313"/>
      <c r="S6" s="2314"/>
      <c r="X6" s="261"/>
    </row>
    <row r="7" spans="1:24">
      <c r="A7" s="1082" t="s">
        <v>706</v>
      </c>
      <c r="B7" s="1197" t="s">
        <v>992</v>
      </c>
      <c r="C7" s="415"/>
      <c r="D7" s="416"/>
      <c r="E7" s="417"/>
      <c r="F7" s="418"/>
      <c r="G7" s="829" t="s">
        <v>708</v>
      </c>
      <c r="H7" s="2325"/>
      <c r="I7" s="2326"/>
      <c r="J7" s="2325"/>
      <c r="K7" s="2326"/>
      <c r="L7" s="2325"/>
      <c r="M7" s="2326"/>
      <c r="N7" s="2325"/>
      <c r="O7" s="2326"/>
      <c r="P7" s="2313"/>
      <c r="Q7" s="2314"/>
      <c r="R7" s="2313"/>
      <c r="S7" s="2314"/>
      <c r="X7" s="261"/>
    </row>
    <row r="8" spans="1:24">
      <c r="A8" s="1082" t="s">
        <v>712</v>
      </c>
      <c r="B8" s="1198"/>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0</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086"/>
      <c r="B11" s="1260" t="s">
        <v>725</v>
      </c>
      <c r="C11" s="1279"/>
      <c r="D11" s="1089"/>
      <c r="E11" s="1089"/>
      <c r="F11" s="1090"/>
      <c r="G11" s="1091"/>
      <c r="H11" s="1262"/>
      <c r="I11" s="1094"/>
      <c r="J11" s="1262"/>
      <c r="K11" s="285"/>
      <c r="L11" s="1262"/>
      <c r="M11" s="1093"/>
      <c r="N11" s="1262"/>
      <c r="O11" s="1093"/>
      <c r="P11" s="1262"/>
      <c r="Q11" s="1093"/>
      <c r="R11" s="1262"/>
      <c r="S11" s="1093"/>
    </row>
    <row r="12" spans="1:24">
      <c r="A12" s="1086"/>
      <c r="B12" s="1263" t="s">
        <v>726</v>
      </c>
      <c r="C12" s="446"/>
      <c r="D12" s="422"/>
      <c r="E12" s="422"/>
      <c r="F12" s="418"/>
      <c r="G12" s="423"/>
      <c r="H12" s="1264"/>
      <c r="I12" s="1094"/>
      <c r="J12" s="1264"/>
      <c r="K12" s="1093"/>
      <c r="L12" s="1264"/>
      <c r="M12" s="1093"/>
      <c r="N12" s="1264"/>
      <c r="O12" s="1093"/>
      <c r="P12" s="1264"/>
      <c r="Q12" s="1093"/>
      <c r="R12" s="1264"/>
      <c r="S12" s="1093"/>
    </row>
    <row r="13" spans="1:24">
      <c r="A13" s="1097"/>
      <c r="B13" s="1263" t="s">
        <v>728</v>
      </c>
      <c r="C13" s="446"/>
      <c r="D13" s="422"/>
      <c r="E13" s="422"/>
      <c r="F13" s="418"/>
      <c r="G13" s="423"/>
      <c r="H13" s="1264"/>
      <c r="I13" s="1094"/>
      <c r="J13" s="1264"/>
      <c r="K13" s="1093"/>
      <c r="L13" s="1264"/>
      <c r="M13" s="1093"/>
      <c r="N13" s="1264"/>
      <c r="O13" s="1093"/>
      <c r="P13" s="1264"/>
      <c r="Q13" s="1093"/>
      <c r="R13" s="1264"/>
      <c r="S13" s="1093"/>
    </row>
    <row r="14" spans="1:24">
      <c r="A14" s="1086"/>
      <c r="B14" s="1265" t="s">
        <v>729</v>
      </c>
      <c r="C14" s="446"/>
      <c r="D14" s="422"/>
      <c r="E14" s="422"/>
      <c r="F14" s="418"/>
      <c r="G14" s="423"/>
      <c r="H14" s="1264"/>
      <c r="I14" s="1094"/>
      <c r="J14" s="1264"/>
      <c r="K14" s="1093"/>
      <c r="L14" s="1264"/>
      <c r="M14" s="1093"/>
      <c r="N14" s="1264"/>
      <c r="O14" s="1093"/>
      <c r="P14" s="1264"/>
      <c r="Q14" s="1093"/>
      <c r="R14" s="1264"/>
      <c r="S14" s="1093"/>
    </row>
    <row r="15" spans="1:24">
      <c r="A15" s="1097"/>
      <c r="B15" s="1265" t="s">
        <v>731</v>
      </c>
      <c r="C15" s="446"/>
      <c r="D15" s="422"/>
      <c r="E15" s="422"/>
      <c r="F15" s="418"/>
      <c r="G15" s="423"/>
      <c r="H15" s="1264"/>
      <c r="I15" s="1094"/>
      <c r="J15" s="1264"/>
      <c r="K15" s="1094"/>
      <c r="L15" s="1264"/>
      <c r="M15" s="1094"/>
      <c r="N15" s="1264"/>
      <c r="O15" s="1094"/>
      <c r="P15" s="1264"/>
      <c r="Q15" s="1094"/>
      <c r="R15" s="1264"/>
      <c r="S15" s="1094"/>
    </row>
    <row r="16" spans="1:24">
      <c r="A16" s="1086"/>
      <c r="B16" s="1265" t="s">
        <v>732</v>
      </c>
      <c r="C16" s="446"/>
      <c r="D16" s="422"/>
      <c r="E16" s="422"/>
      <c r="F16" s="418"/>
      <c r="G16" s="423"/>
      <c r="H16" s="1264"/>
      <c r="I16" s="1094"/>
      <c r="J16" s="1264"/>
      <c r="K16" s="1093"/>
      <c r="L16" s="1264"/>
      <c r="M16" s="1093"/>
      <c r="N16" s="1264"/>
      <c r="O16" s="1093"/>
      <c r="P16" s="1264"/>
      <c r="Q16" s="1093"/>
      <c r="R16" s="1264"/>
      <c r="S16" s="1093"/>
    </row>
    <row r="17" spans="1:41">
      <c r="A17" s="1097"/>
      <c r="B17" s="1265" t="s">
        <v>733</v>
      </c>
      <c r="C17" s="446"/>
      <c r="D17" s="422"/>
      <c r="E17" s="422"/>
      <c r="F17" s="418"/>
      <c r="G17" s="423"/>
      <c r="H17" s="1264"/>
      <c r="I17" s="1094"/>
      <c r="J17" s="1264"/>
      <c r="K17" s="1093"/>
      <c r="L17" s="1264"/>
      <c r="M17" s="1093"/>
      <c r="N17" s="1264"/>
      <c r="O17" s="1093"/>
      <c r="P17" s="1264"/>
      <c r="Q17" s="1093"/>
      <c r="R17" s="1264"/>
      <c r="S17" s="1093"/>
    </row>
    <row r="18" spans="1:41">
      <c r="A18" s="1086"/>
      <c r="B18" s="1154" t="s">
        <v>736</v>
      </c>
      <c r="C18" s="446"/>
      <c r="D18" s="422"/>
      <c r="E18" s="422"/>
      <c r="F18" s="418"/>
      <c r="G18" s="423"/>
      <c r="H18" s="1264"/>
      <c r="I18" s="1094"/>
      <c r="J18" s="1264"/>
      <c r="K18" s="1093"/>
      <c r="L18" s="1264"/>
      <c r="M18" s="1093"/>
      <c r="N18" s="1264"/>
      <c r="O18" s="1093"/>
      <c r="P18" s="1264"/>
      <c r="Q18" s="1093"/>
      <c r="R18" s="1264"/>
      <c r="S18" s="1093"/>
    </row>
    <row r="19" spans="1:41">
      <c r="A19" s="1097"/>
      <c r="B19" s="1281" t="s">
        <v>737</v>
      </c>
      <c r="C19" s="447"/>
      <c r="D19" s="425"/>
      <c r="E19" s="425"/>
      <c r="F19" s="426"/>
      <c r="G19" s="427"/>
      <c r="H19" s="1156"/>
      <c r="I19" s="1157"/>
      <c r="J19" s="1156"/>
      <c r="K19" s="1158"/>
      <c r="L19" s="1156"/>
      <c r="M19" s="1158"/>
      <c r="N19" s="1156"/>
      <c r="O19" s="1158"/>
      <c r="P19" s="1156"/>
      <c r="Q19" s="1158"/>
      <c r="R19" s="1156"/>
      <c r="S19" s="1158"/>
    </row>
    <row r="20" spans="1:41">
      <c r="A20" s="1086"/>
      <c r="B20" s="1104"/>
      <c r="C20" s="70"/>
      <c r="D20" s="86"/>
      <c r="E20" s="86"/>
      <c r="F20" s="280"/>
      <c r="G20" s="274"/>
      <c r="H20" s="1264"/>
      <c r="I20" s="428"/>
      <c r="J20" s="1264"/>
      <c r="K20" s="428"/>
      <c r="L20" s="1264"/>
      <c r="M20" s="428"/>
      <c r="N20" s="1264"/>
      <c r="O20" s="428"/>
      <c r="P20" s="1264"/>
      <c r="Q20" s="428"/>
      <c r="R20" s="1264"/>
      <c r="S20" s="428"/>
    </row>
    <row r="21" spans="1:41" s="69" customFormat="1">
      <c r="A21" s="1097"/>
      <c r="B21" s="1105"/>
      <c r="C21" s="415"/>
      <c r="D21" s="422"/>
      <c r="E21" s="422"/>
      <c r="F21" s="429"/>
      <c r="G21" s="423"/>
      <c r="H21" s="1264"/>
      <c r="I21" s="1107"/>
      <c r="J21" s="1264"/>
      <c r="K21" s="1106"/>
      <c r="L21" s="1264"/>
      <c r="M21" s="1106"/>
      <c r="N21" s="1264"/>
      <c r="O21" s="1107"/>
      <c r="P21" s="1264"/>
      <c r="Q21" s="1107"/>
      <c r="R21" s="1264"/>
      <c r="S21" s="1106"/>
      <c r="T21"/>
      <c r="U21"/>
      <c r="V21"/>
      <c r="W21"/>
      <c r="X21"/>
      <c r="Y21"/>
      <c r="Z21"/>
      <c r="AA21"/>
      <c r="AB21"/>
      <c r="AC21"/>
      <c r="AD21"/>
      <c r="AE21"/>
      <c r="AF21"/>
      <c r="AG21"/>
      <c r="AH21"/>
      <c r="AI21"/>
      <c r="AJ21"/>
      <c r="AK21"/>
      <c r="AL21"/>
      <c r="AM21"/>
      <c r="AN21"/>
      <c r="AO21"/>
    </row>
    <row r="22" spans="1:41">
      <c r="A22" s="1086"/>
      <c r="B22" s="1159"/>
      <c r="C22" s="1276"/>
      <c r="D22" s="1282"/>
      <c r="E22" s="1089"/>
      <c r="F22" s="1206"/>
      <c r="G22" s="1207"/>
      <c r="H22" s="1264"/>
      <c r="I22" s="1093"/>
      <c r="J22" s="1264"/>
      <c r="K22" s="1093"/>
      <c r="L22" s="1264"/>
      <c r="M22" s="1093"/>
      <c r="N22" s="1264"/>
      <c r="O22" s="1093"/>
      <c r="P22" s="1264"/>
      <c r="Q22" s="1093"/>
      <c r="R22" s="1264"/>
      <c r="S22" s="1093"/>
    </row>
    <row r="23" spans="1:41">
      <c r="A23" s="1097"/>
      <c r="B23" s="1159"/>
      <c r="C23" s="415"/>
      <c r="D23" s="430"/>
      <c r="E23" s="422"/>
      <c r="F23" s="431"/>
      <c r="G23" s="1207"/>
      <c r="H23" s="1264"/>
      <c r="I23" s="1093"/>
      <c r="J23" s="1264"/>
      <c r="K23" s="1093"/>
      <c r="L23" s="1264"/>
      <c r="M23" s="1093"/>
      <c r="N23" s="1264"/>
      <c r="O23" s="1093"/>
      <c r="P23" s="1264"/>
      <c r="Q23" s="1093"/>
      <c r="R23" s="1264"/>
      <c r="S23" s="1093"/>
    </row>
    <row r="24" spans="1:41">
      <c r="A24" s="1086"/>
      <c r="B24" s="1159"/>
      <c r="C24" s="415"/>
      <c r="D24" s="430"/>
      <c r="E24" s="422"/>
      <c r="F24" s="431"/>
      <c r="G24" s="1207"/>
      <c r="H24" s="1264"/>
      <c r="I24" s="1093"/>
      <c r="J24" s="1264"/>
      <c r="K24" s="1093"/>
      <c r="L24" s="1264"/>
      <c r="M24" s="1093"/>
      <c r="N24" s="1264"/>
      <c r="O24" s="1093"/>
      <c r="P24" s="1264"/>
      <c r="Q24" s="1093"/>
      <c r="R24" s="1264"/>
      <c r="S24" s="1093"/>
    </row>
    <row r="25" spans="1:41">
      <c r="A25" s="1097"/>
      <c r="B25" s="1159"/>
      <c r="C25" s="415"/>
      <c r="D25" s="430"/>
      <c r="E25" s="422"/>
      <c r="F25" s="431"/>
      <c r="G25" s="1207"/>
      <c r="H25" s="1264"/>
      <c r="I25" s="1093"/>
      <c r="J25" s="1264"/>
      <c r="K25" s="1093"/>
      <c r="L25" s="1264"/>
      <c r="M25" s="1093"/>
      <c r="N25" s="1264"/>
      <c r="O25" s="1093"/>
      <c r="P25" s="1264"/>
      <c r="Q25" s="1093"/>
      <c r="R25" s="1264"/>
      <c r="S25" s="1093"/>
    </row>
    <row r="26" spans="1:41">
      <c r="A26" s="1086"/>
      <c r="B26" s="1159"/>
      <c r="C26" s="415"/>
      <c r="D26" s="430"/>
      <c r="E26" s="422"/>
      <c r="F26" s="431"/>
      <c r="G26" s="1207"/>
      <c r="H26" s="1264"/>
      <c r="I26" s="1093"/>
      <c r="J26" s="1264"/>
      <c r="K26" s="1093"/>
      <c r="L26" s="1264"/>
      <c r="M26" s="1093"/>
      <c r="N26" s="1264"/>
      <c r="O26" s="1093"/>
      <c r="P26" s="1264"/>
      <c r="Q26" s="1093"/>
      <c r="R26" s="1264"/>
      <c r="S26" s="1093"/>
    </row>
    <row r="27" spans="1:41">
      <c r="A27" s="1097"/>
      <c r="B27" s="1159"/>
      <c r="C27" s="415"/>
      <c r="D27" s="430"/>
      <c r="E27" s="422"/>
      <c r="F27" s="431"/>
      <c r="G27" s="1207"/>
      <c r="H27" s="1264"/>
      <c r="I27" s="1093"/>
      <c r="J27" s="1264"/>
      <c r="K27" s="1093"/>
      <c r="L27" s="1264"/>
      <c r="M27" s="1093"/>
      <c r="N27" s="1264"/>
      <c r="O27" s="1093"/>
      <c r="P27" s="1264"/>
      <c r="Q27" s="1093"/>
      <c r="R27" s="1264"/>
      <c r="S27" s="1093"/>
    </row>
    <row r="28" spans="1:41">
      <c r="A28" s="1086"/>
      <c r="B28" s="1159"/>
      <c r="C28" s="415"/>
      <c r="D28" s="430"/>
      <c r="E28" s="422"/>
      <c r="F28" s="431"/>
      <c r="G28" s="1207"/>
      <c r="H28" s="1264"/>
      <c r="I28" s="1093"/>
      <c r="J28" s="1264"/>
      <c r="K28" s="1093"/>
      <c r="L28" s="1264"/>
      <c r="M28" s="1093"/>
      <c r="N28" s="1264"/>
      <c r="O28" s="1093"/>
      <c r="P28" s="1264"/>
      <c r="Q28" s="1093"/>
      <c r="R28" s="1264"/>
      <c r="S28" s="1093"/>
    </row>
    <row r="29" spans="1:41">
      <c r="A29" s="1097"/>
      <c r="B29" s="1159"/>
      <c r="C29" s="415"/>
      <c r="D29" s="430"/>
      <c r="E29" s="422"/>
      <c r="F29" s="431"/>
      <c r="G29" s="1207"/>
      <c r="H29" s="1264"/>
      <c r="I29" s="1093"/>
      <c r="J29" s="1264"/>
      <c r="K29" s="1093"/>
      <c r="L29" s="1264"/>
      <c r="M29" s="1093"/>
      <c r="N29" s="1264"/>
      <c r="O29" s="1093"/>
      <c r="P29" s="1264"/>
      <c r="Q29" s="1093"/>
      <c r="R29" s="1264"/>
      <c r="S29" s="1093"/>
    </row>
    <row r="30" spans="1:41">
      <c r="A30" s="1086"/>
      <c r="B30" s="1159"/>
      <c r="C30" s="415"/>
      <c r="D30" s="430"/>
      <c r="E30" s="422"/>
      <c r="F30" s="431"/>
      <c r="G30" s="1207"/>
      <c r="H30" s="1264"/>
      <c r="I30" s="1093"/>
      <c r="J30" s="1264"/>
      <c r="K30" s="1093"/>
      <c r="L30" s="1264"/>
      <c r="M30" s="1093"/>
      <c r="N30" s="1264"/>
      <c r="O30" s="1093"/>
      <c r="P30" s="1264"/>
      <c r="Q30" s="1093"/>
      <c r="R30" s="1264"/>
      <c r="S30" s="1093"/>
    </row>
    <row r="31" spans="1:41">
      <c r="A31" s="1097"/>
      <c r="B31" s="1159"/>
      <c r="C31" s="415"/>
      <c r="D31" s="430"/>
      <c r="E31" s="422"/>
      <c r="F31" s="431"/>
      <c r="G31" s="1207"/>
      <c r="H31" s="1264"/>
      <c r="I31" s="1093"/>
      <c r="J31" s="1264"/>
      <c r="K31" s="1093"/>
      <c r="L31" s="1264"/>
      <c r="M31" s="1093"/>
      <c r="N31" s="1264"/>
      <c r="O31" s="1093"/>
      <c r="P31" s="1264"/>
      <c r="Q31" s="1093"/>
      <c r="R31" s="1264"/>
      <c r="S31" s="1093"/>
    </row>
    <row r="32" spans="1:41">
      <c r="A32" s="1086"/>
      <c r="B32" s="1163"/>
      <c r="C32" s="23"/>
      <c r="D32" s="430"/>
      <c r="E32" s="422"/>
      <c r="F32" s="431"/>
      <c r="G32" s="1207"/>
      <c r="H32" s="1264"/>
      <c r="I32" s="1093"/>
      <c r="J32" s="1264"/>
      <c r="K32" s="1093"/>
      <c r="L32" s="1264"/>
      <c r="M32" s="1093"/>
      <c r="N32" s="1264"/>
      <c r="O32" s="1093"/>
      <c r="P32" s="1264"/>
      <c r="Q32" s="1093"/>
      <c r="R32" s="1264"/>
      <c r="S32" s="1093"/>
    </row>
    <row r="33" spans="1:19">
      <c r="A33" s="1097"/>
      <c r="B33" s="1163"/>
      <c r="C33" s="23"/>
      <c r="D33" s="87"/>
      <c r="E33" s="86"/>
      <c r="F33" s="431"/>
      <c r="G33" s="1207"/>
      <c r="H33" s="1264"/>
      <c r="I33" s="1093"/>
      <c r="J33" s="1264"/>
      <c r="K33" s="1093"/>
      <c r="L33" s="1264"/>
      <c r="M33" s="1093"/>
      <c r="N33" s="1264"/>
      <c r="O33" s="1093"/>
      <c r="P33" s="1264"/>
      <c r="Q33" s="1093"/>
      <c r="R33" s="1264"/>
      <c r="S33" s="1093"/>
    </row>
    <row r="34" spans="1:19">
      <c r="A34" s="1086"/>
      <c r="B34" s="1163"/>
      <c r="C34" s="23"/>
      <c r="D34" s="87"/>
      <c r="E34" s="86"/>
      <c r="F34" s="431"/>
      <c r="G34" s="1207"/>
      <c r="H34" s="1264"/>
      <c r="I34" s="1093"/>
      <c r="J34" s="1264"/>
      <c r="K34" s="1093"/>
      <c r="L34" s="1264"/>
      <c r="M34" s="1093"/>
      <c r="N34" s="1264"/>
      <c r="O34" s="1093"/>
      <c r="P34" s="1264"/>
      <c r="Q34" s="1093"/>
      <c r="R34" s="1264"/>
      <c r="S34" s="1093"/>
    </row>
    <row r="35" spans="1:19">
      <c r="A35" s="1086"/>
      <c r="B35" s="1163"/>
      <c r="C35" s="23"/>
      <c r="D35" s="87"/>
      <c r="E35" s="86"/>
      <c r="F35" s="431"/>
      <c r="G35" s="1207"/>
      <c r="H35" s="1264"/>
      <c r="I35" s="1093"/>
      <c r="J35" s="1264"/>
      <c r="K35" s="1093"/>
      <c r="L35" s="1264"/>
      <c r="M35" s="1093"/>
      <c r="N35" s="1264"/>
      <c r="O35" s="1093"/>
      <c r="P35" s="1264"/>
      <c r="Q35" s="1093"/>
      <c r="R35" s="1264"/>
      <c r="S35" s="1093"/>
    </row>
    <row r="36" spans="1:19">
      <c r="A36" s="1086"/>
      <c r="B36" s="1163"/>
      <c r="C36" s="23"/>
      <c r="D36" s="87"/>
      <c r="E36" s="86"/>
      <c r="F36" s="431"/>
      <c r="G36" s="1207"/>
      <c r="H36" s="1264"/>
      <c r="I36" s="1093"/>
      <c r="J36" s="1264"/>
      <c r="K36" s="1093"/>
      <c r="L36" s="1264"/>
      <c r="M36" s="1093"/>
      <c r="N36" s="1264"/>
      <c r="O36" s="1093"/>
      <c r="P36" s="1264"/>
      <c r="Q36" s="1093"/>
      <c r="R36" s="1264"/>
      <c r="S36" s="1093"/>
    </row>
    <row r="37" spans="1:19">
      <c r="A37" s="1086"/>
      <c r="B37" s="1163"/>
      <c r="C37" s="23"/>
      <c r="D37" s="87"/>
      <c r="E37" s="86"/>
      <c r="F37" s="431"/>
      <c r="G37" s="1207"/>
      <c r="H37" s="1264"/>
      <c r="I37" s="1093"/>
      <c r="J37" s="1264"/>
      <c r="K37" s="1093"/>
      <c r="L37" s="1264"/>
      <c r="M37" s="1093"/>
      <c r="N37" s="1264"/>
      <c r="O37" s="1093"/>
      <c r="P37" s="1264"/>
      <c r="Q37" s="1093"/>
      <c r="R37" s="1264"/>
      <c r="S37" s="1093"/>
    </row>
    <row r="38" spans="1:19">
      <c r="A38" s="1086"/>
      <c r="B38" s="1163"/>
      <c r="C38" s="23"/>
      <c r="D38" s="87"/>
      <c r="E38" s="86"/>
      <c r="F38" s="431"/>
      <c r="G38" s="1207"/>
      <c r="H38" s="1264"/>
      <c r="I38" s="1093"/>
      <c r="J38" s="1264"/>
      <c r="K38" s="1093"/>
      <c r="L38" s="1264"/>
      <c r="M38" s="1093"/>
      <c r="N38" s="1264"/>
      <c r="O38" s="1093"/>
      <c r="P38" s="1264"/>
      <c r="Q38" s="1093"/>
      <c r="R38" s="1264"/>
      <c r="S38" s="1093"/>
    </row>
    <row r="39" spans="1:19">
      <c r="A39" s="1086"/>
      <c r="B39" s="1163"/>
      <c r="C39" s="23"/>
      <c r="D39" s="87"/>
      <c r="E39" s="86"/>
      <c r="F39" s="431"/>
      <c r="G39" s="1207"/>
      <c r="H39" s="1264"/>
      <c r="I39" s="1093"/>
      <c r="J39" s="1264"/>
      <c r="K39" s="1093"/>
      <c r="L39" s="1264"/>
      <c r="M39" s="1093"/>
      <c r="N39" s="1264"/>
      <c r="O39" s="1093"/>
      <c r="P39" s="1264"/>
      <c r="Q39" s="1093"/>
      <c r="R39" s="1264"/>
      <c r="S39" s="1093"/>
    </row>
    <row r="40" spans="1:19">
      <c r="A40" s="1086"/>
      <c r="B40" s="1163"/>
      <c r="C40" s="23"/>
      <c r="D40" s="87"/>
      <c r="E40" s="86"/>
      <c r="F40" s="431"/>
      <c r="G40" s="1207"/>
      <c r="H40" s="1264"/>
      <c r="I40" s="1093"/>
      <c r="J40" s="1264"/>
      <c r="K40" s="1093"/>
      <c r="L40" s="1264"/>
      <c r="M40" s="1093"/>
      <c r="N40" s="1264"/>
      <c r="O40" s="1093"/>
      <c r="P40" s="1264"/>
      <c r="Q40" s="1093"/>
      <c r="R40" s="1264"/>
      <c r="S40" s="1093"/>
    </row>
    <row r="41" spans="1:19">
      <c r="A41" s="1086"/>
      <c r="B41" s="1163"/>
      <c r="C41" s="23"/>
      <c r="D41" s="87"/>
      <c r="E41" s="86"/>
      <c r="F41" s="431"/>
      <c r="G41" s="1207"/>
      <c r="H41" s="1264"/>
      <c r="I41" s="1093"/>
      <c r="J41" s="1264"/>
      <c r="K41" s="1093"/>
      <c r="L41" s="1264"/>
      <c r="M41" s="1093"/>
      <c r="N41" s="1264"/>
      <c r="O41" s="1093"/>
      <c r="P41" s="1264"/>
      <c r="Q41" s="1093"/>
      <c r="R41" s="1264"/>
      <c r="S41" s="1093"/>
    </row>
    <row r="42" spans="1:19">
      <c r="A42" s="1086"/>
      <c r="B42" s="1163"/>
      <c r="C42" s="23"/>
      <c r="D42" s="87"/>
      <c r="E42" s="86"/>
      <c r="F42" s="431"/>
      <c r="G42" s="1207"/>
      <c r="H42" s="1264"/>
      <c r="I42" s="1093"/>
      <c r="J42" s="1264"/>
      <c r="K42" s="1093"/>
      <c r="L42" s="1264"/>
      <c r="M42" s="1093"/>
      <c r="N42" s="1264"/>
      <c r="O42" s="1093"/>
      <c r="P42" s="1264"/>
      <c r="Q42" s="1093"/>
      <c r="R42" s="1264"/>
      <c r="S42" s="1093"/>
    </row>
    <row r="43" spans="1:19">
      <c r="A43" s="1086"/>
      <c r="B43" s="1163"/>
      <c r="C43" s="23"/>
      <c r="D43" s="87"/>
      <c r="E43" s="86"/>
      <c r="F43" s="431"/>
      <c r="G43" s="1207"/>
      <c r="H43" s="1264"/>
      <c r="I43" s="1093"/>
      <c r="J43" s="1264"/>
      <c r="K43" s="1093"/>
      <c r="L43" s="1264"/>
      <c r="M43" s="1093"/>
      <c r="N43" s="1264"/>
      <c r="O43" s="1093"/>
      <c r="P43" s="1264"/>
      <c r="Q43" s="1093"/>
      <c r="R43" s="1264"/>
      <c r="S43" s="1093"/>
    </row>
    <row r="44" spans="1:19">
      <c r="A44" s="1086"/>
      <c r="B44" s="1163"/>
      <c r="C44" s="23"/>
      <c r="D44" s="87"/>
      <c r="E44" s="86"/>
      <c r="F44" s="431"/>
      <c r="G44" s="1207"/>
      <c r="H44" s="1264"/>
      <c r="I44" s="1093"/>
      <c r="J44" s="1264"/>
      <c r="K44" s="1093"/>
      <c r="L44" s="1264"/>
      <c r="M44" s="1093"/>
      <c r="N44" s="1264"/>
      <c r="O44" s="1093"/>
      <c r="P44" s="1264"/>
      <c r="Q44" s="1093"/>
      <c r="R44" s="1264"/>
      <c r="S44" s="1093"/>
    </row>
    <row r="45" spans="1:19">
      <c r="A45" s="1086"/>
      <c r="B45" s="1163"/>
      <c r="C45" s="23"/>
      <c r="D45" s="87"/>
      <c r="E45" s="86"/>
      <c r="F45" s="431"/>
      <c r="G45" s="1207"/>
      <c r="H45" s="1264"/>
      <c r="I45" s="1093"/>
      <c r="J45" s="1264"/>
      <c r="K45" s="1093"/>
      <c r="L45" s="1264"/>
      <c r="M45" s="1093"/>
      <c r="N45" s="1264"/>
      <c r="O45" s="1093"/>
      <c r="P45" s="1264"/>
      <c r="Q45" s="1093"/>
      <c r="R45" s="1264"/>
      <c r="S45" s="1093"/>
    </row>
    <row r="46" spans="1:19">
      <c r="A46" s="1086"/>
      <c r="B46" s="1163"/>
      <c r="C46" s="23"/>
      <c r="D46" s="87"/>
      <c r="E46" s="86"/>
      <c r="F46" s="431"/>
      <c r="G46" s="1207"/>
      <c r="H46" s="1264"/>
      <c r="I46" s="1093"/>
      <c r="J46" s="1264"/>
      <c r="K46" s="1093"/>
      <c r="L46" s="1264"/>
      <c r="M46" s="1093"/>
      <c r="N46" s="1264"/>
      <c r="O46" s="1093"/>
      <c r="P46" s="1264"/>
      <c r="Q46" s="1093"/>
      <c r="R46" s="1264"/>
      <c r="S46" s="1093"/>
    </row>
    <row r="47" spans="1:19">
      <c r="A47" s="1086"/>
      <c r="B47" s="1163"/>
      <c r="C47" s="23"/>
      <c r="D47" s="87"/>
      <c r="E47" s="86"/>
      <c r="F47" s="431"/>
      <c r="G47" s="1207"/>
      <c r="H47" s="1264"/>
      <c r="I47" s="1093"/>
      <c r="J47" s="1264"/>
      <c r="K47" s="1093"/>
      <c r="L47" s="1264"/>
      <c r="M47" s="1093"/>
      <c r="N47" s="1264"/>
      <c r="O47" s="1093"/>
      <c r="P47" s="1264"/>
      <c r="Q47" s="1093"/>
      <c r="R47" s="1264"/>
      <c r="S47" s="1093"/>
    </row>
    <row r="48" spans="1:19">
      <c r="A48" s="1086"/>
      <c r="B48" s="1163"/>
      <c r="C48" s="23"/>
      <c r="D48" s="87"/>
      <c r="E48" s="86"/>
      <c r="F48" s="431"/>
      <c r="G48" s="1207"/>
      <c r="H48" s="1264"/>
      <c r="I48" s="1093"/>
      <c r="J48" s="1264"/>
      <c r="K48" s="1093"/>
      <c r="L48" s="1264"/>
      <c r="M48" s="1093"/>
      <c r="N48" s="1264"/>
      <c r="O48" s="1093"/>
      <c r="P48" s="1264"/>
      <c r="Q48" s="1093"/>
      <c r="R48" s="1264"/>
      <c r="S48" s="1093"/>
    </row>
    <row r="49" spans="1:34">
      <c r="A49" s="1086"/>
      <c r="B49" s="1163"/>
      <c r="C49" s="23"/>
      <c r="D49" s="87"/>
      <c r="E49" s="86"/>
      <c r="F49" s="431"/>
      <c r="G49" s="830"/>
      <c r="H49" s="1264"/>
      <c r="I49" s="1093"/>
      <c r="J49" s="1264"/>
      <c r="K49" s="1093"/>
      <c r="L49" s="1264"/>
      <c r="M49" s="1093"/>
      <c r="N49" s="1264"/>
      <c r="O49" s="1093"/>
      <c r="P49" s="1264"/>
      <c r="Q49" s="1093"/>
      <c r="R49" s="1264"/>
      <c r="S49" s="1093"/>
    </row>
    <row r="50" spans="1:34" ht="15.75" thickBot="1">
      <c r="A50" s="1086"/>
      <c r="B50" s="1163"/>
      <c r="C50" s="23"/>
      <c r="D50" s="87"/>
      <c r="E50" s="86"/>
      <c r="F50" s="431"/>
      <c r="G50" s="830"/>
      <c r="H50" s="1264"/>
      <c r="I50" s="1093"/>
      <c r="J50" s="1264"/>
      <c r="K50" s="1093"/>
      <c r="L50" s="1264"/>
      <c r="M50" s="1093"/>
      <c r="N50" s="1264"/>
      <c r="O50" s="1093"/>
      <c r="P50" s="1264"/>
      <c r="Q50" s="1093"/>
      <c r="R50" s="1264"/>
      <c r="S50" s="1093"/>
    </row>
    <row r="51" spans="1:34" ht="15.75" thickTop="1">
      <c r="A51" s="296"/>
      <c r="B51" s="301"/>
      <c r="C51" s="297"/>
      <c r="D51" s="15"/>
      <c r="E51" s="16"/>
      <c r="F51" s="282" t="s">
        <v>753</v>
      </c>
      <c r="G51" s="272"/>
      <c r="H51" s="273"/>
      <c r="I51" s="273">
        <f>SUM(I13:I50)</f>
        <v>0</v>
      </c>
      <c r="J51" s="273"/>
      <c r="K51" s="273">
        <f>SUM(K13:K50)</f>
        <v>0</v>
      </c>
      <c r="L51" s="273"/>
      <c r="M51" s="273">
        <f>SUM(M13:M50)</f>
        <v>0</v>
      </c>
      <c r="N51" s="273"/>
      <c r="O51" s="273">
        <f>SUM(O13:O50)</f>
        <v>0</v>
      </c>
      <c r="P51" s="273"/>
      <c r="Q51" s="273">
        <f>SUM(Q13:Q50)</f>
        <v>0</v>
      </c>
      <c r="R51" s="273"/>
      <c r="S51" s="273">
        <f>SUM(S13:S50)</f>
        <v>0</v>
      </c>
    </row>
    <row r="52" spans="1:34">
      <c r="A52" s="1114"/>
      <c r="B52" s="1164"/>
      <c r="C52" s="432"/>
      <c r="D52" s="433"/>
      <c r="E52" s="434"/>
      <c r="F52" s="435" t="s">
        <v>754</v>
      </c>
      <c r="G52" s="436"/>
      <c r="H52" s="1165">
        <v>0</v>
      </c>
      <c r="I52" s="1166"/>
      <c r="J52" s="1165">
        <v>0</v>
      </c>
      <c r="K52" s="1166"/>
      <c r="L52" s="1165">
        <v>0</v>
      </c>
      <c r="M52" s="1166"/>
      <c r="N52" s="1165">
        <v>0</v>
      </c>
      <c r="O52" s="1166"/>
      <c r="P52" s="1165">
        <v>0</v>
      </c>
      <c r="Q52" s="1166"/>
      <c r="R52" s="1165">
        <v>0</v>
      </c>
      <c r="S52" s="1166"/>
    </row>
    <row r="53" spans="1:34">
      <c r="A53" s="1114"/>
      <c r="B53" s="1164"/>
      <c r="C53" s="432"/>
      <c r="D53" s="433"/>
      <c r="E53" s="434"/>
      <c r="F53" s="435" t="s">
        <v>755</v>
      </c>
      <c r="G53" s="436"/>
      <c r="H53" s="1166"/>
      <c r="I53" s="1166">
        <f>H52*I51</f>
        <v>0</v>
      </c>
      <c r="J53" s="1166"/>
      <c r="K53" s="1166">
        <f>J52*K51</f>
        <v>0</v>
      </c>
      <c r="L53" s="1166"/>
      <c r="M53" s="1166">
        <f>L52*M51</f>
        <v>0</v>
      </c>
      <c r="N53" s="1166"/>
      <c r="O53" s="1166">
        <f>N52*O51</f>
        <v>0</v>
      </c>
      <c r="P53" s="1166"/>
      <c r="Q53" s="1166">
        <f>P52*Q51</f>
        <v>0</v>
      </c>
      <c r="R53" s="1166"/>
      <c r="S53" s="1166">
        <f>R52*S51</f>
        <v>0</v>
      </c>
    </row>
    <row r="54" spans="1:34">
      <c r="A54" s="1114"/>
      <c r="B54" s="1164"/>
      <c r="C54" s="432"/>
      <c r="D54" s="433"/>
      <c r="E54" s="434"/>
      <c r="F54" s="435"/>
      <c r="G54" s="436"/>
      <c r="H54" s="1166"/>
      <c r="I54" s="1166"/>
      <c r="J54" s="1166"/>
      <c r="K54" s="1166"/>
      <c r="L54" s="1166"/>
      <c r="M54" s="1166"/>
      <c r="N54" s="1166"/>
      <c r="O54" s="1166"/>
      <c r="P54" s="1166"/>
      <c r="Q54" s="1166"/>
      <c r="R54" s="1166"/>
      <c r="S54" s="1166"/>
    </row>
    <row r="55" spans="1:34">
      <c r="A55" s="1114"/>
      <c r="B55" s="1164"/>
      <c r="C55" s="432"/>
      <c r="D55" s="433"/>
      <c r="E55" s="434"/>
      <c r="F55" s="435" t="s">
        <v>756</v>
      </c>
      <c r="G55" s="436"/>
      <c r="H55" s="1166"/>
      <c r="I55" s="1166">
        <f>SUM(I51:I53)</f>
        <v>0</v>
      </c>
      <c r="J55" s="1166"/>
      <c r="K55" s="1166">
        <f>SUM(K51:K53)</f>
        <v>0</v>
      </c>
      <c r="L55" s="1166"/>
      <c r="M55" s="1166">
        <f>SUM(M51:M53)</f>
        <v>0</v>
      </c>
      <c r="N55" s="1166"/>
      <c r="O55" s="1166">
        <f>SUM(O51:O53)</f>
        <v>0</v>
      </c>
      <c r="P55" s="1166"/>
      <c r="Q55" s="1166">
        <f>SUM(Q51:Q53)</f>
        <v>0</v>
      </c>
      <c r="R55" s="1166"/>
      <c r="S55" s="1166">
        <f>SUM(S51:S53)</f>
        <v>0</v>
      </c>
    </row>
    <row r="56" spans="1:34">
      <c r="A56" s="1114"/>
      <c r="B56" s="1164"/>
      <c r="C56" s="432"/>
      <c r="D56" s="433"/>
      <c r="E56" s="434"/>
      <c r="F56" s="437" t="s">
        <v>757</v>
      </c>
      <c r="G56" s="438"/>
      <c r="H56" s="1167"/>
      <c r="I56" s="1167">
        <f>I55/'Area Calculations'!$G$4</f>
        <v>0</v>
      </c>
      <c r="J56" s="1167"/>
      <c r="K56" s="1167">
        <f>K55/'Area Calculations'!$G$4</f>
        <v>0</v>
      </c>
      <c r="L56" s="1167"/>
      <c r="M56" s="1167">
        <f>M55/'Area Calculations'!$G$4</f>
        <v>0</v>
      </c>
      <c r="N56" s="1167"/>
      <c r="O56" s="1167">
        <f>O55/'Area Calculations'!$G$4</f>
        <v>0</v>
      </c>
      <c r="P56" s="1167"/>
      <c r="Q56" s="1167">
        <f>Q55/'Area Calculations'!$G$4</f>
        <v>0</v>
      </c>
      <c r="R56" s="1167"/>
      <c r="S56" s="1167">
        <f>S55/'Area Calculations'!$G$4</f>
        <v>0</v>
      </c>
    </row>
    <row r="57" spans="1:34">
      <c r="A57" s="1114"/>
      <c r="B57" s="1164"/>
      <c r="C57" s="432"/>
      <c r="D57" s="433"/>
      <c r="E57" s="434"/>
      <c r="F57" s="437" t="s">
        <v>758</v>
      </c>
      <c r="G57" s="438"/>
      <c r="H57" s="1167"/>
      <c r="I57" s="1167">
        <f>I55/'Area Calculations'!$G$9</f>
        <v>0</v>
      </c>
      <c r="J57" s="1167"/>
      <c r="K57" s="1167">
        <f>K55/'Area Calculations'!$G$9</f>
        <v>0</v>
      </c>
      <c r="L57" s="1167"/>
      <c r="M57" s="1167">
        <f>M55/'Area Calculations'!$G$9</f>
        <v>0</v>
      </c>
      <c r="N57" s="1167"/>
      <c r="O57" s="1167">
        <f>O55/'Area Calculations'!$G$9</f>
        <v>0</v>
      </c>
      <c r="P57" s="1167"/>
      <c r="Q57" s="1167">
        <f>Q55/'Area Calculations'!$G$9</f>
        <v>0</v>
      </c>
      <c r="R57" s="1167"/>
      <c r="S57" s="1167">
        <f>S55/'Area Calculations'!$G$9</f>
        <v>0</v>
      </c>
    </row>
    <row r="58" spans="1:34" ht="15.75" thickBot="1">
      <c r="A58" s="1114"/>
      <c r="B58" s="1164"/>
      <c r="C58" s="432"/>
      <c r="D58" s="433"/>
      <c r="E58" s="434"/>
      <c r="F58" s="439"/>
      <c r="G58" s="436"/>
      <c r="H58" s="1168"/>
      <c r="I58" s="1168"/>
      <c r="J58" s="1168"/>
      <c r="K58" s="1168"/>
      <c r="L58" s="1168"/>
      <c r="M58" s="1168"/>
      <c r="N58" s="1168"/>
      <c r="O58" s="1168"/>
      <c r="P58" s="1168"/>
      <c r="Q58" s="1168"/>
      <c r="R58" s="1168"/>
      <c r="S58" s="1168"/>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1219"/>
      <c r="B60" s="1105"/>
      <c r="C60" s="1276"/>
      <c r="D60" s="1089"/>
      <c r="E60" s="1089"/>
      <c r="F60" s="1089"/>
      <c r="G60" s="1221"/>
      <c r="H60" s="1222"/>
      <c r="I60" s="1223"/>
      <c r="J60" s="1223"/>
      <c r="K60" s="1223"/>
      <c r="L60" s="1223"/>
      <c r="M60" s="1223"/>
      <c r="N60" s="1223"/>
      <c r="O60" s="1223"/>
      <c r="P60" s="1223"/>
      <c r="Q60" s="1223"/>
      <c r="R60" s="1223"/>
      <c r="S60" s="1223"/>
    </row>
    <row r="61" spans="1:34">
      <c r="A61" s="1219"/>
      <c r="B61" s="1105"/>
      <c r="C61" s="1276"/>
      <c r="D61" s="1089"/>
      <c r="E61" s="1089"/>
      <c r="F61" s="1089"/>
      <c r="G61" s="1221"/>
      <c r="H61" s="1222"/>
      <c r="I61" s="1223"/>
      <c r="J61" s="1223"/>
      <c r="K61" s="1223"/>
      <c r="L61" s="1223"/>
      <c r="M61" s="1223"/>
      <c r="N61" s="1223"/>
      <c r="O61" s="1223"/>
      <c r="P61" s="1223"/>
      <c r="Q61" s="1223"/>
      <c r="R61" s="1223"/>
      <c r="S61" s="1223"/>
    </row>
    <row r="62" spans="1:34" ht="15.75" thickBot="1">
      <c r="A62" s="1219"/>
      <c r="B62" s="1105"/>
      <c r="C62" s="1276"/>
      <c r="D62" s="1089"/>
      <c r="E62" s="1089"/>
      <c r="F62" s="1089"/>
      <c r="G62" s="1221"/>
      <c r="H62" s="1222"/>
      <c r="I62" s="1223"/>
      <c r="J62" s="1223"/>
      <c r="K62" s="1223"/>
      <c r="L62" s="1223"/>
      <c r="M62" s="1223"/>
      <c r="N62" s="1223"/>
      <c r="O62" s="1223"/>
      <c r="P62" s="1223"/>
      <c r="Q62" s="1223"/>
      <c r="R62" s="1223"/>
      <c r="S62" s="1223"/>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1219"/>
      <c r="B64" s="1105"/>
      <c r="C64" s="1276"/>
      <c r="D64" s="1089"/>
      <c r="E64" s="1089"/>
      <c r="F64" s="1089"/>
      <c r="G64" s="1221"/>
      <c r="H64" s="1222"/>
      <c r="I64" s="1223"/>
      <c r="J64" s="1223"/>
      <c r="K64" s="1223"/>
      <c r="L64" s="1223"/>
      <c r="M64" s="1223"/>
      <c r="N64" s="1223"/>
      <c r="O64" s="1223"/>
      <c r="P64" s="1223"/>
      <c r="Q64" s="1223"/>
      <c r="R64" s="1223"/>
      <c r="S64" s="1223"/>
      <c r="T64"/>
      <c r="U64"/>
      <c r="V64"/>
      <c r="W64"/>
      <c r="X64"/>
      <c r="Y64"/>
      <c r="Z64"/>
      <c r="AA64"/>
      <c r="AB64"/>
      <c r="AC64"/>
      <c r="AD64"/>
      <c r="AE64"/>
      <c r="AF64"/>
      <c r="AG64"/>
      <c r="AH64"/>
    </row>
    <row r="65" spans="1:34" s="2" customFormat="1">
      <c r="A65" s="1219"/>
      <c r="B65" s="1105"/>
      <c r="C65" s="1276"/>
      <c r="D65" s="1089"/>
      <c r="E65" s="1089"/>
      <c r="F65" s="1089"/>
      <c r="G65" s="1221"/>
      <c r="H65" s="1222"/>
      <c r="I65" s="1223"/>
      <c r="J65" s="1223"/>
      <c r="K65" s="1223"/>
      <c r="L65" s="1223"/>
      <c r="M65" s="1223"/>
      <c r="N65" s="1223"/>
      <c r="O65" s="1223"/>
      <c r="P65" s="1223"/>
      <c r="Q65" s="1223"/>
      <c r="R65" s="1223"/>
      <c r="S65" s="1223"/>
      <c r="T65"/>
      <c r="U65"/>
      <c r="V65"/>
      <c r="W65"/>
      <c r="X65"/>
      <c r="Y65"/>
      <c r="Z65"/>
      <c r="AA65"/>
      <c r="AB65"/>
      <c r="AC65"/>
      <c r="AD65"/>
      <c r="AE65"/>
      <c r="AF65"/>
      <c r="AG65"/>
      <c r="AH65"/>
    </row>
    <row r="66" spans="1:34" ht="15.75" thickBot="1">
      <c r="A66" s="1219"/>
      <c r="B66" s="1105"/>
      <c r="C66" s="1276"/>
      <c r="D66" s="1089"/>
      <c r="E66" s="1089"/>
      <c r="F66" s="1089"/>
      <c r="G66" s="1221"/>
      <c r="H66" s="1222"/>
      <c r="I66" s="1223"/>
      <c r="J66" s="1223"/>
      <c r="K66" s="1223"/>
      <c r="L66" s="1223"/>
      <c r="M66" s="1223"/>
      <c r="N66" s="1223"/>
      <c r="O66" s="1223"/>
      <c r="P66" s="1223"/>
      <c r="Q66" s="1223"/>
      <c r="R66" s="1223"/>
      <c r="S66" s="1223"/>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1219"/>
      <c r="B68" s="1105"/>
      <c r="C68" s="1276"/>
      <c r="D68" s="1089"/>
      <c r="E68" s="1089"/>
      <c r="F68" s="1089"/>
      <c r="G68" s="1221"/>
      <c r="H68" s="1222"/>
      <c r="I68" s="1223"/>
      <c r="J68" s="1223"/>
      <c r="K68" s="1223"/>
      <c r="L68" s="1223"/>
      <c r="M68" s="1223"/>
      <c r="N68" s="1223"/>
      <c r="O68" s="1223"/>
      <c r="P68" s="1223"/>
      <c r="Q68" s="1223"/>
      <c r="R68" s="1223"/>
      <c r="S68" s="1223"/>
      <c r="T68"/>
      <c r="U68"/>
      <c r="V68"/>
      <c r="W68"/>
      <c r="X68"/>
      <c r="Y68"/>
      <c r="Z68"/>
      <c r="AA68"/>
      <c r="AB68"/>
      <c r="AC68"/>
      <c r="AD68"/>
      <c r="AE68"/>
      <c r="AF68"/>
      <c r="AG68"/>
      <c r="AH68"/>
    </row>
    <row r="69" spans="1:34" s="2" customFormat="1">
      <c r="A69" s="1124"/>
      <c r="B69" s="1105"/>
      <c r="C69" s="415"/>
      <c r="D69" s="422"/>
      <c r="E69" s="422"/>
      <c r="F69" s="422"/>
      <c r="G69" s="831"/>
      <c r="H69" s="440"/>
      <c r="I69" s="1173"/>
      <c r="J69" s="1173"/>
      <c r="K69" s="1173"/>
      <c r="L69" s="1173"/>
      <c r="M69" s="1173"/>
      <c r="N69" s="1173"/>
      <c r="O69" s="1173"/>
      <c r="P69" s="1173"/>
      <c r="Q69" s="1173"/>
      <c r="R69" s="1173"/>
      <c r="S69" s="1173"/>
      <c r="T69"/>
      <c r="U69"/>
      <c r="V69"/>
      <c r="W69"/>
      <c r="X69"/>
      <c r="Y69"/>
      <c r="Z69"/>
      <c r="AA69"/>
      <c r="AB69"/>
      <c r="AC69"/>
      <c r="AD69"/>
      <c r="AE69"/>
      <c r="AF69"/>
      <c r="AG69"/>
      <c r="AH69"/>
    </row>
    <row r="70" spans="1:34" s="2" customFormat="1" ht="15.75" thickBot="1">
      <c r="A70" s="1126"/>
      <c r="B70" s="1174"/>
      <c r="C70" s="415"/>
      <c r="D70" s="422"/>
      <c r="E70" s="422"/>
      <c r="F70" s="422"/>
      <c r="G70" s="831"/>
      <c r="H70" s="441"/>
      <c r="I70" s="1175"/>
      <c r="J70" s="1175"/>
      <c r="K70" s="1175"/>
      <c r="L70" s="1175"/>
      <c r="M70" s="1175"/>
      <c r="N70" s="1175"/>
      <c r="O70" s="1175"/>
      <c r="P70" s="1175"/>
      <c r="Q70" s="1175"/>
      <c r="R70" s="1175"/>
      <c r="S70" s="1175"/>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1224"/>
      <c r="B72" s="1225"/>
      <c r="C72" s="1276"/>
      <c r="D72" s="1089"/>
      <c r="E72" s="1089"/>
      <c r="F72" s="1089"/>
      <c r="G72" s="1221"/>
      <c r="H72" s="1222"/>
      <c r="I72" s="1223"/>
      <c r="J72" s="1223"/>
      <c r="K72" s="1223"/>
      <c r="L72" s="1223"/>
      <c r="M72" s="1223"/>
      <c r="N72" s="1223"/>
      <c r="O72" s="1223"/>
      <c r="P72" s="1223"/>
      <c r="Q72" s="1223"/>
      <c r="R72" s="1223"/>
      <c r="S72" s="1223"/>
      <c r="T72" s="2"/>
      <c r="U72" s="2"/>
      <c r="V72" s="2"/>
      <c r="W72" s="2"/>
      <c r="X72" s="2"/>
      <c r="Y72" s="2"/>
      <c r="Z72" s="2"/>
      <c r="AA72" s="2"/>
      <c r="AB72" s="2"/>
      <c r="AC72" s="2"/>
      <c r="AD72" s="2"/>
      <c r="AE72" s="2"/>
      <c r="AF72" s="2"/>
      <c r="AG72" s="2"/>
      <c r="AH72" s="2"/>
    </row>
    <row r="73" spans="1:34">
      <c r="A73" s="1126"/>
      <c r="B73" s="1174"/>
      <c r="C73" s="415"/>
      <c r="D73" s="422"/>
      <c r="E73" s="422"/>
      <c r="F73" s="422"/>
      <c r="G73" s="831"/>
      <c r="H73" s="442"/>
      <c r="I73" s="1178"/>
      <c r="J73" s="1178"/>
      <c r="K73" s="1178"/>
      <c r="L73" s="1178"/>
      <c r="M73" s="1178"/>
      <c r="N73" s="1178"/>
      <c r="O73" s="1178"/>
      <c r="P73" s="1178"/>
      <c r="Q73" s="1178"/>
      <c r="R73" s="1178"/>
      <c r="S73" s="1178"/>
      <c r="T73" s="2"/>
      <c r="U73" s="2"/>
      <c r="V73" s="2"/>
      <c r="W73" s="2"/>
      <c r="X73" s="2"/>
      <c r="Y73" s="2"/>
      <c r="Z73" s="2"/>
      <c r="AA73" s="2"/>
      <c r="AB73" s="2"/>
      <c r="AC73" s="2"/>
      <c r="AD73" s="2"/>
      <c r="AE73" s="2"/>
      <c r="AF73" s="2"/>
      <c r="AG73" s="2"/>
      <c r="AH73" s="2"/>
    </row>
    <row r="74" spans="1:34" ht="15.75" thickBot="1">
      <c r="A74" s="1126"/>
      <c r="B74" s="1174"/>
      <c r="C74" s="415"/>
      <c r="D74" s="422"/>
      <c r="E74" s="422"/>
      <c r="F74" s="422"/>
      <c r="G74" s="831"/>
      <c r="H74" s="442"/>
      <c r="I74" s="1178"/>
      <c r="J74" s="1178"/>
      <c r="K74" s="1178"/>
      <c r="L74" s="1178"/>
      <c r="M74" s="1178"/>
      <c r="N74" s="1178"/>
      <c r="O74" s="1178"/>
      <c r="P74" s="1178"/>
      <c r="Q74" s="1178"/>
      <c r="R74" s="1178"/>
      <c r="S74" s="1178"/>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1105" t="s">
        <v>764</v>
      </c>
      <c r="C76" s="415"/>
      <c r="D76" s="422"/>
      <c r="E76" s="422"/>
      <c r="F76" s="422"/>
      <c r="G76" s="831"/>
      <c r="H76" s="442"/>
      <c r="I76" s="1178"/>
      <c r="J76" s="1178"/>
      <c r="K76" s="1178"/>
      <c r="L76" s="1178"/>
      <c r="M76" s="1178"/>
      <c r="N76" s="1178"/>
      <c r="O76" s="1178"/>
      <c r="P76" s="1178"/>
      <c r="Q76" s="1178"/>
      <c r="R76" s="1178"/>
      <c r="S76" s="1178"/>
    </row>
    <row r="77" spans="1:34">
      <c r="A77" s="1124"/>
      <c r="B77" s="1105" t="s">
        <v>765</v>
      </c>
      <c r="C77" s="415"/>
      <c r="D77" s="422"/>
      <c r="E77" s="422"/>
      <c r="F77" s="422"/>
      <c r="G77" s="831"/>
      <c r="H77" s="442"/>
      <c r="I77" s="1178"/>
      <c r="J77" s="1178"/>
      <c r="K77" s="1178"/>
      <c r="L77" s="1178"/>
      <c r="M77" s="1178"/>
      <c r="N77" s="1178"/>
      <c r="O77" s="1178"/>
      <c r="P77" s="1178"/>
      <c r="Q77" s="1178"/>
      <c r="R77" s="1178"/>
      <c r="S77" s="1178"/>
    </row>
    <row r="78" spans="1:34">
      <c r="A78" s="1124"/>
      <c r="B78" s="1105" t="s">
        <v>766</v>
      </c>
      <c r="C78" s="415"/>
      <c r="D78" s="422"/>
      <c r="E78" s="422"/>
      <c r="F78" s="422"/>
      <c r="G78" s="831"/>
      <c r="H78" s="442"/>
      <c r="I78" s="1178"/>
      <c r="J78" s="1178"/>
      <c r="K78" s="1178"/>
      <c r="L78" s="1178"/>
      <c r="M78" s="1178"/>
      <c r="N78" s="1178"/>
      <c r="O78" s="1178"/>
      <c r="P78" s="1178"/>
      <c r="Q78" s="1178"/>
      <c r="R78" s="1178"/>
      <c r="S78" s="1178"/>
    </row>
    <row r="79" spans="1:34">
      <c r="A79" s="1124"/>
      <c r="B79" s="1105" t="s">
        <v>767</v>
      </c>
      <c r="C79" s="415"/>
      <c r="D79" s="422"/>
      <c r="E79" s="422"/>
      <c r="F79" s="422"/>
      <c r="G79" s="831"/>
      <c r="H79" s="442"/>
      <c r="I79" s="1178"/>
      <c r="J79" s="1178"/>
      <c r="K79" s="1178"/>
      <c r="L79" s="1178"/>
      <c r="M79" s="1178"/>
      <c r="N79" s="1178"/>
      <c r="O79" s="1178"/>
      <c r="P79" s="1178"/>
      <c r="Q79" s="1178"/>
      <c r="R79" s="1178"/>
      <c r="S79" s="1178"/>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1219"/>
      <c r="B82" s="1226" t="s">
        <v>769</v>
      </c>
      <c r="C82" s="1276"/>
      <c r="D82" s="1089"/>
      <c r="E82" s="1089"/>
      <c r="F82" s="1089"/>
      <c r="G82" s="1221"/>
      <c r="H82" s="1227"/>
      <c r="I82" s="1228"/>
      <c r="J82" s="1228"/>
      <c r="K82" s="1228"/>
      <c r="L82" s="1228"/>
      <c r="M82" s="1228"/>
      <c r="N82" s="1228"/>
      <c r="O82" s="1228"/>
      <c r="P82" s="1228"/>
      <c r="Q82" s="1228"/>
      <c r="R82" s="1228"/>
      <c r="S82" s="1228"/>
    </row>
    <row r="83" spans="1:19">
      <c r="A83" s="1124"/>
      <c r="B83" s="1105" t="s">
        <v>770</v>
      </c>
      <c r="C83" s="415"/>
      <c r="D83" s="422"/>
      <c r="E83" s="422"/>
      <c r="F83" s="422"/>
      <c r="G83" s="831"/>
      <c r="H83" s="445"/>
      <c r="I83" s="1182"/>
      <c r="J83" s="1182"/>
      <c r="K83" s="1182"/>
      <c r="L83" s="1182"/>
      <c r="M83" s="1182"/>
      <c r="N83" s="1182"/>
      <c r="O83" s="1182"/>
      <c r="P83" s="1182"/>
      <c r="Q83" s="1182"/>
      <c r="R83" s="1182"/>
      <c r="S83" s="1182"/>
    </row>
    <row r="84" spans="1:19" ht="15.75" thickBot="1">
      <c r="A84" s="1183"/>
      <c r="B84" s="1184" t="s">
        <v>771</v>
      </c>
      <c r="C84" s="1185"/>
      <c r="D84" s="1186"/>
      <c r="E84" s="1186"/>
      <c r="F84" s="1186"/>
      <c r="G84" s="1187"/>
      <c r="H84" s="1188"/>
      <c r="I84" s="1189"/>
      <c r="J84" s="1189"/>
      <c r="K84" s="1189"/>
      <c r="L84" s="1189"/>
      <c r="M84" s="1189"/>
      <c r="N84" s="1189"/>
      <c r="O84" s="1189"/>
      <c r="P84" s="1189"/>
      <c r="Q84" s="1189"/>
      <c r="R84" s="1189"/>
      <c r="S84" s="1189"/>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190"/>
      <c r="F87" s="2"/>
      <c r="G87" s="2"/>
      <c r="H87" s="2"/>
      <c r="I87" s="2"/>
      <c r="J87" s="2"/>
      <c r="K87" s="2"/>
      <c r="L87" s="2"/>
      <c r="M87" s="2"/>
      <c r="N87" s="2"/>
      <c r="O87" s="2"/>
      <c r="P87" s="2"/>
      <c r="Q87" s="2"/>
      <c r="R87" s="2"/>
      <c r="S87" s="2"/>
    </row>
    <row r="88" spans="1:19">
      <c r="A88" s="1142" t="s">
        <v>702</v>
      </c>
      <c r="B88" s="1190"/>
      <c r="F88" s="2"/>
      <c r="G88" s="2"/>
      <c r="H88" s="2"/>
      <c r="I88" s="2"/>
      <c r="J88" s="2"/>
      <c r="K88" s="2"/>
      <c r="L88" s="2"/>
      <c r="M88" s="2"/>
      <c r="N88" s="2"/>
      <c r="O88" s="2"/>
      <c r="P88" s="2"/>
      <c r="Q88" s="2"/>
      <c r="R88" s="2"/>
      <c r="S88" s="2"/>
    </row>
    <row r="89" spans="1:19">
      <c r="A89" s="1191" t="s">
        <v>708</v>
      </c>
      <c r="B89" s="1192"/>
      <c r="F89" s="2"/>
      <c r="G89" s="2"/>
      <c r="H89" s="2"/>
      <c r="I89" s="2"/>
      <c r="J89" s="2"/>
      <c r="K89" s="2"/>
      <c r="L89" s="2"/>
      <c r="M89" s="2"/>
      <c r="N89" s="2"/>
      <c r="O89" s="2"/>
      <c r="P89" s="2"/>
      <c r="Q89" s="2"/>
      <c r="R89" s="2"/>
      <c r="S89" s="2"/>
    </row>
    <row r="90" spans="1:19">
      <c r="A90" s="1191" t="s">
        <v>713</v>
      </c>
      <c r="B90" s="1193"/>
      <c r="F90" s="2"/>
      <c r="G90" s="2"/>
      <c r="H90" s="2"/>
      <c r="I90" s="2"/>
      <c r="J90" s="2"/>
      <c r="K90" s="2"/>
      <c r="L90" s="2"/>
      <c r="M90" s="2"/>
      <c r="N90" s="2"/>
      <c r="O90" s="2"/>
      <c r="P90" s="2"/>
      <c r="Q90" s="2"/>
      <c r="R90" s="2"/>
      <c r="S90" s="2"/>
    </row>
    <row r="91" spans="1:19" ht="15.75" thickBot="1">
      <c r="A91" s="1194" t="s">
        <v>69</v>
      </c>
      <c r="B91" s="1195"/>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H5:I5"/>
    <mergeCell ref="J5:K5"/>
    <mergeCell ref="L5:M5"/>
    <mergeCell ref="N5:O5"/>
    <mergeCell ref="H4:I4"/>
    <mergeCell ref="J4:K4"/>
    <mergeCell ref="L4:M4"/>
    <mergeCell ref="N4:O4"/>
    <mergeCell ref="H7:I7"/>
    <mergeCell ref="J7:K7"/>
    <mergeCell ref="L7:M7"/>
    <mergeCell ref="N7:O7"/>
    <mergeCell ref="H6:I6"/>
    <mergeCell ref="J6:K6"/>
    <mergeCell ref="L6:M6"/>
    <mergeCell ref="N6:O6"/>
    <mergeCell ref="H9:I9"/>
    <mergeCell ref="J9:K9"/>
    <mergeCell ref="L9:M9"/>
    <mergeCell ref="N9:O9"/>
    <mergeCell ref="H8:I8"/>
    <mergeCell ref="J8:K8"/>
    <mergeCell ref="L8:M8"/>
    <mergeCell ref="N8:O8"/>
    <mergeCell ref="R8:S8"/>
    <mergeCell ref="P9:Q9"/>
    <mergeCell ref="R9:S9"/>
    <mergeCell ref="P4:Q4"/>
    <mergeCell ref="R4:S4"/>
    <mergeCell ref="P5:Q5"/>
    <mergeCell ref="R5:S5"/>
    <mergeCell ref="P6:Q6"/>
    <mergeCell ref="R6:S6"/>
    <mergeCell ref="P7:Q7"/>
    <mergeCell ref="R7:S7"/>
    <mergeCell ref="P8:Q8"/>
  </mergeCells>
  <conditionalFormatting sqref="H11:H18 J11:J18 L11:L18 N11:N18 P11:P18 R11:R18">
    <cfRule type="cellIs" dxfId="613" priority="13" operator="equal">
      <formula>"X"</formula>
    </cfRule>
    <cfRule type="cellIs" dxfId="612" priority="14" operator="equal">
      <formula>"I"</formula>
    </cfRule>
  </conditionalFormatting>
  <conditionalFormatting sqref="H20:H50">
    <cfRule type="cellIs" dxfId="611" priority="1" operator="equal">
      <formula>"X"</formula>
    </cfRule>
    <cfRule type="cellIs" dxfId="610" priority="2" operator="equal">
      <formula>"I"</formula>
    </cfRule>
  </conditionalFormatting>
  <conditionalFormatting sqref="J20:J50">
    <cfRule type="cellIs" dxfId="609" priority="3" operator="equal">
      <formula>"X"</formula>
    </cfRule>
    <cfRule type="cellIs" dxfId="608" priority="4" operator="equal">
      <formula>"I"</formula>
    </cfRule>
  </conditionalFormatting>
  <conditionalFormatting sqref="L20:L50">
    <cfRule type="cellIs" dxfId="607" priority="5" operator="equal">
      <formula>"X"</formula>
    </cfRule>
    <cfRule type="cellIs" dxfId="606" priority="6" operator="equal">
      <formula>"I"</formula>
    </cfRule>
  </conditionalFormatting>
  <conditionalFormatting sqref="N20:N50">
    <cfRule type="cellIs" dxfId="605" priority="7" operator="equal">
      <formula>"X"</formula>
    </cfRule>
    <cfRule type="cellIs" dxfId="604" priority="8" operator="equal">
      <formula>"I"</formula>
    </cfRule>
  </conditionalFormatting>
  <conditionalFormatting sqref="P20:P50">
    <cfRule type="cellIs" dxfId="603" priority="9" operator="equal">
      <formula>"X"</formula>
    </cfRule>
    <cfRule type="cellIs" dxfId="602" priority="10" operator="equal">
      <formula>"I"</formula>
    </cfRule>
  </conditionalFormatting>
  <conditionalFormatting sqref="R20:R50">
    <cfRule type="cellIs" dxfId="601" priority="11" operator="equal">
      <formula>"X"</formula>
    </cfRule>
    <cfRule type="cellIs" dxfId="600" priority="12" operator="equal">
      <formula>"I"</formula>
    </cfRule>
  </conditionalFormatting>
  <hyperlinks>
    <hyperlink ref="B4" location="'Cost Summary'!A1" display="BACK TO SUMMARY SHEET" xr:uid="{EF159137-9392-4EFE-89D8-93DF1B7DA2F6}"/>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06D7-18D7-4389-879F-CA80079CE5FA}">
  <sheetPr>
    <tabColor rgb="FF00B0F0"/>
  </sheetPr>
  <dimension ref="A1:AO93"/>
  <sheetViews>
    <sheetView zoomScale="90" zoomScaleNormal="90" workbookViewId="0">
      <pane xSplit="2" ySplit="10" topLeftCell="C11" activePane="bottomRight" state="frozen"/>
      <selection pane="topRight" activeCell="C1" sqref="C1"/>
      <selection pane="bottomLeft" activeCell="A11" sqref="A11"/>
      <selection pane="bottomRight" activeCell="K31" sqref="K31"/>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912</v>
      </c>
      <c r="I4" s="2320"/>
      <c r="J4" s="2319" t="s">
        <v>687</v>
      </c>
      <c r="K4" s="2320"/>
      <c r="L4" s="2319" t="s">
        <v>688</v>
      </c>
      <c r="M4" s="2320"/>
      <c r="N4" s="2319" t="s">
        <v>689</v>
      </c>
      <c r="O4" s="2320"/>
      <c r="P4" s="2319" t="s">
        <v>690</v>
      </c>
      <c r="Q4" s="2320"/>
      <c r="R4" s="2319" t="s">
        <v>691</v>
      </c>
      <c r="S4" s="2320"/>
      <c r="X4" s="261"/>
    </row>
    <row r="5" spans="1:24" ht="15.75" thickTop="1">
      <c r="A5" s="292" t="s">
        <v>993</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1196" t="s">
        <v>296</v>
      </c>
      <c r="C6" s="415"/>
      <c r="D6" s="416"/>
      <c r="E6" s="417"/>
      <c r="F6" s="418"/>
      <c r="G6" s="419" t="s">
        <v>702</v>
      </c>
      <c r="H6" s="2325"/>
      <c r="I6" s="2326"/>
      <c r="J6" s="2325"/>
      <c r="K6" s="2326"/>
      <c r="L6" s="2325"/>
      <c r="M6" s="2326"/>
      <c r="N6" s="2325"/>
      <c r="O6" s="2326"/>
      <c r="P6" s="2313"/>
      <c r="Q6" s="2314"/>
      <c r="R6" s="2313"/>
      <c r="S6" s="2314"/>
      <c r="X6" s="261"/>
    </row>
    <row r="7" spans="1:24">
      <c r="A7" s="1082" t="s">
        <v>706</v>
      </c>
      <c r="B7" s="1197" t="s">
        <v>295</v>
      </c>
      <c r="C7" s="415"/>
      <c r="D7" s="416"/>
      <c r="E7" s="417"/>
      <c r="F7" s="418"/>
      <c r="G7" s="829" t="s">
        <v>708</v>
      </c>
      <c r="H7" s="2325"/>
      <c r="I7" s="2326"/>
      <c r="J7" s="2325"/>
      <c r="K7" s="2326"/>
      <c r="L7" s="2325"/>
      <c r="M7" s="2326"/>
      <c r="N7" s="2325"/>
      <c r="O7" s="2326"/>
      <c r="P7" s="2313"/>
      <c r="Q7" s="2314"/>
      <c r="R7" s="2313"/>
      <c r="S7" s="2314"/>
      <c r="X7" s="261"/>
    </row>
    <row r="8" spans="1:24">
      <c r="A8" s="1082" t="s">
        <v>712</v>
      </c>
      <c r="B8" s="1198"/>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I56</f>
        <v>0</v>
      </c>
      <c r="I9" s="2318"/>
      <c r="J9" s="2317">
        <f>K56</f>
        <v>0</v>
      </c>
      <c r="K9" s="2318"/>
      <c r="L9" s="2317">
        <f>M56</f>
        <v>0</v>
      </c>
      <c r="M9" s="2318"/>
      <c r="N9" s="2330">
        <f>O56</f>
        <v>0</v>
      </c>
      <c r="O9" s="2330"/>
      <c r="P9" s="2317">
        <f>Q56</f>
        <v>0</v>
      </c>
      <c r="Q9" s="2318"/>
      <c r="R9" s="2317">
        <f>S56</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232"/>
      <c r="B11" s="1283" t="s">
        <v>725</v>
      </c>
      <c r="C11" s="1279"/>
      <c r="D11" s="1220"/>
      <c r="E11" s="1220"/>
      <c r="F11" s="1284"/>
      <c r="G11" s="1285"/>
      <c r="H11" s="1286"/>
      <c r="I11" s="1287"/>
      <c r="J11" s="1286"/>
      <c r="K11" s="285"/>
      <c r="L11" s="1286"/>
      <c r="M11" s="1288"/>
      <c r="N11" s="1286"/>
      <c r="O11" s="1288"/>
      <c r="P11" s="1286"/>
      <c r="Q11" s="1288"/>
      <c r="R11" s="1286"/>
      <c r="S11" s="1288"/>
    </row>
    <row r="12" spans="1:24">
      <c r="A12" s="1232"/>
      <c r="B12" s="1263" t="s">
        <v>726</v>
      </c>
      <c r="C12" s="446"/>
      <c r="D12" s="422"/>
      <c r="E12" s="422"/>
      <c r="F12" s="418"/>
      <c r="G12" s="423"/>
      <c r="H12" s="1264"/>
      <c r="I12" s="1287"/>
      <c r="J12" s="1264"/>
      <c r="K12" s="1288"/>
      <c r="L12" s="1264"/>
      <c r="M12" s="1288"/>
      <c r="N12" s="1264"/>
      <c r="O12" s="1288"/>
      <c r="P12" s="1264"/>
      <c r="Q12" s="1288"/>
      <c r="R12" s="1264"/>
      <c r="S12" s="1288"/>
    </row>
    <row r="13" spans="1:24">
      <c r="A13" s="1097"/>
      <c r="B13" s="1263" t="s">
        <v>728</v>
      </c>
      <c r="C13" s="446"/>
      <c r="D13" s="422"/>
      <c r="E13" s="422"/>
      <c r="F13" s="418"/>
      <c r="G13" s="423"/>
      <c r="H13" s="1264"/>
      <c r="I13" s="1287"/>
      <c r="J13" s="1264"/>
      <c r="K13" s="1288"/>
      <c r="L13" s="1264"/>
      <c r="M13" s="1288"/>
      <c r="N13" s="1264"/>
      <c r="O13" s="1288"/>
      <c r="P13" s="1264"/>
      <c r="Q13" s="1288"/>
      <c r="R13" s="1264"/>
      <c r="S13" s="1288"/>
    </row>
    <row r="14" spans="1:24">
      <c r="A14" s="1232"/>
      <c r="B14" s="1265" t="s">
        <v>729</v>
      </c>
      <c r="C14" s="446"/>
      <c r="D14" s="422"/>
      <c r="E14" s="422"/>
      <c r="F14" s="418"/>
      <c r="G14" s="423"/>
      <c r="H14" s="1264"/>
      <c r="I14" s="1287"/>
      <c r="J14" s="1264"/>
      <c r="K14" s="1288"/>
      <c r="L14" s="1264"/>
      <c r="M14" s="1288"/>
      <c r="N14" s="1264"/>
      <c r="O14" s="1288"/>
      <c r="P14" s="1264"/>
      <c r="Q14" s="1288"/>
      <c r="R14" s="1264"/>
      <c r="S14" s="1288"/>
    </row>
    <row r="15" spans="1:24">
      <c r="A15" s="1097"/>
      <c r="B15" s="1265" t="s">
        <v>731</v>
      </c>
      <c r="C15" s="446"/>
      <c r="D15" s="422"/>
      <c r="E15" s="422"/>
      <c r="F15" s="418"/>
      <c r="G15" s="423"/>
      <c r="H15" s="1264"/>
      <c r="I15" s="1287"/>
      <c r="J15" s="1264"/>
      <c r="K15" s="1287"/>
      <c r="L15" s="1264"/>
      <c r="M15" s="1287"/>
      <c r="N15" s="1264"/>
      <c r="O15" s="1287"/>
      <c r="P15" s="1264"/>
      <c r="Q15" s="1287"/>
      <c r="R15" s="1264"/>
      <c r="S15" s="1287"/>
    </row>
    <row r="16" spans="1:24">
      <c r="A16" s="1232"/>
      <c r="B16" s="1265" t="s">
        <v>732</v>
      </c>
      <c r="C16" s="446"/>
      <c r="D16" s="422"/>
      <c r="E16" s="422"/>
      <c r="F16" s="418"/>
      <c r="G16" s="423"/>
      <c r="H16" s="1264"/>
      <c r="I16" s="1287"/>
      <c r="J16" s="1264"/>
      <c r="K16" s="1288"/>
      <c r="L16" s="1264"/>
      <c r="M16" s="1288"/>
      <c r="N16" s="1264"/>
      <c r="O16" s="1288"/>
      <c r="P16" s="1264"/>
      <c r="Q16" s="1288"/>
      <c r="R16" s="1264"/>
      <c r="S16" s="1288"/>
    </row>
    <row r="17" spans="1:41">
      <c r="A17" s="1097"/>
      <c r="B17" s="1265" t="s">
        <v>733</v>
      </c>
      <c r="C17" s="446"/>
      <c r="D17" s="422"/>
      <c r="E17" s="422"/>
      <c r="F17" s="418"/>
      <c r="G17" s="423"/>
      <c r="H17" s="1264"/>
      <c r="I17" s="1287"/>
      <c r="J17" s="1264"/>
      <c r="K17" s="1288"/>
      <c r="L17" s="1264"/>
      <c r="M17" s="1288"/>
      <c r="N17" s="1264"/>
      <c r="O17" s="1288"/>
      <c r="P17" s="1264"/>
      <c r="Q17" s="1288"/>
      <c r="R17" s="1264"/>
      <c r="S17" s="1288"/>
    </row>
    <row r="18" spans="1:41">
      <c r="A18" s="1232"/>
      <c r="B18" s="534" t="s">
        <v>734</v>
      </c>
      <c r="C18" s="446"/>
      <c r="D18" s="422"/>
      <c r="E18" s="422"/>
      <c r="F18" s="418"/>
      <c r="G18" s="423"/>
      <c r="H18" s="1264"/>
      <c r="I18" s="1287"/>
      <c r="J18" s="1264"/>
      <c r="K18" s="1288"/>
      <c r="L18" s="1264"/>
      <c r="M18" s="1288"/>
      <c r="N18" s="1264"/>
      <c r="O18" s="1288"/>
      <c r="P18" s="1264"/>
      <c r="Q18" s="1288"/>
      <c r="R18" s="1264"/>
      <c r="S18" s="1288"/>
    </row>
    <row r="19" spans="1:41">
      <c r="A19" s="1232"/>
      <c r="B19" s="1154" t="s">
        <v>736</v>
      </c>
      <c r="C19" s="446"/>
      <c r="D19" s="422"/>
      <c r="E19" s="422"/>
      <c r="F19" s="418"/>
      <c r="G19" s="423"/>
      <c r="H19" s="1264"/>
      <c r="I19" s="1287"/>
      <c r="J19" s="1264"/>
      <c r="K19" s="1288"/>
      <c r="L19" s="1264"/>
      <c r="M19" s="1288"/>
      <c r="N19" s="1264"/>
      <c r="O19" s="1288"/>
      <c r="P19" s="1264"/>
      <c r="Q19" s="1288"/>
      <c r="R19" s="1264"/>
      <c r="S19" s="1288"/>
    </row>
    <row r="20" spans="1:41">
      <c r="A20" s="1097"/>
      <c r="B20" s="1281" t="s">
        <v>737</v>
      </c>
      <c r="C20" s="447"/>
      <c r="D20" s="425"/>
      <c r="E20" s="425"/>
      <c r="F20" s="426"/>
      <c r="G20" s="427"/>
      <c r="H20" s="1156"/>
      <c r="I20" s="1157"/>
      <c r="J20" s="1156"/>
      <c r="K20" s="1158"/>
      <c r="L20" s="1156"/>
      <c r="M20" s="1158"/>
      <c r="N20" s="1156"/>
      <c r="O20" s="1158"/>
      <c r="P20" s="1156"/>
      <c r="Q20" s="1158"/>
      <c r="R20" s="1156"/>
      <c r="S20" s="1158"/>
    </row>
    <row r="21" spans="1:41">
      <c r="A21" s="1232"/>
      <c r="B21" s="1104"/>
      <c r="C21" s="70"/>
      <c r="D21" s="86"/>
      <c r="E21" s="86"/>
      <c r="F21" s="280"/>
      <c r="G21" s="274"/>
      <c r="H21" s="1264"/>
      <c r="I21" s="428"/>
      <c r="J21" s="1264"/>
      <c r="K21" s="428"/>
      <c r="L21" s="1264"/>
      <c r="M21" s="428"/>
      <c r="N21" s="1264"/>
      <c r="O21" s="428"/>
      <c r="P21" s="1264"/>
      <c r="Q21" s="428"/>
      <c r="R21" s="1264"/>
      <c r="S21" s="428"/>
    </row>
    <row r="22" spans="1:41" s="69" customFormat="1">
      <c r="A22" s="1097"/>
      <c r="B22" s="1105" t="s">
        <v>895</v>
      </c>
      <c r="C22" s="415"/>
      <c r="D22" s="422"/>
      <c r="E22" s="422"/>
      <c r="F22" s="429"/>
      <c r="G22" s="423"/>
      <c r="H22" s="1264"/>
      <c r="I22" s="1107"/>
      <c r="J22" s="1264"/>
      <c r="K22" s="1106"/>
      <c r="L22" s="1264"/>
      <c r="M22" s="1106"/>
      <c r="N22" s="1264"/>
      <c r="O22" s="1107"/>
      <c r="P22" s="1264"/>
      <c r="Q22" s="1107"/>
      <c r="R22" s="1264"/>
      <c r="S22" s="1106"/>
      <c r="T22"/>
      <c r="U22"/>
      <c r="V22"/>
      <c r="W22"/>
      <c r="X22"/>
      <c r="Y22"/>
      <c r="Z22"/>
      <c r="AA22"/>
      <c r="AB22"/>
      <c r="AC22"/>
      <c r="AD22"/>
      <c r="AE22"/>
      <c r="AF22"/>
      <c r="AG22"/>
      <c r="AH22"/>
      <c r="AI22"/>
      <c r="AJ22"/>
      <c r="AK22"/>
      <c r="AL22"/>
      <c r="AM22"/>
      <c r="AN22"/>
      <c r="AO22"/>
    </row>
    <row r="23" spans="1:41">
      <c r="A23" s="1232"/>
      <c r="B23" s="1289" t="s">
        <v>994</v>
      </c>
      <c r="C23" s="1276"/>
      <c r="D23" s="1282"/>
      <c r="E23" s="1220"/>
      <c r="F23" s="1206"/>
      <c r="G23" s="1207"/>
      <c r="H23" s="1264"/>
      <c r="I23" s="1288"/>
      <c r="J23" s="1264"/>
      <c r="K23" s="1288"/>
      <c r="L23" s="1264"/>
      <c r="M23" s="1288"/>
      <c r="N23" s="1264"/>
      <c r="O23" s="1288"/>
      <c r="P23" s="1264"/>
      <c r="Q23" s="1288"/>
      <c r="R23" s="1264"/>
      <c r="S23" s="1288"/>
    </row>
    <row r="24" spans="1:41">
      <c r="A24" s="1097"/>
      <c r="B24" s="1289"/>
      <c r="C24" s="415"/>
      <c r="D24" s="430"/>
      <c r="E24" s="422"/>
      <c r="F24" s="431"/>
      <c r="G24" s="1207"/>
      <c r="H24" s="1264"/>
      <c r="I24" s="1288"/>
      <c r="J24" s="1264"/>
      <c r="K24" s="1288"/>
      <c r="L24" s="1264"/>
      <c r="M24" s="1288"/>
      <c r="N24" s="1264"/>
      <c r="O24" s="1288"/>
      <c r="P24" s="1264"/>
      <c r="Q24" s="1288"/>
      <c r="R24" s="1264"/>
      <c r="S24" s="1288"/>
    </row>
    <row r="25" spans="1:41">
      <c r="A25" s="1232"/>
      <c r="B25" s="1289"/>
      <c r="C25" s="415"/>
      <c r="D25" s="430"/>
      <c r="E25" s="422"/>
      <c r="F25" s="431"/>
      <c r="G25" s="1207"/>
      <c r="H25" s="1264"/>
      <c r="I25" s="1288"/>
      <c r="J25" s="1264"/>
      <c r="K25" s="1288"/>
      <c r="L25" s="1264"/>
      <c r="M25" s="1288"/>
      <c r="N25" s="1264"/>
      <c r="O25" s="1288"/>
      <c r="P25" s="1264"/>
      <c r="Q25" s="1288"/>
      <c r="R25" s="1264"/>
      <c r="S25" s="1288"/>
    </row>
    <row r="26" spans="1:41">
      <c r="A26" s="1097"/>
      <c r="B26" s="1159"/>
      <c r="C26" s="415"/>
      <c r="D26" s="430"/>
      <c r="E26" s="422"/>
      <c r="F26" s="431"/>
      <c r="G26" s="1207"/>
      <c r="H26" s="1264"/>
      <c r="I26" s="1288"/>
      <c r="J26" s="1264"/>
      <c r="K26" s="1288"/>
      <c r="L26" s="1264"/>
      <c r="M26" s="1288"/>
      <c r="N26" s="1264"/>
      <c r="O26" s="1288"/>
      <c r="P26" s="1264"/>
      <c r="Q26" s="1288"/>
      <c r="R26" s="1264"/>
      <c r="S26" s="1288"/>
    </row>
    <row r="27" spans="1:41">
      <c r="A27" s="1232"/>
      <c r="B27" s="1159"/>
      <c r="C27" s="415"/>
      <c r="D27" s="430"/>
      <c r="E27" s="422"/>
      <c r="F27" s="431"/>
      <c r="G27" s="1207"/>
      <c r="H27" s="1264"/>
      <c r="I27" s="1288"/>
      <c r="J27" s="1264"/>
      <c r="K27" s="1288"/>
      <c r="L27" s="1264"/>
      <c r="M27" s="1288"/>
      <c r="N27" s="1264"/>
      <c r="O27" s="1288"/>
      <c r="P27" s="1264"/>
      <c r="Q27" s="1288"/>
      <c r="R27" s="1264"/>
      <c r="S27" s="1288"/>
    </row>
    <row r="28" spans="1:41">
      <c r="A28" s="1097"/>
      <c r="B28" s="1159"/>
      <c r="C28" s="415"/>
      <c r="D28" s="430"/>
      <c r="E28" s="422"/>
      <c r="F28" s="431"/>
      <c r="G28" s="1207"/>
      <c r="H28" s="1264"/>
      <c r="I28" s="1288"/>
      <c r="J28" s="1264"/>
      <c r="K28" s="1288"/>
      <c r="L28" s="1264"/>
      <c r="M28" s="1288"/>
      <c r="N28" s="1264"/>
      <c r="O28" s="1288"/>
      <c r="P28" s="1264"/>
      <c r="Q28" s="1288"/>
      <c r="R28" s="1264"/>
      <c r="S28" s="1288"/>
    </row>
    <row r="29" spans="1:41">
      <c r="A29" s="1232"/>
      <c r="B29" s="1159"/>
      <c r="C29" s="415"/>
      <c r="D29" s="430"/>
      <c r="E29" s="422"/>
      <c r="F29" s="431"/>
      <c r="G29" s="1207"/>
      <c r="H29" s="1264"/>
      <c r="I29" s="1288"/>
      <c r="J29" s="1264"/>
      <c r="K29" s="1288"/>
      <c r="L29" s="1264"/>
      <c r="M29" s="1288"/>
      <c r="N29" s="1264"/>
      <c r="O29" s="1288"/>
      <c r="P29" s="1264"/>
      <c r="Q29" s="1288"/>
      <c r="R29" s="1264"/>
      <c r="S29" s="1288"/>
    </row>
    <row r="30" spans="1:41">
      <c r="A30" s="1097"/>
      <c r="B30" s="1159"/>
      <c r="C30" s="415"/>
      <c r="D30" s="430"/>
      <c r="E30" s="422"/>
      <c r="F30" s="431"/>
      <c r="G30" s="1207"/>
      <c r="H30" s="1264"/>
      <c r="I30" s="1288"/>
      <c r="J30" s="1264"/>
      <c r="K30" s="1288"/>
      <c r="L30" s="1264"/>
      <c r="M30" s="1288"/>
      <c r="N30" s="1264"/>
      <c r="O30" s="1288"/>
      <c r="P30" s="1264"/>
      <c r="Q30" s="1288"/>
      <c r="R30" s="1264"/>
      <c r="S30" s="1288"/>
    </row>
    <row r="31" spans="1:41">
      <c r="A31" s="1232"/>
      <c r="B31" s="1159"/>
      <c r="C31" s="415"/>
      <c r="D31" s="430"/>
      <c r="E31" s="422"/>
      <c r="F31" s="431"/>
      <c r="G31" s="1207"/>
      <c r="H31" s="1264"/>
      <c r="I31" s="1288"/>
      <c r="J31" s="1264"/>
      <c r="K31" s="1288"/>
      <c r="L31" s="1264"/>
      <c r="M31" s="1288"/>
      <c r="N31" s="1264"/>
      <c r="O31" s="1288"/>
      <c r="P31" s="1264"/>
      <c r="Q31" s="1288"/>
      <c r="R31" s="1264"/>
      <c r="S31" s="1288"/>
    </row>
    <row r="32" spans="1:41">
      <c r="A32" s="1097"/>
      <c r="B32" s="1159"/>
      <c r="C32" s="415"/>
      <c r="D32" s="430"/>
      <c r="E32" s="422"/>
      <c r="F32" s="431"/>
      <c r="G32" s="1207"/>
      <c r="H32" s="1264"/>
      <c r="I32" s="1288"/>
      <c r="J32" s="1264"/>
      <c r="K32" s="1288"/>
      <c r="L32" s="1264"/>
      <c r="M32" s="1288"/>
      <c r="N32" s="1264"/>
      <c r="O32" s="1288"/>
      <c r="P32" s="1264"/>
      <c r="Q32" s="1288"/>
      <c r="R32" s="1264"/>
      <c r="S32" s="1288"/>
    </row>
    <row r="33" spans="1:19">
      <c r="A33" s="1232"/>
      <c r="B33" s="1163"/>
      <c r="C33" s="23"/>
      <c r="D33" s="430"/>
      <c r="E33" s="422"/>
      <c r="F33" s="431"/>
      <c r="G33" s="1207"/>
      <c r="H33" s="1264"/>
      <c r="I33" s="1288"/>
      <c r="J33" s="1264"/>
      <c r="K33" s="1288"/>
      <c r="L33" s="1264"/>
      <c r="M33" s="1288"/>
      <c r="N33" s="1264"/>
      <c r="O33" s="1288"/>
      <c r="P33" s="1264"/>
      <c r="Q33" s="1288"/>
      <c r="R33" s="1264"/>
      <c r="S33" s="1288"/>
    </row>
    <row r="34" spans="1:19">
      <c r="A34" s="1097"/>
      <c r="B34" s="1163"/>
      <c r="C34" s="23"/>
      <c r="D34" s="87"/>
      <c r="E34" s="86"/>
      <c r="F34" s="431"/>
      <c r="G34" s="1207"/>
      <c r="H34" s="1264"/>
      <c r="I34" s="1288"/>
      <c r="J34" s="1264"/>
      <c r="K34" s="1288"/>
      <c r="L34" s="1264"/>
      <c r="M34" s="1288"/>
      <c r="N34" s="1264"/>
      <c r="O34" s="1288"/>
      <c r="P34" s="1264"/>
      <c r="Q34" s="1288"/>
      <c r="R34" s="1264"/>
      <c r="S34" s="1288"/>
    </row>
    <row r="35" spans="1:19">
      <c r="A35" s="1232"/>
      <c r="B35" s="1163"/>
      <c r="C35" s="23"/>
      <c r="D35" s="87"/>
      <c r="E35" s="86"/>
      <c r="F35" s="431"/>
      <c r="G35" s="1207"/>
      <c r="H35" s="1264"/>
      <c r="I35" s="1288"/>
      <c r="J35" s="1264"/>
      <c r="K35" s="1288"/>
      <c r="L35" s="1264"/>
      <c r="M35" s="1288"/>
      <c r="N35" s="1264"/>
      <c r="O35" s="1288"/>
      <c r="P35" s="1264"/>
      <c r="Q35" s="1288"/>
      <c r="R35" s="1264"/>
      <c r="S35" s="1288"/>
    </row>
    <row r="36" spans="1:19">
      <c r="A36" s="1232"/>
      <c r="B36" s="1163"/>
      <c r="C36" s="23"/>
      <c r="D36" s="87"/>
      <c r="E36" s="86"/>
      <c r="F36" s="431"/>
      <c r="G36" s="1207"/>
      <c r="H36" s="1264"/>
      <c r="I36" s="1288"/>
      <c r="J36" s="1264"/>
      <c r="K36" s="1288"/>
      <c r="L36" s="1264"/>
      <c r="M36" s="1288"/>
      <c r="N36" s="1264"/>
      <c r="O36" s="1288"/>
      <c r="P36" s="1264"/>
      <c r="Q36" s="1288"/>
      <c r="R36" s="1264"/>
      <c r="S36" s="1288"/>
    </row>
    <row r="37" spans="1:19">
      <c r="A37" s="1232"/>
      <c r="B37" s="1163"/>
      <c r="C37" s="23"/>
      <c r="D37" s="87"/>
      <c r="E37" s="86"/>
      <c r="F37" s="431"/>
      <c r="G37" s="1207"/>
      <c r="H37" s="1264"/>
      <c r="I37" s="1288"/>
      <c r="J37" s="1264"/>
      <c r="K37" s="1288"/>
      <c r="L37" s="1264"/>
      <c r="M37" s="1288"/>
      <c r="N37" s="1264"/>
      <c r="O37" s="1288"/>
      <c r="P37" s="1264"/>
      <c r="Q37" s="1288"/>
      <c r="R37" s="1264"/>
      <c r="S37" s="1288"/>
    </row>
    <row r="38" spans="1:19">
      <c r="A38" s="1232"/>
      <c r="B38" s="1163"/>
      <c r="C38" s="23"/>
      <c r="D38" s="87"/>
      <c r="E38" s="86"/>
      <c r="F38" s="431"/>
      <c r="G38" s="1207"/>
      <c r="H38" s="1264"/>
      <c r="I38" s="1288"/>
      <c r="J38" s="1264"/>
      <c r="K38" s="1288"/>
      <c r="L38" s="1264"/>
      <c r="M38" s="1288"/>
      <c r="N38" s="1264"/>
      <c r="O38" s="1288"/>
      <c r="P38" s="1264"/>
      <c r="Q38" s="1288"/>
      <c r="R38" s="1264"/>
      <c r="S38" s="1288"/>
    </row>
    <row r="39" spans="1:19">
      <c r="A39" s="1232"/>
      <c r="B39" s="1163"/>
      <c r="C39" s="23"/>
      <c r="D39" s="87"/>
      <c r="E39" s="86"/>
      <c r="F39" s="431"/>
      <c r="G39" s="1207"/>
      <c r="H39" s="1264"/>
      <c r="I39" s="1288"/>
      <c r="J39" s="1264"/>
      <c r="K39" s="1288"/>
      <c r="L39" s="1264"/>
      <c r="M39" s="1288"/>
      <c r="N39" s="1264"/>
      <c r="O39" s="1288"/>
      <c r="P39" s="1264"/>
      <c r="Q39" s="1288"/>
      <c r="R39" s="1264"/>
      <c r="S39" s="1288"/>
    </row>
    <row r="40" spans="1:19">
      <c r="A40" s="1232"/>
      <c r="B40" s="1163"/>
      <c r="C40" s="23"/>
      <c r="D40" s="87"/>
      <c r="E40" s="86"/>
      <c r="F40" s="431"/>
      <c r="G40" s="1207"/>
      <c r="H40" s="1264"/>
      <c r="I40" s="1288"/>
      <c r="J40" s="1264"/>
      <c r="K40" s="1288"/>
      <c r="L40" s="1264"/>
      <c r="M40" s="1288"/>
      <c r="N40" s="1264"/>
      <c r="O40" s="1288"/>
      <c r="P40" s="1264"/>
      <c r="Q40" s="1288"/>
      <c r="R40" s="1264"/>
      <c r="S40" s="1288"/>
    </row>
    <row r="41" spans="1:19">
      <c r="A41" s="1232"/>
      <c r="B41" s="1163"/>
      <c r="C41" s="23"/>
      <c r="D41" s="87"/>
      <c r="E41" s="86"/>
      <c r="F41" s="431"/>
      <c r="G41" s="1207"/>
      <c r="H41" s="1264"/>
      <c r="I41" s="1288"/>
      <c r="J41" s="1264"/>
      <c r="K41" s="1288"/>
      <c r="L41" s="1264"/>
      <c r="M41" s="1288"/>
      <c r="N41" s="1264"/>
      <c r="O41" s="1288"/>
      <c r="P41" s="1264"/>
      <c r="Q41" s="1288"/>
      <c r="R41" s="1264"/>
      <c r="S41" s="1288"/>
    </row>
    <row r="42" spans="1:19">
      <c r="A42" s="1232"/>
      <c r="B42" s="1163"/>
      <c r="C42" s="23"/>
      <c r="D42" s="87"/>
      <c r="E42" s="86"/>
      <c r="F42" s="431"/>
      <c r="G42" s="1207"/>
      <c r="H42" s="1264"/>
      <c r="I42" s="1288"/>
      <c r="J42" s="1264"/>
      <c r="K42" s="1288"/>
      <c r="L42" s="1264"/>
      <c r="M42" s="1288"/>
      <c r="N42" s="1264"/>
      <c r="O42" s="1288"/>
      <c r="P42" s="1264"/>
      <c r="Q42" s="1288"/>
      <c r="R42" s="1264"/>
      <c r="S42" s="1288"/>
    </row>
    <row r="43" spans="1:19">
      <c r="A43" s="1232"/>
      <c r="B43" s="1163"/>
      <c r="C43" s="23"/>
      <c r="D43" s="87"/>
      <c r="E43" s="86"/>
      <c r="F43" s="431"/>
      <c r="G43" s="1207"/>
      <c r="H43" s="1264"/>
      <c r="I43" s="1288"/>
      <c r="J43" s="1264"/>
      <c r="K43" s="1288"/>
      <c r="L43" s="1264"/>
      <c r="M43" s="1288"/>
      <c r="N43" s="1264"/>
      <c r="O43" s="1288"/>
      <c r="P43" s="1264"/>
      <c r="Q43" s="1288"/>
      <c r="R43" s="1264"/>
      <c r="S43" s="1288"/>
    </row>
    <row r="44" spans="1:19">
      <c r="A44" s="1232"/>
      <c r="B44" s="1163"/>
      <c r="C44" s="23"/>
      <c r="D44" s="87"/>
      <c r="E44" s="86"/>
      <c r="F44" s="431"/>
      <c r="G44" s="1207"/>
      <c r="H44" s="1264"/>
      <c r="I44" s="1288"/>
      <c r="J44" s="1264"/>
      <c r="K44" s="1288"/>
      <c r="L44" s="1264"/>
      <c r="M44" s="1288"/>
      <c r="N44" s="1264"/>
      <c r="O44" s="1288"/>
      <c r="P44" s="1264"/>
      <c r="Q44" s="1288"/>
      <c r="R44" s="1264"/>
      <c r="S44" s="1288"/>
    </row>
    <row r="45" spans="1:19">
      <c r="A45" s="1232"/>
      <c r="B45" s="1163"/>
      <c r="C45" s="23"/>
      <c r="D45" s="87"/>
      <c r="E45" s="86"/>
      <c r="F45" s="431"/>
      <c r="G45" s="1207"/>
      <c r="H45" s="1264"/>
      <c r="I45" s="1288"/>
      <c r="J45" s="1264"/>
      <c r="K45" s="1288"/>
      <c r="L45" s="1264"/>
      <c r="M45" s="1288"/>
      <c r="N45" s="1264"/>
      <c r="O45" s="1288"/>
      <c r="P45" s="1264"/>
      <c r="Q45" s="1288"/>
      <c r="R45" s="1264"/>
      <c r="S45" s="1288"/>
    </row>
    <row r="46" spans="1:19">
      <c r="A46" s="1232"/>
      <c r="B46" s="1163"/>
      <c r="C46" s="23"/>
      <c r="D46" s="87"/>
      <c r="E46" s="86"/>
      <c r="F46" s="431"/>
      <c r="G46" s="1207"/>
      <c r="H46" s="1264"/>
      <c r="I46" s="1288"/>
      <c r="J46" s="1264"/>
      <c r="K46" s="1288"/>
      <c r="L46" s="1264"/>
      <c r="M46" s="1288"/>
      <c r="N46" s="1264"/>
      <c r="O46" s="1288"/>
      <c r="P46" s="1264"/>
      <c r="Q46" s="1288"/>
      <c r="R46" s="1264"/>
      <c r="S46" s="1288"/>
    </row>
    <row r="47" spans="1:19">
      <c r="A47" s="1232"/>
      <c r="B47" s="1163"/>
      <c r="C47" s="23"/>
      <c r="D47" s="87"/>
      <c r="E47" s="86"/>
      <c r="F47" s="431"/>
      <c r="G47" s="1207"/>
      <c r="H47" s="1264"/>
      <c r="I47" s="1288"/>
      <c r="J47" s="1264"/>
      <c r="K47" s="1288"/>
      <c r="L47" s="1264"/>
      <c r="M47" s="1288"/>
      <c r="N47" s="1264"/>
      <c r="O47" s="1288"/>
      <c r="P47" s="1264"/>
      <c r="Q47" s="1288"/>
      <c r="R47" s="1264"/>
      <c r="S47" s="1288"/>
    </row>
    <row r="48" spans="1:19">
      <c r="A48" s="1232"/>
      <c r="B48" s="1163"/>
      <c r="C48" s="23"/>
      <c r="D48" s="87"/>
      <c r="E48" s="86"/>
      <c r="F48" s="431"/>
      <c r="G48" s="1207"/>
      <c r="H48" s="1264"/>
      <c r="I48" s="1288"/>
      <c r="J48" s="1264"/>
      <c r="K48" s="1288"/>
      <c r="L48" s="1264"/>
      <c r="M48" s="1288"/>
      <c r="N48" s="1264"/>
      <c r="O48" s="1288"/>
      <c r="P48" s="1264"/>
      <c r="Q48" s="1288"/>
      <c r="R48" s="1264"/>
      <c r="S48" s="1288"/>
    </row>
    <row r="49" spans="1:34">
      <c r="A49" s="1232"/>
      <c r="B49" s="1163"/>
      <c r="C49" s="23"/>
      <c r="D49" s="87"/>
      <c r="E49" s="86"/>
      <c r="F49" s="431"/>
      <c r="G49" s="1207"/>
      <c r="H49" s="1264"/>
      <c r="I49" s="1288"/>
      <c r="J49" s="1264"/>
      <c r="K49" s="1288"/>
      <c r="L49" s="1264"/>
      <c r="M49" s="1288"/>
      <c r="N49" s="1264"/>
      <c r="O49" s="1288"/>
      <c r="P49" s="1264"/>
      <c r="Q49" s="1288"/>
      <c r="R49" s="1264"/>
      <c r="S49" s="1288"/>
    </row>
    <row r="50" spans="1:34">
      <c r="A50" s="1232"/>
      <c r="B50" s="1163"/>
      <c r="C50" s="23"/>
      <c r="D50" s="87"/>
      <c r="E50" s="86"/>
      <c r="F50" s="431"/>
      <c r="G50" s="830"/>
      <c r="H50" s="1264"/>
      <c r="I50" s="1288"/>
      <c r="J50" s="1264"/>
      <c r="K50" s="1288"/>
      <c r="L50" s="1264"/>
      <c r="M50" s="1288"/>
      <c r="N50" s="1264"/>
      <c r="O50" s="1288"/>
      <c r="P50" s="1264"/>
      <c r="Q50" s="1288"/>
      <c r="R50" s="1264"/>
      <c r="S50" s="1288"/>
    </row>
    <row r="51" spans="1:34" ht="15.75" thickBot="1">
      <c r="A51" s="1232"/>
      <c r="B51" s="1163"/>
      <c r="C51" s="23"/>
      <c r="D51" s="87"/>
      <c r="E51" s="86"/>
      <c r="F51" s="431"/>
      <c r="G51" s="830"/>
      <c r="H51" s="1264"/>
      <c r="I51" s="1288"/>
      <c r="J51" s="1264"/>
      <c r="K51" s="1288"/>
      <c r="L51" s="1264"/>
      <c r="M51" s="1288"/>
      <c r="N51" s="1264"/>
      <c r="O51" s="1288"/>
      <c r="P51" s="1264"/>
      <c r="Q51" s="1288"/>
      <c r="R51" s="1264"/>
      <c r="S51" s="1288"/>
    </row>
    <row r="52" spans="1:34" ht="15.75" thickTop="1">
      <c r="A52" s="296"/>
      <c r="B52" s="301"/>
      <c r="C52" s="297"/>
      <c r="D52" s="15"/>
      <c r="E52" s="16"/>
      <c r="F52" s="282" t="s">
        <v>753</v>
      </c>
      <c r="G52" s="272"/>
      <c r="H52" s="273"/>
      <c r="I52" s="273">
        <f>SUM(I13:I51)</f>
        <v>0</v>
      </c>
      <c r="J52" s="273"/>
      <c r="K52" s="273">
        <f>SUM(K13:K51)</f>
        <v>0</v>
      </c>
      <c r="L52" s="273"/>
      <c r="M52" s="273">
        <f>SUM(M13:M51)</f>
        <v>0</v>
      </c>
      <c r="N52" s="273"/>
      <c r="O52" s="273">
        <f>SUM(O13:O51)</f>
        <v>0</v>
      </c>
      <c r="P52" s="273"/>
      <c r="Q52" s="273">
        <f>SUM(Q13:Q51)</f>
        <v>0</v>
      </c>
      <c r="R52" s="273"/>
      <c r="S52" s="273">
        <f>SUM(S13:S51)</f>
        <v>0</v>
      </c>
    </row>
    <row r="53" spans="1:34">
      <c r="A53" s="1114"/>
      <c r="B53" s="1164"/>
      <c r="C53" s="432"/>
      <c r="D53" s="433"/>
      <c r="E53" s="434"/>
      <c r="F53" s="435" t="s">
        <v>754</v>
      </c>
      <c r="G53" s="436"/>
      <c r="H53" s="1165">
        <v>0</v>
      </c>
      <c r="I53" s="1166"/>
      <c r="J53" s="1165">
        <v>0</v>
      </c>
      <c r="K53" s="1166"/>
      <c r="L53" s="1165">
        <v>0</v>
      </c>
      <c r="M53" s="1166"/>
      <c r="N53" s="1165">
        <v>0</v>
      </c>
      <c r="O53" s="1166"/>
      <c r="P53" s="1165">
        <v>0</v>
      </c>
      <c r="Q53" s="1166"/>
      <c r="R53" s="1165">
        <v>0</v>
      </c>
      <c r="S53" s="1166"/>
    </row>
    <row r="54" spans="1:34">
      <c r="A54" s="1114"/>
      <c r="B54" s="1164"/>
      <c r="C54" s="432"/>
      <c r="D54" s="433"/>
      <c r="E54" s="434"/>
      <c r="F54" s="435" t="s">
        <v>755</v>
      </c>
      <c r="G54" s="436"/>
      <c r="H54" s="1166"/>
      <c r="I54" s="1166">
        <f>H53*I52</f>
        <v>0</v>
      </c>
      <c r="J54" s="1166"/>
      <c r="K54" s="1166">
        <f>J53*K52</f>
        <v>0</v>
      </c>
      <c r="L54" s="1166"/>
      <c r="M54" s="1166">
        <f>L53*M52</f>
        <v>0</v>
      </c>
      <c r="N54" s="1166"/>
      <c r="O54" s="1166">
        <f>N53*O52</f>
        <v>0</v>
      </c>
      <c r="P54" s="1166"/>
      <c r="Q54" s="1166">
        <f>P53*Q52</f>
        <v>0</v>
      </c>
      <c r="R54" s="1166"/>
      <c r="S54" s="1166">
        <f>R53*S52</f>
        <v>0</v>
      </c>
    </row>
    <row r="55" spans="1:34">
      <c r="A55" s="1114"/>
      <c r="B55" s="1164"/>
      <c r="C55" s="432"/>
      <c r="D55" s="433"/>
      <c r="E55" s="434"/>
      <c r="F55" s="435"/>
      <c r="G55" s="436"/>
      <c r="H55" s="1166"/>
      <c r="I55" s="1166"/>
      <c r="J55" s="1166"/>
      <c r="K55" s="1166"/>
      <c r="L55" s="1166"/>
      <c r="M55" s="1166"/>
      <c r="N55" s="1166"/>
      <c r="O55" s="1166"/>
      <c r="P55" s="1166"/>
      <c r="Q55" s="1166"/>
      <c r="R55" s="1166"/>
      <c r="S55" s="1166"/>
    </row>
    <row r="56" spans="1:34">
      <c r="A56" s="1114"/>
      <c r="B56" s="1164"/>
      <c r="C56" s="432"/>
      <c r="D56" s="433"/>
      <c r="E56" s="434"/>
      <c r="F56" s="435" t="s">
        <v>756</v>
      </c>
      <c r="G56" s="436"/>
      <c r="H56" s="1166"/>
      <c r="I56" s="1166">
        <f>SUM(I52:I54)</f>
        <v>0</v>
      </c>
      <c r="J56" s="1166"/>
      <c r="K56" s="1166">
        <f>SUM(K52:K54)</f>
        <v>0</v>
      </c>
      <c r="L56" s="1166"/>
      <c r="M56" s="1166">
        <f>SUM(M52:M54)</f>
        <v>0</v>
      </c>
      <c r="N56" s="1166"/>
      <c r="O56" s="1166">
        <f>SUM(O52:O54)</f>
        <v>0</v>
      </c>
      <c r="P56" s="1166"/>
      <c r="Q56" s="1166">
        <f>SUM(Q52:Q54)</f>
        <v>0</v>
      </c>
      <c r="R56" s="1166"/>
      <c r="S56" s="1166">
        <f>SUM(S52:S54)</f>
        <v>0</v>
      </c>
    </row>
    <row r="57" spans="1:34">
      <c r="A57" s="1114"/>
      <c r="B57" s="1164"/>
      <c r="C57" s="432"/>
      <c r="D57" s="433"/>
      <c r="E57" s="434"/>
      <c r="F57" s="437" t="s">
        <v>757</v>
      </c>
      <c r="G57" s="438"/>
      <c r="H57" s="1167"/>
      <c r="I57" s="1167">
        <f>I56/'Area Calculations'!$G$4</f>
        <v>0</v>
      </c>
      <c r="J57" s="1167"/>
      <c r="K57" s="1167">
        <f>K56/'Area Calculations'!$G$4</f>
        <v>0</v>
      </c>
      <c r="L57" s="1167"/>
      <c r="M57" s="1167">
        <f>M56/'Area Calculations'!$G$4</f>
        <v>0</v>
      </c>
      <c r="N57" s="1167"/>
      <c r="O57" s="1167">
        <f>O56/'Area Calculations'!$G$4</f>
        <v>0</v>
      </c>
      <c r="P57" s="1167"/>
      <c r="Q57" s="1167">
        <f>Q56/'Area Calculations'!$G$4</f>
        <v>0</v>
      </c>
      <c r="R57" s="1167"/>
      <c r="S57" s="1167">
        <f>S56/'Area Calculations'!$G$4</f>
        <v>0</v>
      </c>
    </row>
    <row r="58" spans="1:34">
      <c r="A58" s="1114"/>
      <c r="B58" s="1164"/>
      <c r="C58" s="432"/>
      <c r="D58" s="433"/>
      <c r="E58" s="434"/>
      <c r="F58" s="437" t="s">
        <v>758</v>
      </c>
      <c r="G58" s="438"/>
      <c r="H58" s="1167"/>
      <c r="I58" s="1167">
        <f>I56/'Area Calculations'!$G$9</f>
        <v>0</v>
      </c>
      <c r="J58" s="1167"/>
      <c r="K58" s="1167">
        <f>K56/'Area Calculations'!$G$9</f>
        <v>0</v>
      </c>
      <c r="L58" s="1167"/>
      <c r="M58" s="1167">
        <f>M56/'Area Calculations'!$G$9</f>
        <v>0</v>
      </c>
      <c r="N58" s="1167"/>
      <c r="O58" s="1167">
        <f>O56/'Area Calculations'!$G$9</f>
        <v>0</v>
      </c>
      <c r="P58" s="1167"/>
      <c r="Q58" s="1167">
        <f>Q56/'Area Calculations'!$G$9</f>
        <v>0</v>
      </c>
      <c r="R58" s="1167"/>
      <c r="S58" s="1167">
        <f>S56/'Area Calculations'!$G$9</f>
        <v>0</v>
      </c>
    </row>
    <row r="59" spans="1:34" ht="15.75" thickBot="1">
      <c r="A59" s="1114"/>
      <c r="B59" s="1164"/>
      <c r="C59" s="432"/>
      <c r="D59" s="433"/>
      <c r="E59" s="434"/>
      <c r="F59" s="439"/>
      <c r="G59" s="436"/>
      <c r="H59" s="1168"/>
      <c r="I59" s="1168"/>
      <c r="J59" s="1168"/>
      <c r="K59" s="1168"/>
      <c r="L59" s="1168"/>
      <c r="M59" s="1168"/>
      <c r="N59" s="1168"/>
      <c r="O59" s="1168"/>
      <c r="P59" s="1168"/>
      <c r="Q59" s="1168"/>
      <c r="R59" s="1168"/>
      <c r="S59" s="1168"/>
    </row>
    <row r="60" spans="1:34" ht="16.5" thickTop="1" thickBot="1">
      <c r="A60" s="2331" t="s">
        <v>759</v>
      </c>
      <c r="B60" s="2332"/>
      <c r="C60" s="298"/>
      <c r="D60" s="12"/>
      <c r="E60" s="12"/>
      <c r="F60" s="12"/>
      <c r="G60" s="26"/>
      <c r="H60" s="24"/>
      <c r="I60" s="20"/>
      <c r="J60" s="20"/>
      <c r="K60" s="20"/>
      <c r="L60" s="20"/>
      <c r="M60" s="20"/>
      <c r="N60" s="20"/>
      <c r="O60" s="20"/>
      <c r="P60" s="20"/>
      <c r="Q60" s="20"/>
      <c r="R60" s="20"/>
      <c r="S60" s="20"/>
    </row>
    <row r="61" spans="1:34" ht="15.75" thickTop="1">
      <c r="A61" s="1219"/>
      <c r="B61" s="1105"/>
      <c r="C61" s="1276"/>
      <c r="D61" s="1220"/>
      <c r="E61" s="1220"/>
      <c r="F61" s="1220"/>
      <c r="G61" s="1221"/>
      <c r="H61" s="1222"/>
      <c r="I61" s="1223"/>
      <c r="J61" s="1223"/>
      <c r="K61" s="1223"/>
      <c r="L61" s="1223"/>
      <c r="M61" s="1223"/>
      <c r="N61" s="1223"/>
      <c r="O61" s="1223"/>
      <c r="P61" s="1223"/>
      <c r="Q61" s="1223"/>
      <c r="R61" s="1223"/>
      <c r="S61" s="1223"/>
    </row>
    <row r="62" spans="1:34">
      <c r="A62" s="1219"/>
      <c r="B62" s="1105"/>
      <c r="C62" s="1276"/>
      <c r="D62" s="1220"/>
      <c r="E62" s="1220"/>
      <c r="F62" s="1220"/>
      <c r="G62" s="1221"/>
      <c r="H62" s="1222"/>
      <c r="I62" s="1223"/>
      <c r="J62" s="1223"/>
      <c r="K62" s="1223"/>
      <c r="L62" s="1223"/>
      <c r="M62" s="1223"/>
      <c r="N62" s="1223"/>
      <c r="O62" s="1223"/>
      <c r="P62" s="1223"/>
      <c r="Q62" s="1223"/>
      <c r="R62" s="1223"/>
      <c r="S62" s="1223"/>
    </row>
    <row r="63" spans="1:34" ht="15.75" thickBot="1">
      <c r="A63" s="1219"/>
      <c r="B63" s="1105"/>
      <c r="C63" s="1276"/>
      <c r="D63" s="1220"/>
      <c r="E63" s="1220"/>
      <c r="F63" s="1220"/>
      <c r="G63" s="1221"/>
      <c r="H63" s="1222"/>
      <c r="I63" s="1223"/>
      <c r="J63" s="1223"/>
      <c r="K63" s="1223"/>
      <c r="L63" s="1223"/>
      <c r="M63" s="1223"/>
      <c r="N63" s="1223"/>
      <c r="O63" s="1223"/>
      <c r="P63" s="1223"/>
      <c r="Q63" s="1223"/>
      <c r="R63" s="1223"/>
      <c r="S63" s="1223"/>
    </row>
    <row r="64" spans="1:34" s="2" customFormat="1" ht="16.5" thickTop="1" thickBot="1">
      <c r="A64" s="2331" t="s">
        <v>760</v>
      </c>
      <c r="B64" s="2332"/>
      <c r="C64" s="298"/>
      <c r="D64" s="12"/>
      <c r="E64" s="12"/>
      <c r="F64" s="12"/>
      <c r="G64" s="26"/>
      <c r="H64" s="24"/>
      <c r="I64" s="20"/>
      <c r="J64" s="20"/>
      <c r="K64" s="20"/>
      <c r="L64" s="20"/>
      <c r="M64" s="20"/>
      <c r="N64" s="20"/>
      <c r="O64" s="20"/>
      <c r="P64" s="20"/>
      <c r="Q64" s="20"/>
      <c r="R64" s="20"/>
      <c r="S64" s="20"/>
      <c r="T64"/>
      <c r="U64"/>
      <c r="V64"/>
      <c r="W64"/>
      <c r="X64"/>
      <c r="Y64"/>
      <c r="Z64"/>
      <c r="AA64"/>
      <c r="AB64"/>
      <c r="AC64"/>
      <c r="AD64"/>
      <c r="AE64"/>
      <c r="AF64"/>
      <c r="AG64"/>
      <c r="AH64"/>
    </row>
    <row r="65" spans="1:34" s="2" customFormat="1" ht="15.75" thickTop="1">
      <c r="A65" s="1219"/>
      <c r="B65" s="1105"/>
      <c r="C65" s="1276"/>
      <c r="D65" s="1220"/>
      <c r="E65" s="1220"/>
      <c r="F65" s="1220"/>
      <c r="G65" s="1221"/>
      <c r="H65" s="1222"/>
      <c r="I65" s="1223"/>
      <c r="J65" s="1223"/>
      <c r="K65" s="1223"/>
      <c r="L65" s="1223"/>
      <c r="M65" s="1223"/>
      <c r="N65" s="1223"/>
      <c r="O65" s="1223"/>
      <c r="P65" s="1223"/>
      <c r="Q65" s="1223"/>
      <c r="R65" s="1223"/>
      <c r="S65" s="1223"/>
      <c r="T65"/>
      <c r="U65"/>
      <c r="V65"/>
      <c r="W65"/>
      <c r="X65"/>
      <c r="Y65"/>
      <c r="Z65"/>
      <c r="AA65"/>
      <c r="AB65"/>
      <c r="AC65"/>
      <c r="AD65"/>
      <c r="AE65"/>
      <c r="AF65"/>
      <c r="AG65"/>
      <c r="AH65"/>
    </row>
    <row r="66" spans="1:34" s="2" customFormat="1">
      <c r="A66" s="1219"/>
      <c r="B66" s="1105"/>
      <c r="C66" s="1276"/>
      <c r="D66" s="1220"/>
      <c r="E66" s="1220"/>
      <c r="F66" s="1220"/>
      <c r="G66" s="1221"/>
      <c r="H66" s="1222"/>
      <c r="I66" s="1223"/>
      <c r="J66" s="1223"/>
      <c r="K66" s="1223"/>
      <c r="L66" s="1223"/>
      <c r="M66" s="1223"/>
      <c r="N66" s="1223"/>
      <c r="O66" s="1223"/>
      <c r="P66" s="1223"/>
      <c r="Q66" s="1223"/>
      <c r="R66" s="1223"/>
      <c r="S66" s="1223"/>
      <c r="T66"/>
      <c r="U66"/>
      <c r="V66"/>
      <c r="W66"/>
      <c r="X66"/>
      <c r="Y66"/>
      <c r="Z66"/>
      <c r="AA66"/>
      <c r="AB66"/>
      <c r="AC66"/>
      <c r="AD66"/>
      <c r="AE66"/>
      <c r="AF66"/>
      <c r="AG66"/>
      <c r="AH66"/>
    </row>
    <row r="67" spans="1:34" ht="15.75" thickBot="1">
      <c r="A67" s="1219"/>
      <c r="B67" s="1105"/>
      <c r="C67" s="1276"/>
      <c r="D67" s="1220"/>
      <c r="E67" s="1220"/>
      <c r="F67" s="1220"/>
      <c r="G67" s="1221"/>
      <c r="H67" s="1222"/>
      <c r="I67" s="1223"/>
      <c r="J67" s="1223"/>
      <c r="K67" s="1223"/>
      <c r="L67" s="1223"/>
      <c r="M67" s="1223"/>
      <c r="N67" s="1223"/>
      <c r="O67" s="1223"/>
      <c r="P67" s="1223"/>
      <c r="Q67" s="1223"/>
      <c r="R67" s="1223"/>
      <c r="S67" s="1223"/>
    </row>
    <row r="68" spans="1:34" s="2" customFormat="1" ht="16.5" thickTop="1" thickBot="1">
      <c r="A68" s="2331" t="s">
        <v>761</v>
      </c>
      <c r="B68" s="2332"/>
      <c r="C68" s="298"/>
      <c r="D68" s="12"/>
      <c r="E68" s="12"/>
      <c r="F68" s="12"/>
      <c r="G68" s="26"/>
      <c r="H68" s="24"/>
      <c r="I68" s="20"/>
      <c r="J68" s="20"/>
      <c r="K68" s="20"/>
      <c r="L68" s="20"/>
      <c r="M68" s="20"/>
      <c r="N68" s="20"/>
      <c r="O68" s="20"/>
      <c r="P68" s="20"/>
      <c r="Q68" s="20"/>
      <c r="R68" s="20"/>
      <c r="S68" s="20"/>
      <c r="T68"/>
      <c r="U68"/>
      <c r="V68"/>
      <c r="W68"/>
      <c r="X68"/>
      <c r="Y68"/>
      <c r="Z68"/>
      <c r="AA68"/>
      <c r="AB68"/>
      <c r="AC68"/>
      <c r="AD68"/>
      <c r="AE68"/>
      <c r="AF68"/>
      <c r="AG68"/>
      <c r="AH68"/>
    </row>
    <row r="69" spans="1:34" s="2" customFormat="1" ht="15.75" thickTop="1">
      <c r="A69" s="1219"/>
      <c r="B69" s="1105"/>
      <c r="C69" s="1276"/>
      <c r="D69" s="1220"/>
      <c r="E69" s="1220"/>
      <c r="F69" s="1220"/>
      <c r="G69" s="1221"/>
      <c r="H69" s="1222"/>
      <c r="I69" s="1223"/>
      <c r="J69" s="1223"/>
      <c r="K69" s="1223"/>
      <c r="L69" s="1223"/>
      <c r="M69" s="1223"/>
      <c r="N69" s="1223"/>
      <c r="O69" s="1223"/>
      <c r="P69" s="1223"/>
      <c r="Q69" s="1223"/>
      <c r="R69" s="1223"/>
      <c r="S69" s="1223"/>
      <c r="T69"/>
      <c r="U69"/>
      <c r="V69"/>
      <c r="W69"/>
      <c r="X69"/>
      <c r="Y69"/>
      <c r="Z69"/>
      <c r="AA69"/>
      <c r="AB69"/>
      <c r="AC69"/>
      <c r="AD69"/>
      <c r="AE69"/>
      <c r="AF69"/>
      <c r="AG69"/>
      <c r="AH69"/>
    </row>
    <row r="70" spans="1:34" s="2" customFormat="1">
      <c r="A70" s="1124"/>
      <c r="B70" s="1105"/>
      <c r="C70" s="415"/>
      <c r="D70" s="422"/>
      <c r="E70" s="422"/>
      <c r="F70" s="422"/>
      <c r="G70" s="831"/>
      <c r="H70" s="440"/>
      <c r="I70" s="1173"/>
      <c r="J70" s="1173"/>
      <c r="K70" s="1173"/>
      <c r="L70" s="1173"/>
      <c r="M70" s="1173"/>
      <c r="N70" s="1173"/>
      <c r="O70" s="1173"/>
      <c r="P70" s="1173"/>
      <c r="Q70" s="1173"/>
      <c r="R70" s="1173"/>
      <c r="S70" s="1173"/>
      <c r="T70"/>
      <c r="U70"/>
      <c r="V70"/>
      <c r="W70"/>
      <c r="X70"/>
      <c r="Y70"/>
      <c r="Z70"/>
      <c r="AA70"/>
      <c r="AB70"/>
      <c r="AC70"/>
      <c r="AD70"/>
      <c r="AE70"/>
      <c r="AF70"/>
      <c r="AG70"/>
      <c r="AH70"/>
    </row>
    <row r="71" spans="1:34" s="2" customFormat="1" ht="15.75" thickBot="1">
      <c r="A71" s="1126"/>
      <c r="B71" s="1174"/>
      <c r="C71" s="415"/>
      <c r="D71" s="422"/>
      <c r="E71" s="422"/>
      <c r="F71" s="422"/>
      <c r="G71" s="831"/>
      <c r="H71" s="441"/>
      <c r="I71" s="1175"/>
      <c r="J71" s="1175"/>
      <c r="K71" s="1175"/>
      <c r="L71" s="1175"/>
      <c r="M71" s="1175"/>
      <c r="N71" s="1175"/>
      <c r="O71" s="1175"/>
      <c r="P71" s="1175"/>
      <c r="Q71" s="1175"/>
      <c r="R71" s="1175"/>
      <c r="S71" s="1175"/>
    </row>
    <row r="72" spans="1:34" s="2" customFormat="1" ht="16.5" thickTop="1" thickBot="1">
      <c r="A72" s="2331" t="s">
        <v>762</v>
      </c>
      <c r="B72" s="2332"/>
      <c r="C72" s="298"/>
      <c r="D72" s="12"/>
      <c r="E72" s="12"/>
      <c r="F72" s="12"/>
      <c r="G72" s="26"/>
      <c r="H72" s="24"/>
      <c r="I72" s="20"/>
      <c r="J72" s="20"/>
      <c r="K72" s="20"/>
      <c r="L72" s="20"/>
      <c r="M72" s="20"/>
      <c r="N72" s="20"/>
      <c r="O72" s="20"/>
      <c r="P72" s="20"/>
      <c r="Q72" s="20"/>
      <c r="R72" s="20"/>
      <c r="S72" s="20"/>
      <c r="T72"/>
      <c r="U72"/>
      <c r="V72"/>
      <c r="W72"/>
      <c r="X72"/>
      <c r="Y72"/>
      <c r="Z72"/>
      <c r="AA72"/>
      <c r="AB72"/>
      <c r="AC72"/>
      <c r="AD72"/>
      <c r="AE72"/>
      <c r="AF72"/>
      <c r="AG72"/>
      <c r="AH72"/>
    </row>
    <row r="73" spans="1:34" ht="15.75" thickTop="1">
      <c r="A73" s="1224"/>
      <c r="B73" s="1225"/>
      <c r="C73" s="1276"/>
      <c r="D73" s="1220"/>
      <c r="E73" s="1220"/>
      <c r="F73" s="1220"/>
      <c r="G73" s="1221"/>
      <c r="H73" s="1222"/>
      <c r="I73" s="1223"/>
      <c r="J73" s="1223"/>
      <c r="K73" s="1223"/>
      <c r="L73" s="1223"/>
      <c r="M73" s="1223"/>
      <c r="N73" s="1223"/>
      <c r="O73" s="1223"/>
      <c r="P73" s="1223"/>
      <c r="Q73" s="1223"/>
      <c r="R73" s="1223"/>
      <c r="S73" s="1223"/>
      <c r="T73" s="2"/>
      <c r="U73" s="2"/>
      <c r="V73" s="2"/>
      <c r="W73" s="2"/>
      <c r="X73" s="2"/>
      <c r="Y73" s="2"/>
      <c r="Z73" s="2"/>
      <c r="AA73" s="2"/>
      <c r="AB73" s="2"/>
      <c r="AC73" s="2"/>
      <c r="AD73" s="2"/>
      <c r="AE73" s="2"/>
      <c r="AF73" s="2"/>
      <c r="AG73" s="2"/>
      <c r="AH73" s="2"/>
    </row>
    <row r="74" spans="1:34">
      <c r="A74" s="1126"/>
      <c r="B74" s="1174"/>
      <c r="C74" s="415"/>
      <c r="D74" s="422"/>
      <c r="E74" s="422"/>
      <c r="F74" s="422"/>
      <c r="G74" s="831"/>
      <c r="H74" s="442"/>
      <c r="I74" s="1178"/>
      <c r="J74" s="1178"/>
      <c r="K74" s="1178"/>
      <c r="L74" s="1178"/>
      <c r="M74" s="1178"/>
      <c r="N74" s="1178"/>
      <c r="O74" s="1178"/>
      <c r="P74" s="1178"/>
      <c r="Q74" s="1178"/>
      <c r="R74" s="1178"/>
      <c r="S74" s="1178"/>
      <c r="T74" s="2"/>
      <c r="U74" s="2"/>
      <c r="V74" s="2"/>
      <c r="W74" s="2"/>
      <c r="X74" s="2"/>
      <c r="Y74" s="2"/>
      <c r="Z74" s="2"/>
      <c r="AA74" s="2"/>
      <c r="AB74" s="2"/>
      <c r="AC74" s="2"/>
      <c r="AD74" s="2"/>
      <c r="AE74" s="2"/>
      <c r="AF74" s="2"/>
      <c r="AG74" s="2"/>
      <c r="AH74" s="2"/>
    </row>
    <row r="75" spans="1:34" ht="15.75" thickBot="1">
      <c r="A75" s="1126"/>
      <c r="B75" s="1174"/>
      <c r="C75" s="415"/>
      <c r="D75" s="422"/>
      <c r="E75" s="422"/>
      <c r="F75" s="422"/>
      <c r="G75" s="831"/>
      <c r="H75" s="442"/>
      <c r="I75" s="1178"/>
      <c r="J75" s="1178"/>
      <c r="K75" s="1178"/>
      <c r="L75" s="1178"/>
      <c r="M75" s="1178"/>
      <c r="N75" s="1178"/>
      <c r="O75" s="1178"/>
      <c r="P75" s="1178"/>
      <c r="Q75" s="1178"/>
      <c r="R75" s="1178"/>
      <c r="S75" s="1178"/>
      <c r="T75" s="2"/>
      <c r="U75" s="2"/>
      <c r="V75" s="2"/>
      <c r="W75" s="2"/>
      <c r="X75" s="2"/>
      <c r="Y75" s="2"/>
      <c r="Z75" s="2"/>
      <c r="AA75" s="2"/>
      <c r="AB75" s="2"/>
      <c r="AC75" s="2"/>
      <c r="AD75" s="2"/>
      <c r="AE75" s="2"/>
      <c r="AF75" s="2"/>
      <c r="AG75" s="2"/>
      <c r="AH75" s="2"/>
    </row>
    <row r="76" spans="1:34" ht="16.5" thickTop="1" thickBot="1">
      <c r="A76" s="2331" t="s">
        <v>763</v>
      </c>
      <c r="B76" s="2332"/>
      <c r="C76" s="298"/>
      <c r="D76" s="12"/>
      <c r="E76" s="12"/>
      <c r="F76" s="12"/>
      <c r="G76" s="26"/>
      <c r="H76" s="24"/>
      <c r="I76" s="20"/>
      <c r="J76" s="20"/>
      <c r="K76" s="20"/>
      <c r="L76" s="20"/>
      <c r="M76" s="20"/>
      <c r="N76" s="20"/>
      <c r="O76" s="20"/>
      <c r="P76" s="20"/>
      <c r="Q76" s="20"/>
      <c r="R76" s="20"/>
      <c r="S76" s="20"/>
    </row>
    <row r="77" spans="1:34" ht="15.75" thickTop="1">
      <c r="A77" s="1124"/>
      <c r="B77" s="1105" t="s">
        <v>764</v>
      </c>
      <c r="C77" s="415"/>
      <c r="D77" s="422"/>
      <c r="E77" s="422"/>
      <c r="F77" s="422"/>
      <c r="G77" s="831"/>
      <c r="H77" s="442"/>
      <c r="I77" s="1178"/>
      <c r="J77" s="1178"/>
      <c r="K77" s="1178"/>
      <c r="L77" s="1178"/>
      <c r="M77" s="1178"/>
      <c r="N77" s="1178"/>
      <c r="O77" s="1178"/>
      <c r="P77" s="1178"/>
      <c r="Q77" s="1178"/>
      <c r="R77" s="1178"/>
      <c r="S77" s="1178"/>
    </row>
    <row r="78" spans="1:34">
      <c r="A78" s="1124"/>
      <c r="B78" s="1105" t="s">
        <v>765</v>
      </c>
      <c r="C78" s="415"/>
      <c r="D78" s="422"/>
      <c r="E78" s="422"/>
      <c r="F78" s="422"/>
      <c r="G78" s="831"/>
      <c r="H78" s="442"/>
      <c r="I78" s="1178"/>
      <c r="J78" s="1178"/>
      <c r="K78" s="1178"/>
      <c r="L78" s="1178"/>
      <c r="M78" s="1178"/>
      <c r="N78" s="1178"/>
      <c r="O78" s="1178"/>
      <c r="P78" s="1178"/>
      <c r="Q78" s="1178"/>
      <c r="R78" s="1178"/>
      <c r="S78" s="1178"/>
    </row>
    <row r="79" spans="1:34">
      <c r="A79" s="1124"/>
      <c r="B79" s="1105" t="s">
        <v>766</v>
      </c>
      <c r="C79" s="415"/>
      <c r="D79" s="422"/>
      <c r="E79" s="422"/>
      <c r="F79" s="422"/>
      <c r="G79" s="831"/>
      <c r="H79" s="442"/>
      <c r="I79" s="1178"/>
      <c r="J79" s="1178"/>
      <c r="K79" s="1178"/>
      <c r="L79" s="1178"/>
      <c r="M79" s="1178"/>
      <c r="N79" s="1178"/>
      <c r="O79" s="1178"/>
      <c r="P79" s="1178"/>
      <c r="Q79" s="1178"/>
      <c r="R79" s="1178"/>
      <c r="S79" s="1178"/>
    </row>
    <row r="80" spans="1:34">
      <c r="A80" s="1124"/>
      <c r="B80" s="1105" t="s">
        <v>767</v>
      </c>
      <c r="C80" s="415"/>
      <c r="D80" s="422"/>
      <c r="E80" s="422"/>
      <c r="F80" s="422"/>
      <c r="G80" s="831"/>
      <c r="H80" s="442"/>
      <c r="I80" s="1178"/>
      <c r="J80" s="1178"/>
      <c r="K80" s="1178"/>
      <c r="L80" s="1178"/>
      <c r="M80" s="1178"/>
      <c r="N80" s="1178"/>
      <c r="O80" s="1178"/>
      <c r="P80" s="1178"/>
      <c r="Q80" s="1178"/>
      <c r="R80" s="1178"/>
      <c r="S80" s="1178"/>
    </row>
    <row r="81" spans="1:19" ht="15.75" thickBot="1">
      <c r="A81" s="443"/>
      <c r="B81" s="421"/>
      <c r="C81" s="23"/>
      <c r="D81" s="86"/>
      <c r="E81" s="86"/>
      <c r="F81" s="86"/>
      <c r="G81" s="27"/>
      <c r="H81" s="25"/>
      <c r="I81" s="444"/>
      <c r="J81" s="444"/>
      <c r="K81" s="444"/>
      <c r="L81" s="444"/>
      <c r="M81" s="444"/>
      <c r="N81" s="444"/>
      <c r="O81" s="444"/>
      <c r="P81" s="444"/>
      <c r="Q81" s="444"/>
      <c r="R81" s="444"/>
      <c r="S81" s="444"/>
    </row>
    <row r="82" spans="1:19" ht="16.5" thickTop="1" thickBot="1">
      <c r="A82" s="72" t="s">
        <v>768</v>
      </c>
      <c r="B82" s="73"/>
      <c r="C82" s="298"/>
      <c r="D82" s="12"/>
      <c r="E82" s="12"/>
      <c r="F82" s="12"/>
      <c r="G82" s="26"/>
      <c r="H82" s="24"/>
      <c r="I82" s="20"/>
      <c r="J82" s="20"/>
      <c r="K82" s="20"/>
      <c r="L82" s="20"/>
      <c r="M82" s="20"/>
      <c r="N82" s="20"/>
      <c r="O82" s="20"/>
      <c r="P82" s="20"/>
      <c r="Q82" s="20"/>
      <c r="R82" s="20"/>
      <c r="S82" s="20"/>
    </row>
    <row r="83" spans="1:19" ht="15.75" thickTop="1">
      <c r="A83" s="1219"/>
      <c r="B83" s="1226" t="s">
        <v>769</v>
      </c>
      <c r="C83" s="1276"/>
      <c r="D83" s="1220"/>
      <c r="E83" s="1220"/>
      <c r="F83" s="1220"/>
      <c r="G83" s="1221"/>
      <c r="H83" s="1227"/>
      <c r="I83" s="1228"/>
      <c r="J83" s="1228"/>
      <c r="K83" s="1228"/>
      <c r="L83" s="1228"/>
      <c r="M83" s="1228"/>
      <c r="N83" s="1228"/>
      <c r="O83" s="1228"/>
      <c r="P83" s="1228"/>
      <c r="Q83" s="1228"/>
      <c r="R83" s="1228"/>
      <c r="S83" s="1228"/>
    </row>
    <row r="84" spans="1:19">
      <c r="A84" s="1124"/>
      <c r="B84" s="1105" t="s">
        <v>770</v>
      </c>
      <c r="C84" s="415"/>
      <c r="D84" s="422"/>
      <c r="E84" s="422"/>
      <c r="F84" s="422"/>
      <c r="G84" s="831"/>
      <c r="H84" s="445"/>
      <c r="I84" s="1182"/>
      <c r="J84" s="1182"/>
      <c r="K84" s="1182"/>
      <c r="L84" s="1182"/>
      <c r="M84" s="1182"/>
      <c r="N84" s="1182"/>
      <c r="O84" s="1182"/>
      <c r="P84" s="1182"/>
      <c r="Q84" s="1182"/>
      <c r="R84" s="1182"/>
      <c r="S84" s="1182"/>
    </row>
    <row r="85" spans="1:19" ht="15.75" thickBot="1">
      <c r="A85" s="1183"/>
      <c r="B85" s="1184" t="s">
        <v>771</v>
      </c>
      <c r="C85" s="1185"/>
      <c r="D85" s="1186"/>
      <c r="E85" s="1186"/>
      <c r="F85" s="1186"/>
      <c r="G85" s="1187"/>
      <c r="H85" s="1188"/>
      <c r="I85" s="1189"/>
      <c r="J85" s="1189"/>
      <c r="K85" s="1189"/>
      <c r="L85" s="1189"/>
      <c r="M85" s="1189"/>
      <c r="N85" s="1189"/>
      <c r="O85" s="1189"/>
      <c r="P85" s="1189"/>
      <c r="Q85" s="1189"/>
      <c r="R85" s="1189"/>
      <c r="S85" s="1189"/>
    </row>
    <row r="86" spans="1:19" ht="16.5" thickTop="1" thickBot="1">
      <c r="F86" s="2"/>
      <c r="G86" s="2"/>
      <c r="H86" s="2"/>
      <c r="I86" s="2"/>
      <c r="J86" s="2"/>
      <c r="K86" s="2"/>
      <c r="L86" s="2"/>
      <c r="M86" s="2"/>
      <c r="N86" s="2"/>
      <c r="O86" s="2"/>
      <c r="P86" s="2"/>
      <c r="Q86" s="2"/>
      <c r="R86" s="2"/>
      <c r="S86" s="2"/>
    </row>
    <row r="87" spans="1:19" ht="16.5" thickTop="1" thickBot="1">
      <c r="A87" s="37" t="s">
        <v>772</v>
      </c>
      <c r="B87" s="39"/>
      <c r="F87" s="2"/>
      <c r="G87" s="2"/>
      <c r="H87" s="2"/>
      <c r="I87" s="2"/>
      <c r="J87" s="2"/>
      <c r="K87" s="2"/>
      <c r="L87" s="2"/>
      <c r="M87" s="2"/>
      <c r="N87" s="2"/>
      <c r="O87" s="2"/>
      <c r="P87" s="2"/>
      <c r="Q87" s="2"/>
      <c r="R87" s="2"/>
      <c r="S87" s="2"/>
    </row>
    <row r="88" spans="1:19" ht="15.75" thickTop="1">
      <c r="A88" s="38" t="s">
        <v>693</v>
      </c>
      <c r="B88" s="1190"/>
      <c r="F88" s="2"/>
      <c r="G88" s="2"/>
      <c r="H88" s="2"/>
      <c r="I88" s="2"/>
      <c r="J88" s="2"/>
      <c r="K88" s="2"/>
      <c r="L88" s="2"/>
      <c r="M88" s="2"/>
      <c r="N88" s="2"/>
      <c r="O88" s="2"/>
      <c r="P88" s="2"/>
      <c r="Q88" s="2"/>
      <c r="R88" s="2"/>
      <c r="S88" s="2"/>
    </row>
    <row r="89" spans="1:19">
      <c r="A89" s="1142" t="s">
        <v>702</v>
      </c>
      <c r="B89" s="1190"/>
      <c r="F89" s="2"/>
      <c r="G89" s="2"/>
      <c r="H89" s="2"/>
      <c r="I89" s="2"/>
      <c r="J89" s="2"/>
      <c r="K89" s="2"/>
      <c r="L89" s="2"/>
      <c r="M89" s="2"/>
      <c r="N89" s="2"/>
      <c r="O89" s="2"/>
      <c r="P89" s="2"/>
      <c r="Q89" s="2"/>
      <c r="R89" s="2"/>
      <c r="S89" s="2"/>
    </row>
    <row r="90" spans="1:19">
      <c r="A90" s="1191" t="s">
        <v>708</v>
      </c>
      <c r="B90" s="1192"/>
      <c r="F90" s="2"/>
      <c r="G90" s="2"/>
      <c r="H90" s="2"/>
      <c r="I90" s="2"/>
      <c r="J90" s="2"/>
      <c r="K90" s="2"/>
      <c r="L90" s="2"/>
      <c r="M90" s="2"/>
      <c r="N90" s="2"/>
      <c r="O90" s="2"/>
      <c r="P90" s="2"/>
      <c r="Q90" s="2"/>
      <c r="R90" s="2"/>
      <c r="S90" s="2"/>
    </row>
    <row r="91" spans="1:19">
      <c r="A91" s="1191" t="s">
        <v>713</v>
      </c>
      <c r="B91" s="1193"/>
      <c r="F91" s="2"/>
      <c r="G91" s="2"/>
      <c r="H91" s="2"/>
      <c r="I91" s="2"/>
      <c r="J91" s="2"/>
      <c r="K91" s="2"/>
      <c r="L91" s="2"/>
      <c r="M91" s="2"/>
      <c r="N91" s="2"/>
      <c r="O91" s="2"/>
      <c r="P91" s="2"/>
      <c r="Q91" s="2"/>
      <c r="R91" s="2"/>
      <c r="S91" s="2"/>
    </row>
    <row r="92" spans="1:19" ht="15.75" thickBot="1">
      <c r="A92" s="1194" t="s">
        <v>69</v>
      </c>
      <c r="B92" s="1195"/>
      <c r="F92" s="2"/>
      <c r="G92" s="2"/>
      <c r="H92" s="2"/>
      <c r="I92" s="2"/>
      <c r="J92" s="2"/>
      <c r="K92" s="2"/>
      <c r="L92" s="2"/>
      <c r="M92" s="2"/>
      <c r="N92" s="2"/>
      <c r="O92" s="2"/>
      <c r="P92" s="2"/>
      <c r="Q92" s="2"/>
      <c r="R92" s="2"/>
      <c r="S92" s="2"/>
    </row>
    <row r="93" spans="1:19" ht="15.75" thickTop="1"/>
  </sheetData>
  <mergeCells count="41">
    <mergeCell ref="A60:B60"/>
    <mergeCell ref="A64:B64"/>
    <mergeCell ref="A68:B68"/>
    <mergeCell ref="A72:B72"/>
    <mergeCell ref="A76:B76"/>
    <mergeCell ref="H5:I5"/>
    <mergeCell ref="J5:K5"/>
    <mergeCell ref="L5:M5"/>
    <mergeCell ref="N5:O5"/>
    <mergeCell ref="H4:I4"/>
    <mergeCell ref="J4:K4"/>
    <mergeCell ref="L4:M4"/>
    <mergeCell ref="N4:O4"/>
    <mergeCell ref="H7:I7"/>
    <mergeCell ref="J7:K7"/>
    <mergeCell ref="L7:M7"/>
    <mergeCell ref="N7:O7"/>
    <mergeCell ref="H6:I6"/>
    <mergeCell ref="J6:K6"/>
    <mergeCell ref="L6:M6"/>
    <mergeCell ref="N6:O6"/>
    <mergeCell ref="H9:I9"/>
    <mergeCell ref="J9:K9"/>
    <mergeCell ref="L9:M9"/>
    <mergeCell ref="N9:O9"/>
    <mergeCell ref="H8:I8"/>
    <mergeCell ref="J8:K8"/>
    <mergeCell ref="L8:M8"/>
    <mergeCell ref="N8:O8"/>
    <mergeCell ref="R8:S8"/>
    <mergeCell ref="P9:Q9"/>
    <mergeCell ref="R9:S9"/>
    <mergeCell ref="P4:Q4"/>
    <mergeCell ref="R4:S4"/>
    <mergeCell ref="P5:Q5"/>
    <mergeCell ref="R5:S5"/>
    <mergeCell ref="P6:Q6"/>
    <mergeCell ref="R6:S6"/>
    <mergeCell ref="P7:Q7"/>
    <mergeCell ref="R7:S7"/>
    <mergeCell ref="P8:Q8"/>
  </mergeCells>
  <conditionalFormatting sqref="H11:H19 J11:J19 L11:L19 N11:N19 P11:P19 R11:R19">
    <cfRule type="cellIs" dxfId="599" priority="13" operator="equal">
      <formula>"X"</formula>
    </cfRule>
    <cfRule type="cellIs" dxfId="598" priority="14" operator="equal">
      <formula>"I"</formula>
    </cfRule>
  </conditionalFormatting>
  <conditionalFormatting sqref="H21:H51">
    <cfRule type="cellIs" dxfId="597" priority="1" operator="equal">
      <formula>"X"</formula>
    </cfRule>
    <cfRule type="cellIs" dxfId="596" priority="2" operator="equal">
      <formula>"I"</formula>
    </cfRule>
  </conditionalFormatting>
  <conditionalFormatting sqref="J21:J51">
    <cfRule type="cellIs" dxfId="595" priority="3" operator="equal">
      <formula>"X"</formula>
    </cfRule>
    <cfRule type="cellIs" dxfId="594" priority="4" operator="equal">
      <formula>"I"</formula>
    </cfRule>
  </conditionalFormatting>
  <conditionalFormatting sqref="L21:L51">
    <cfRule type="cellIs" dxfId="593" priority="5" operator="equal">
      <formula>"X"</formula>
    </cfRule>
    <cfRule type="cellIs" dxfId="592" priority="6" operator="equal">
      <formula>"I"</formula>
    </cfRule>
  </conditionalFormatting>
  <conditionalFormatting sqref="N21:N51">
    <cfRule type="cellIs" dxfId="591" priority="7" operator="equal">
      <formula>"X"</formula>
    </cfRule>
    <cfRule type="cellIs" dxfId="590" priority="8" operator="equal">
      <formula>"I"</formula>
    </cfRule>
  </conditionalFormatting>
  <conditionalFormatting sqref="P21:P51">
    <cfRule type="cellIs" dxfId="589" priority="9" operator="equal">
      <formula>"X"</formula>
    </cfRule>
    <cfRule type="cellIs" dxfId="588" priority="10" operator="equal">
      <formula>"I"</formula>
    </cfRule>
  </conditionalFormatting>
  <conditionalFormatting sqref="R21:R51">
    <cfRule type="cellIs" dxfId="587" priority="11" operator="equal">
      <formula>"X"</formula>
    </cfRule>
    <cfRule type="cellIs" dxfId="586" priority="12" operator="equal">
      <formula>"I"</formula>
    </cfRule>
  </conditionalFormatting>
  <hyperlinks>
    <hyperlink ref="B4" location="'Cost Summary'!A1" display="BACK TO SUMMARY SHEET" xr:uid="{1988C98C-218E-4A3B-AD39-A8E9F402B7B7}"/>
  </hyperlinks>
  <pageMargins left="0.7" right="0.7" top="0.75" bottom="0.75" header="0.3" footer="0.3"/>
  <pageSetup orientation="portrait" r:id="rId1"/>
  <ignoredErrors>
    <ignoredError sqref="B7" twoDigitTextYear="1"/>
  </ignoredError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AD71-5441-4CE0-9CB9-A840E86F56F5}">
  <sheetPr>
    <tabColor rgb="FFFFC000"/>
  </sheetPr>
  <dimension ref="A1:AO103"/>
  <sheetViews>
    <sheetView zoomScale="90" zoomScaleNormal="90" workbookViewId="0">
      <pane xSplit="2" ySplit="10" topLeftCell="C78" activePane="bottomRight" state="frozen"/>
      <selection pane="topRight" activeCell="C1" sqref="C1"/>
      <selection pane="bottomLeft" activeCell="A10" sqref="A10"/>
      <selection pane="bottomRight" activeCell="L3" sqref="L3:M3"/>
    </sheetView>
  </sheetViews>
  <sheetFormatPr defaultRowHeight="15"/>
  <cols>
    <col min="1" max="1" width="11" customWidth="1"/>
    <col min="2" max="2" width="70.7109375" style="1" customWidth="1"/>
    <col min="3" max="3" width="12.7109375" style="2" customWidth="1"/>
    <col min="4" max="4" width="8.7109375" style="573" customWidth="1"/>
    <col min="5" max="5" width="7.7109375" style="2" customWidth="1"/>
    <col min="6" max="6" width="12.7109375" style="281" customWidth="1"/>
    <col min="7" max="7" width="15.7109375" style="270" customWidth="1"/>
    <col min="8" max="8" width="8.7109375" style="270" customWidth="1"/>
    <col min="9" max="9" width="15.7109375" style="270" customWidth="1"/>
    <col min="10" max="10" width="7.570312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hidden="1" customWidth="1"/>
    <col min="17" max="17" width="17.7109375" style="270" hidden="1" customWidth="1"/>
    <col min="18" max="18" width="7.7109375" style="270" customWidth="1"/>
    <col min="19" max="19" width="15.7109375" style="270" customWidth="1"/>
  </cols>
  <sheetData>
    <row r="1" spans="1:24">
      <c r="D1" s="562"/>
      <c r="E1" s="68"/>
      <c r="F1" s="275"/>
      <c r="G1" s="269" t="s">
        <v>679</v>
      </c>
      <c r="X1" s="261"/>
    </row>
    <row r="2" spans="1:24">
      <c r="D2" s="562"/>
      <c r="E2" s="68"/>
      <c r="F2" s="276" t="s">
        <v>680</v>
      </c>
      <c r="G2" s="269" t="s">
        <v>681</v>
      </c>
      <c r="X2" s="261"/>
    </row>
    <row r="3" spans="1:24" ht="15.75" customHeight="1" thickBot="1">
      <c r="D3" s="562"/>
      <c r="E3" s="68"/>
      <c r="F3" s="277" t="s">
        <v>682</v>
      </c>
      <c r="G3" s="269" t="s">
        <v>683</v>
      </c>
      <c r="H3" s="2345"/>
      <c r="I3" s="2345"/>
      <c r="L3" s="2345"/>
      <c r="M3" s="2345"/>
      <c r="P3" s="2345" t="s">
        <v>995</v>
      </c>
      <c r="Q3" s="2345"/>
      <c r="X3" s="261"/>
    </row>
    <row r="4" spans="1:24" ht="15.75" thickBot="1">
      <c r="B4" s="262" t="s">
        <v>684</v>
      </c>
      <c r="D4" s="562"/>
      <c r="E4" s="68"/>
      <c r="F4" s="278"/>
      <c r="G4" s="270" t="s">
        <v>685</v>
      </c>
      <c r="H4" s="2323" t="s">
        <v>686</v>
      </c>
      <c r="I4" s="2324"/>
      <c r="J4" s="2319" t="s">
        <v>687</v>
      </c>
      <c r="K4" s="2320"/>
      <c r="L4" s="2319" t="s">
        <v>687</v>
      </c>
      <c r="M4" s="2320"/>
      <c r="N4" s="2319" t="s">
        <v>688</v>
      </c>
      <c r="O4" s="2320"/>
      <c r="P4" s="2319" t="s">
        <v>688</v>
      </c>
      <c r="Q4" s="2320"/>
      <c r="R4" s="2319" t="s">
        <v>690</v>
      </c>
      <c r="S4" s="2320"/>
      <c r="X4" s="261"/>
    </row>
    <row r="5" spans="1:24" ht="15.75" customHeight="1" thickTop="1">
      <c r="A5" s="292" t="s">
        <v>692</v>
      </c>
      <c r="B5" s="299" t="str">
        <f>'Area Calculations'!B4</f>
        <v>ERAU Residential Hall &amp; Garage Building</v>
      </c>
      <c r="C5" s="294"/>
      <c r="D5" s="563"/>
      <c r="E5" s="264"/>
      <c r="F5" s="279"/>
      <c r="G5" s="271" t="s">
        <v>693</v>
      </c>
      <c r="H5" s="2333" t="s">
        <v>996</v>
      </c>
      <c r="I5" s="2334"/>
      <c r="J5" s="2333" t="s">
        <v>997</v>
      </c>
      <c r="K5" s="2334"/>
      <c r="L5" s="2333" t="s">
        <v>998</v>
      </c>
      <c r="M5" s="2334"/>
      <c r="N5" s="2333" t="s">
        <v>999</v>
      </c>
      <c r="O5" s="2334"/>
      <c r="P5" s="2333" t="s">
        <v>1000</v>
      </c>
      <c r="Q5" s="2334"/>
      <c r="R5" s="2333"/>
      <c r="S5" s="2334"/>
      <c r="X5" s="261"/>
    </row>
    <row r="6" spans="1:24">
      <c r="A6" s="1082" t="s">
        <v>700</v>
      </c>
      <c r="B6" s="1196" t="s">
        <v>1001</v>
      </c>
      <c r="C6" s="415"/>
      <c r="D6" s="564"/>
      <c r="E6" s="417"/>
      <c r="F6" s="418"/>
      <c r="G6" s="419" t="s">
        <v>702</v>
      </c>
      <c r="H6" s="2313" t="s">
        <v>1002</v>
      </c>
      <c r="I6" s="2314"/>
      <c r="J6" s="2313" t="s">
        <v>1003</v>
      </c>
      <c r="K6" s="2314"/>
      <c r="L6" s="2313" t="s">
        <v>1004</v>
      </c>
      <c r="M6" s="2314"/>
      <c r="N6" s="2313" t="s">
        <v>1005</v>
      </c>
      <c r="O6" s="2314"/>
      <c r="P6" s="2313" t="s">
        <v>1006</v>
      </c>
      <c r="Q6" s="2314"/>
      <c r="R6" s="2313"/>
      <c r="S6" s="2314"/>
      <c r="X6" s="261"/>
    </row>
    <row r="7" spans="1:24">
      <c r="A7" s="1082" t="s">
        <v>706</v>
      </c>
      <c r="B7" s="1197" t="s">
        <v>1007</v>
      </c>
      <c r="C7" s="415"/>
      <c r="D7" s="564"/>
      <c r="E7" s="417"/>
      <c r="F7" s="418"/>
      <c r="G7" s="829" t="s">
        <v>708</v>
      </c>
      <c r="H7" s="2313" t="s">
        <v>1008</v>
      </c>
      <c r="I7" s="2314"/>
      <c r="J7" s="2313" t="s">
        <v>1009</v>
      </c>
      <c r="K7" s="2314"/>
      <c r="L7" s="2313" t="s">
        <v>1010</v>
      </c>
      <c r="M7" s="2314"/>
      <c r="N7" s="2313" t="s">
        <v>1011</v>
      </c>
      <c r="O7" s="2314"/>
      <c r="P7" s="2313" t="s">
        <v>1012</v>
      </c>
      <c r="Q7" s="2314"/>
      <c r="R7" s="2313"/>
      <c r="S7" s="2314"/>
      <c r="X7" s="261"/>
    </row>
    <row r="8" spans="1:24">
      <c r="A8" s="1082" t="s">
        <v>712</v>
      </c>
      <c r="B8" s="1198"/>
      <c r="C8" s="415"/>
      <c r="D8" s="564"/>
      <c r="E8" s="417"/>
      <c r="F8" s="418"/>
      <c r="G8" s="829" t="s">
        <v>713</v>
      </c>
      <c r="H8" s="2327" t="s">
        <v>1013</v>
      </c>
      <c r="I8" s="2346"/>
      <c r="J8" s="2343" t="s">
        <v>1014</v>
      </c>
      <c r="K8" s="2344"/>
      <c r="L8" s="2343" t="s">
        <v>1015</v>
      </c>
      <c r="M8" s="2344"/>
      <c r="N8" s="2343" t="s">
        <v>1016</v>
      </c>
      <c r="O8" s="2344"/>
      <c r="P8" s="2343" t="s">
        <v>1017</v>
      </c>
      <c r="Q8" s="2344"/>
      <c r="R8" s="2315"/>
      <c r="S8" s="2316"/>
      <c r="X8" s="261"/>
    </row>
    <row r="9" spans="1:24" ht="15.75" thickBot="1">
      <c r="A9" s="420"/>
      <c r="B9" s="421"/>
      <c r="C9" s="23"/>
      <c r="D9" s="565"/>
      <c r="E9" s="266"/>
      <c r="F9" s="283"/>
      <c r="G9" s="284" t="s">
        <v>717</v>
      </c>
      <c r="H9" s="2330">
        <f>I66</f>
        <v>349703.76500000007</v>
      </c>
      <c r="I9" s="2330"/>
      <c r="J9" s="2317">
        <f>K66</f>
        <v>344087.55</v>
      </c>
      <c r="K9" s="2318"/>
      <c r="L9" s="2317">
        <f>M66</f>
        <v>416407</v>
      </c>
      <c r="M9" s="2318"/>
      <c r="N9" s="2317">
        <f>O66</f>
        <v>888072</v>
      </c>
      <c r="O9" s="2318"/>
      <c r="P9" s="2317">
        <f>Q66</f>
        <v>39837</v>
      </c>
      <c r="Q9" s="2318"/>
      <c r="R9" s="2317">
        <f>S66</f>
        <v>0</v>
      </c>
      <c r="S9" s="2318"/>
      <c r="X9" s="261"/>
    </row>
    <row r="10" spans="1:24" s="267" customFormat="1" ht="32.1" customHeight="1" thickBot="1">
      <c r="A10" s="293"/>
      <c r="B10" s="300"/>
      <c r="C10" s="295" t="s">
        <v>718</v>
      </c>
      <c r="D10" s="566"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232"/>
      <c r="B11" s="1283" t="s">
        <v>725</v>
      </c>
      <c r="C11" s="1279"/>
      <c r="D11" s="1290"/>
      <c r="E11" s="1220"/>
      <c r="F11" s="1284"/>
      <c r="G11" s="1285"/>
      <c r="H11" s="1286"/>
      <c r="I11" s="1288"/>
      <c r="J11" s="1286"/>
      <c r="K11" s="285"/>
      <c r="L11" s="1264"/>
      <c r="M11" s="1287"/>
      <c r="N11" s="1286"/>
      <c r="O11" s="1288"/>
      <c r="P11" s="1286"/>
      <c r="Q11" s="1288"/>
      <c r="R11" s="1286"/>
      <c r="S11" s="1288"/>
    </row>
    <row r="12" spans="1:24">
      <c r="A12" s="1232"/>
      <c r="B12" s="1263" t="s">
        <v>726</v>
      </c>
      <c r="C12" s="446"/>
      <c r="D12" s="567"/>
      <c r="E12" s="422"/>
      <c r="F12" s="418"/>
      <c r="G12" s="423"/>
      <c r="H12" s="1264" t="s">
        <v>727</v>
      </c>
      <c r="I12" s="1288"/>
      <c r="J12" s="1264" t="s">
        <v>727</v>
      </c>
      <c r="K12" s="1288"/>
      <c r="L12" s="1264" t="s">
        <v>727</v>
      </c>
      <c r="M12" s="1287"/>
      <c r="N12" s="1264" t="s">
        <v>727</v>
      </c>
      <c r="O12" s="1288"/>
      <c r="P12" s="1264" t="s">
        <v>727</v>
      </c>
      <c r="Q12" s="1288"/>
      <c r="R12" s="1264"/>
      <c r="S12" s="1288"/>
    </row>
    <row r="13" spans="1:24">
      <c r="A13" s="1097"/>
      <c r="B13" s="1263" t="s">
        <v>728</v>
      </c>
      <c r="C13" s="446"/>
      <c r="D13" s="567"/>
      <c r="E13" s="422"/>
      <c r="F13" s="418"/>
      <c r="G13" s="423"/>
      <c r="H13" s="1264" t="s">
        <v>727</v>
      </c>
      <c r="I13" s="1288"/>
      <c r="J13" s="1264" t="s">
        <v>727</v>
      </c>
      <c r="K13" s="1288"/>
      <c r="L13" s="1264" t="s">
        <v>1018</v>
      </c>
      <c r="M13" s="1287"/>
      <c r="N13" s="1264" t="s">
        <v>727</v>
      </c>
      <c r="O13" s="1288"/>
      <c r="P13" s="1264" t="s">
        <v>727</v>
      </c>
      <c r="Q13" s="1288"/>
      <c r="R13" s="1264"/>
      <c r="S13" s="1288"/>
    </row>
    <row r="14" spans="1:24">
      <c r="A14" s="1232"/>
      <c r="B14" s="1265" t="s">
        <v>729</v>
      </c>
      <c r="C14" s="446"/>
      <c r="D14" s="567"/>
      <c r="E14" s="422"/>
      <c r="F14" s="418"/>
      <c r="G14" s="423"/>
      <c r="H14" s="1264" t="s">
        <v>730</v>
      </c>
      <c r="I14" s="1288" t="s">
        <v>1019</v>
      </c>
      <c r="J14" s="1264" t="s">
        <v>730</v>
      </c>
      <c r="K14" s="1288"/>
      <c r="L14" s="1264" t="s">
        <v>730</v>
      </c>
      <c r="M14" s="1287"/>
      <c r="N14" s="1264" t="s">
        <v>730</v>
      </c>
      <c r="O14" s="1288"/>
      <c r="P14" s="1264" t="s">
        <v>730</v>
      </c>
      <c r="Q14" s="1288"/>
      <c r="R14" s="1264"/>
      <c r="S14" s="1288"/>
    </row>
    <row r="15" spans="1:24">
      <c r="A15" s="1097"/>
      <c r="B15" s="1265" t="s">
        <v>731</v>
      </c>
      <c r="C15" s="446"/>
      <c r="D15" s="567"/>
      <c r="E15" s="422"/>
      <c r="F15" s="418"/>
      <c r="G15" s="423"/>
      <c r="H15" s="1264" t="s">
        <v>727</v>
      </c>
      <c r="I15" s="1287"/>
      <c r="J15" s="1264" t="s">
        <v>727</v>
      </c>
      <c r="K15" s="1287"/>
      <c r="L15" s="1264" t="s">
        <v>727</v>
      </c>
      <c r="M15" s="1287"/>
      <c r="N15" s="1264" t="s">
        <v>727</v>
      </c>
      <c r="O15" s="1287"/>
      <c r="P15" s="1264" t="s">
        <v>727</v>
      </c>
      <c r="Q15" s="1287"/>
      <c r="R15" s="1264"/>
      <c r="S15" s="1287"/>
    </row>
    <row r="16" spans="1:24">
      <c r="A16" s="1232"/>
      <c r="B16" s="1265" t="s">
        <v>732</v>
      </c>
      <c r="C16" s="446"/>
      <c r="D16" s="567"/>
      <c r="E16" s="422"/>
      <c r="F16" s="418"/>
      <c r="G16" s="423"/>
      <c r="H16" s="1264" t="s">
        <v>727</v>
      </c>
      <c r="I16" s="1288"/>
      <c r="J16" s="1264" t="s">
        <v>727</v>
      </c>
      <c r="K16" s="1288"/>
      <c r="L16" s="1264" t="s">
        <v>727</v>
      </c>
      <c r="M16" s="1287"/>
      <c r="N16" s="1264" t="s">
        <v>727</v>
      </c>
      <c r="O16" s="1288"/>
      <c r="P16" s="1264" t="s">
        <v>727</v>
      </c>
      <c r="Q16" s="1288"/>
      <c r="R16" s="1264"/>
      <c r="S16" s="1288"/>
    </row>
    <row r="17" spans="1:41">
      <c r="A17" s="1097"/>
      <c r="B17" s="1265" t="s">
        <v>733</v>
      </c>
      <c r="C17" s="446"/>
      <c r="D17" s="567"/>
      <c r="E17" s="422"/>
      <c r="F17" s="418"/>
      <c r="G17" s="423"/>
      <c r="H17" s="1264" t="s">
        <v>727</v>
      </c>
      <c r="I17" s="1288"/>
      <c r="J17" s="1264" t="s">
        <v>727</v>
      </c>
      <c r="K17" s="1288"/>
      <c r="L17" s="1264" t="s">
        <v>727</v>
      </c>
      <c r="M17" s="1287"/>
      <c r="N17" s="1264" t="s">
        <v>727</v>
      </c>
      <c r="O17" s="1288"/>
      <c r="P17" s="1264" t="s">
        <v>727</v>
      </c>
      <c r="Q17" s="1288"/>
      <c r="R17" s="1264"/>
      <c r="S17" s="1288"/>
    </row>
    <row r="18" spans="1:41">
      <c r="A18" s="1232"/>
      <c r="B18" s="534" t="s">
        <v>734</v>
      </c>
      <c r="C18" s="446"/>
      <c r="D18" s="567"/>
      <c r="E18" s="422"/>
      <c r="F18" s="418"/>
      <c r="G18" s="423"/>
      <c r="H18" s="1264" t="s">
        <v>730</v>
      </c>
      <c r="I18" s="1288"/>
      <c r="J18" s="1264" t="s">
        <v>727</v>
      </c>
      <c r="K18" s="1288"/>
      <c r="L18" s="1264" t="s">
        <v>730</v>
      </c>
      <c r="M18" s="1287"/>
      <c r="N18" s="1264" t="s">
        <v>730</v>
      </c>
      <c r="O18" s="1288"/>
      <c r="P18" s="1264" t="s">
        <v>727</v>
      </c>
      <c r="Q18" s="1288" t="s">
        <v>917</v>
      </c>
      <c r="R18" s="1264"/>
      <c r="S18" s="1288"/>
    </row>
    <row r="19" spans="1:41">
      <c r="A19" s="1232"/>
      <c r="B19" s="1154" t="s">
        <v>736</v>
      </c>
      <c r="C19" s="446"/>
      <c r="D19" s="567"/>
      <c r="E19" s="422"/>
      <c r="F19" s="418"/>
      <c r="G19" s="423"/>
      <c r="H19" s="1264"/>
      <c r="I19" s="1288"/>
      <c r="J19" s="1264"/>
      <c r="K19" s="1288"/>
      <c r="L19" s="1264"/>
      <c r="M19" s="1287"/>
      <c r="N19" s="1264"/>
      <c r="O19" s="1288"/>
      <c r="P19" s="1264"/>
      <c r="Q19" s="1288"/>
      <c r="R19" s="1264"/>
      <c r="S19" s="1288"/>
    </row>
    <row r="20" spans="1:41">
      <c r="A20" s="1097"/>
      <c r="B20" s="1281" t="s">
        <v>737</v>
      </c>
      <c r="C20" s="447"/>
      <c r="D20" s="568"/>
      <c r="E20" s="425"/>
      <c r="F20" s="426"/>
      <c r="G20" s="427"/>
      <c r="H20" s="1156"/>
      <c r="I20" s="1158"/>
      <c r="J20" s="1156"/>
      <c r="K20" s="1158"/>
      <c r="L20" s="1156"/>
      <c r="M20" s="536"/>
      <c r="N20" s="1156"/>
      <c r="O20" s="1158">
        <f>51300+28800</f>
        <v>80100</v>
      </c>
      <c r="P20" s="1156"/>
      <c r="Q20" s="1158"/>
      <c r="R20" s="1156"/>
      <c r="S20" s="1158"/>
    </row>
    <row r="21" spans="1:41">
      <c r="A21" s="1232"/>
      <c r="B21" s="1104"/>
      <c r="C21" s="70"/>
      <c r="D21" s="569"/>
      <c r="E21" s="86"/>
      <c r="F21" s="280"/>
      <c r="G21" s="274"/>
      <c r="H21" s="1264"/>
      <c r="I21" s="428"/>
      <c r="J21" s="1264"/>
      <c r="K21" s="428"/>
      <c r="L21" s="1291"/>
      <c r="M21" s="1292"/>
      <c r="N21" s="1264"/>
      <c r="O21" s="428"/>
      <c r="P21" s="1264"/>
      <c r="Q21" s="428"/>
      <c r="R21" s="1264"/>
      <c r="S21" s="428"/>
    </row>
    <row r="22" spans="1:41" s="69" customFormat="1">
      <c r="A22" s="1232"/>
      <c r="B22" s="1104" t="s">
        <v>1020</v>
      </c>
      <c r="C22" s="415"/>
      <c r="D22" s="567"/>
      <c r="E22" s="422"/>
      <c r="F22" s="429"/>
      <c r="G22" s="423"/>
      <c r="H22" s="1264" t="s">
        <v>727</v>
      </c>
      <c r="I22" s="1107"/>
      <c r="J22" s="1264" t="s">
        <v>727</v>
      </c>
      <c r="K22" s="1106"/>
      <c r="L22" s="1264" t="s">
        <v>727</v>
      </c>
      <c r="M22" s="1288"/>
      <c r="N22" s="1264" t="s">
        <v>727</v>
      </c>
      <c r="O22" s="1107"/>
      <c r="P22" s="1264" t="s">
        <v>727</v>
      </c>
      <c r="Q22" s="1106"/>
      <c r="R22" s="1264"/>
      <c r="S22" s="1106"/>
      <c r="T22"/>
      <c r="U22"/>
      <c r="V22"/>
      <c r="W22"/>
      <c r="X22"/>
      <c r="Y22"/>
      <c r="Z22"/>
      <c r="AA22"/>
      <c r="AB22"/>
      <c r="AC22"/>
      <c r="AD22"/>
      <c r="AE22"/>
      <c r="AF22"/>
      <c r="AG22"/>
      <c r="AH22"/>
      <c r="AI22"/>
      <c r="AJ22"/>
      <c r="AK22"/>
      <c r="AL22"/>
      <c r="AM22"/>
      <c r="AN22"/>
      <c r="AO22"/>
    </row>
    <row r="23" spans="1:41">
      <c r="A23" s="1232"/>
      <c r="B23" s="1104" t="s">
        <v>1021</v>
      </c>
      <c r="C23" s="1276"/>
      <c r="D23" s="1290"/>
      <c r="E23" s="1220"/>
      <c r="F23" s="1272"/>
      <c r="G23" s="1285"/>
      <c r="H23" s="1264" t="s">
        <v>727</v>
      </c>
      <c r="I23" s="1270"/>
      <c r="J23" s="1264" t="s">
        <v>727</v>
      </c>
      <c r="K23" s="1288"/>
      <c r="L23" s="1264" t="s">
        <v>727</v>
      </c>
      <c r="M23" s="1288"/>
      <c r="N23" s="1264" t="s">
        <v>727</v>
      </c>
      <c r="O23" s="1270"/>
      <c r="P23" s="1264" t="s">
        <v>727</v>
      </c>
      <c r="Q23" s="1288"/>
      <c r="R23" s="1264"/>
      <c r="S23" s="1288"/>
    </row>
    <row r="24" spans="1:41">
      <c r="A24" s="1232"/>
      <c r="B24" s="1104" t="s">
        <v>1022</v>
      </c>
      <c r="C24" s="1276"/>
      <c r="D24" s="1290"/>
      <c r="E24" s="1220"/>
      <c r="F24" s="1272"/>
      <c r="G24" s="1285"/>
      <c r="H24" s="1264" t="s">
        <v>727</v>
      </c>
      <c r="I24" s="1270"/>
      <c r="J24" s="1264" t="s">
        <v>727</v>
      </c>
      <c r="K24" s="1288"/>
      <c r="L24" s="1264" t="s">
        <v>727</v>
      </c>
      <c r="M24" s="1288"/>
      <c r="N24" s="1264" t="s">
        <v>727</v>
      </c>
      <c r="O24" s="1270"/>
      <c r="P24" s="1264" t="s">
        <v>727</v>
      </c>
      <c r="Q24" s="1288"/>
      <c r="R24" s="1264"/>
      <c r="S24" s="1288"/>
    </row>
    <row r="25" spans="1:41">
      <c r="A25" s="1232"/>
      <c r="B25" s="1104"/>
      <c r="C25" s="1276"/>
      <c r="D25" s="1290"/>
      <c r="E25" s="1220"/>
      <c r="F25" s="1272"/>
      <c r="G25" s="1285"/>
      <c r="H25" s="1264"/>
      <c r="I25" s="1270"/>
      <c r="J25" s="1264"/>
      <c r="K25" s="1288"/>
      <c r="L25" s="1264"/>
      <c r="M25" s="1293"/>
      <c r="N25" s="1264"/>
      <c r="O25" s="1270"/>
      <c r="P25" s="1264"/>
      <c r="Q25" s="1288"/>
      <c r="R25" s="1264"/>
      <c r="S25" s="1288"/>
    </row>
    <row r="26" spans="1:41">
      <c r="A26" s="1232"/>
      <c r="B26" s="1267" t="s">
        <v>1023</v>
      </c>
      <c r="C26" s="1276"/>
      <c r="D26" s="1294"/>
      <c r="E26" s="1220"/>
      <c r="F26" s="1161"/>
      <c r="G26" s="1162"/>
      <c r="H26" s="1264" t="s">
        <v>730</v>
      </c>
      <c r="I26" s="1288"/>
      <c r="J26" s="1264" t="s">
        <v>730</v>
      </c>
      <c r="K26" s="1295"/>
      <c r="L26" s="1264" t="s">
        <v>730</v>
      </c>
      <c r="M26" s="1293"/>
      <c r="N26" s="1264" t="s">
        <v>730</v>
      </c>
      <c r="O26" s="1288"/>
      <c r="P26" s="1264" t="s">
        <v>727</v>
      </c>
      <c r="Q26" s="1288" t="s">
        <v>1024</v>
      </c>
      <c r="R26" s="1264"/>
      <c r="S26" s="1288"/>
    </row>
    <row r="27" spans="1:41">
      <c r="A27" s="1232"/>
      <c r="B27" s="1296" t="s">
        <v>1025</v>
      </c>
      <c r="C27" s="415"/>
      <c r="D27" s="567"/>
      <c r="E27" s="422"/>
      <c r="F27" s="431"/>
      <c r="G27" s="1162"/>
      <c r="H27" s="1264" t="s">
        <v>730</v>
      </c>
      <c r="I27" s="1288"/>
      <c r="J27" s="1264" t="s">
        <v>730</v>
      </c>
      <c r="K27" s="1288"/>
      <c r="L27" s="1264" t="s">
        <v>730</v>
      </c>
      <c r="M27" s="1293"/>
      <c r="N27" s="1264" t="s">
        <v>730</v>
      </c>
      <c r="O27" s="1288"/>
      <c r="P27" s="1264" t="s">
        <v>727</v>
      </c>
      <c r="Q27" s="1295" t="s">
        <v>1026</v>
      </c>
      <c r="R27" s="1264"/>
      <c r="S27" s="1288"/>
    </row>
    <row r="28" spans="1:41">
      <c r="A28" s="1232"/>
      <c r="B28" s="1296" t="s">
        <v>1027</v>
      </c>
      <c r="C28" s="415"/>
      <c r="D28" s="567"/>
      <c r="E28" s="422"/>
      <c r="F28" s="431"/>
      <c r="G28" s="1162"/>
      <c r="H28" s="1264" t="s">
        <v>730</v>
      </c>
      <c r="I28" s="1288"/>
      <c r="J28" s="1264" t="s">
        <v>730</v>
      </c>
      <c r="K28" s="1288"/>
      <c r="L28" s="1264" t="s">
        <v>730</v>
      </c>
      <c r="M28" s="1293"/>
      <c r="N28" s="1264" t="s">
        <v>730</v>
      </c>
      <c r="O28" s="1288"/>
      <c r="P28" s="1264" t="s">
        <v>727</v>
      </c>
      <c r="Q28" s="1288"/>
      <c r="R28" s="1264"/>
      <c r="S28" s="1288"/>
    </row>
    <row r="29" spans="1:41">
      <c r="A29" s="1232"/>
      <c r="B29" s="1297" t="s">
        <v>1028</v>
      </c>
      <c r="C29" s="23"/>
      <c r="D29" s="569"/>
      <c r="E29" s="86"/>
      <c r="F29" s="431"/>
      <c r="G29" s="1162"/>
      <c r="H29" s="1264" t="s">
        <v>727</v>
      </c>
      <c r="I29" s="1288">
        <f>213511.43+62178.52</f>
        <v>275689.95</v>
      </c>
      <c r="J29" s="1264" t="s">
        <v>727</v>
      </c>
      <c r="K29" s="1288">
        <v>304250.55</v>
      </c>
      <c r="L29" s="1264" t="s">
        <v>727</v>
      </c>
      <c r="M29" s="1293">
        <f>224870+151700</f>
        <v>376570</v>
      </c>
      <c r="N29" s="1264" t="s">
        <v>727</v>
      </c>
      <c r="O29" s="1288">
        <v>774930</v>
      </c>
      <c r="P29" s="1264" t="s">
        <v>727</v>
      </c>
      <c r="Q29" s="1295"/>
      <c r="R29" s="1264"/>
      <c r="S29" s="1288"/>
    </row>
    <row r="30" spans="1:41">
      <c r="A30" s="1232"/>
      <c r="B30" s="1296" t="s">
        <v>1029</v>
      </c>
      <c r="C30" s="23"/>
      <c r="D30" s="569"/>
      <c r="E30" s="86"/>
      <c r="F30" s="431"/>
      <c r="G30" s="1162"/>
      <c r="H30" s="1264" t="s">
        <v>727</v>
      </c>
      <c r="I30" s="1288"/>
      <c r="J30" s="1264" t="s">
        <v>727</v>
      </c>
      <c r="K30" s="1288"/>
      <c r="L30" s="1264" t="s">
        <v>727</v>
      </c>
      <c r="M30" s="1293"/>
      <c r="N30" s="1264" t="s">
        <v>727</v>
      </c>
      <c r="O30" s="1288"/>
      <c r="P30" s="1264" t="s">
        <v>727</v>
      </c>
      <c r="Q30" s="1295" t="s">
        <v>1026</v>
      </c>
      <c r="R30" s="1264"/>
      <c r="S30" s="1288"/>
    </row>
    <row r="31" spans="1:41">
      <c r="A31" s="1232"/>
      <c r="B31" s="1296" t="s">
        <v>1030</v>
      </c>
      <c r="C31" s="23"/>
      <c r="D31" s="569"/>
      <c r="E31" s="86"/>
      <c r="F31" s="431"/>
      <c r="G31" s="1162"/>
      <c r="H31" s="1264" t="s">
        <v>727</v>
      </c>
      <c r="I31" s="1288"/>
      <c r="J31" s="1264" t="s">
        <v>727</v>
      </c>
      <c r="K31" s="1288"/>
      <c r="L31" s="1264" t="s">
        <v>727</v>
      </c>
      <c r="M31" s="1288"/>
      <c r="N31" s="1264" t="s">
        <v>727</v>
      </c>
      <c r="O31" s="1288"/>
      <c r="P31" s="1264" t="s">
        <v>727</v>
      </c>
      <c r="Q31" s="1288"/>
      <c r="R31" s="1264"/>
      <c r="S31" s="1288"/>
    </row>
    <row r="32" spans="1:41">
      <c r="A32" s="1232"/>
      <c r="B32" s="1298" t="s">
        <v>1031</v>
      </c>
      <c r="C32" s="23"/>
      <c r="D32" s="569"/>
      <c r="E32" s="86"/>
      <c r="F32" s="431"/>
      <c r="G32" s="1162"/>
      <c r="H32" s="1264" t="s">
        <v>727</v>
      </c>
      <c r="I32" s="1288"/>
      <c r="J32" s="1264" t="s">
        <v>727</v>
      </c>
      <c r="K32" s="1288"/>
      <c r="L32" s="1264" t="s">
        <v>727</v>
      </c>
      <c r="M32" s="1288"/>
      <c r="N32" s="1264" t="s">
        <v>727</v>
      </c>
      <c r="O32" s="1288"/>
      <c r="P32" s="1264" t="s">
        <v>727</v>
      </c>
      <c r="Q32" s="1288"/>
      <c r="R32" s="1264"/>
      <c r="S32" s="1288"/>
    </row>
    <row r="33" spans="1:19">
      <c r="A33" s="1232"/>
      <c r="B33" s="676" t="s">
        <v>1032</v>
      </c>
      <c r="C33" s="23"/>
      <c r="D33" s="569"/>
      <c r="E33" s="86"/>
      <c r="F33" s="431"/>
      <c r="G33" s="1162"/>
      <c r="H33" s="1264" t="s">
        <v>730</v>
      </c>
      <c r="I33" s="1288"/>
      <c r="J33" s="1264" t="s">
        <v>730</v>
      </c>
      <c r="K33" s="1288"/>
      <c r="L33" s="1264" t="s">
        <v>727</v>
      </c>
      <c r="M33" s="1288"/>
      <c r="N33" s="1264" t="s">
        <v>727</v>
      </c>
      <c r="O33" s="1288" t="s">
        <v>1033</v>
      </c>
      <c r="P33" s="1264" t="s">
        <v>730</v>
      </c>
      <c r="Q33" s="1288"/>
      <c r="R33" s="1264"/>
      <c r="S33" s="1288"/>
    </row>
    <row r="34" spans="1:19">
      <c r="A34" s="1232"/>
      <c r="B34" s="1299"/>
      <c r="C34" s="23"/>
      <c r="D34" s="569"/>
      <c r="E34" s="86"/>
      <c r="F34" s="431"/>
      <c r="G34" s="1162"/>
      <c r="H34" s="1264"/>
      <c r="I34" s="1288"/>
      <c r="J34" s="1264"/>
      <c r="K34" s="1288"/>
      <c r="L34" s="1264"/>
      <c r="M34" s="1288"/>
      <c r="N34" s="1264"/>
      <c r="O34" s="1288"/>
      <c r="P34" s="1264"/>
      <c r="Q34" s="1288"/>
      <c r="R34" s="1264"/>
      <c r="S34" s="1288"/>
    </row>
    <row r="35" spans="1:19" ht="25.5">
      <c r="A35" s="1232"/>
      <c r="B35" s="1300" t="s">
        <v>1034</v>
      </c>
      <c r="C35" s="23"/>
      <c r="D35" s="569"/>
      <c r="E35" s="86"/>
      <c r="F35" s="431"/>
      <c r="G35" s="1162"/>
      <c r="H35" s="1264" t="s">
        <v>727</v>
      </c>
      <c r="I35" s="1288"/>
      <c r="J35" s="1301" t="s">
        <v>1035</v>
      </c>
      <c r="K35" s="1248"/>
      <c r="L35" s="1301" t="s">
        <v>1035</v>
      </c>
      <c r="M35" s="1248"/>
      <c r="N35" s="1301" t="s">
        <v>1035</v>
      </c>
      <c r="O35" s="1248"/>
      <c r="P35" s="1301" t="s">
        <v>1035</v>
      </c>
      <c r="Q35" s="1248"/>
      <c r="R35" s="1264"/>
      <c r="S35" s="1288"/>
    </row>
    <row r="36" spans="1:19">
      <c r="A36" s="1232"/>
      <c r="B36" s="1302" t="s">
        <v>1036</v>
      </c>
      <c r="C36" s="555" t="s">
        <v>1037</v>
      </c>
      <c r="D36" s="570">
        <v>27</v>
      </c>
      <c r="E36" s="86" t="s">
        <v>847</v>
      </c>
      <c r="F36" s="431">
        <f>27*1*3</f>
        <v>81</v>
      </c>
      <c r="G36" s="1162">
        <f>F36*D36</f>
        <v>2187</v>
      </c>
      <c r="H36" s="1264" t="s">
        <v>727</v>
      </c>
      <c r="I36" s="1288">
        <f>93.45*D36</f>
        <v>2523.15</v>
      </c>
      <c r="J36" s="1301" t="s">
        <v>1035</v>
      </c>
      <c r="K36" s="1248">
        <f>$G$36</f>
        <v>2187</v>
      </c>
      <c r="L36" s="1301" t="s">
        <v>1035</v>
      </c>
      <c r="M36" s="1248">
        <f>$G$36</f>
        <v>2187</v>
      </c>
      <c r="N36" s="1301" t="s">
        <v>1035</v>
      </c>
      <c r="O36" s="1248">
        <f>$G$36</f>
        <v>2187</v>
      </c>
      <c r="P36" s="1301" t="s">
        <v>1035</v>
      </c>
      <c r="Q36" s="1248">
        <f>$G$36</f>
        <v>2187</v>
      </c>
      <c r="R36" s="1264"/>
      <c r="S36" s="1288"/>
    </row>
    <row r="37" spans="1:19">
      <c r="A37" s="1232"/>
      <c r="B37" s="1303" t="s">
        <v>1038</v>
      </c>
      <c r="C37" s="555"/>
      <c r="D37" s="570">
        <f>2*D36</f>
        <v>54</v>
      </c>
      <c r="E37" s="86" t="s">
        <v>847</v>
      </c>
      <c r="F37" s="431">
        <v>10</v>
      </c>
      <c r="G37" s="1162">
        <f>F37*D37</f>
        <v>540</v>
      </c>
      <c r="H37" s="1264" t="s">
        <v>727</v>
      </c>
      <c r="I37" s="1288"/>
      <c r="J37" s="1301" t="s">
        <v>1035</v>
      </c>
      <c r="K37" s="1248">
        <f>$G$37</f>
        <v>540</v>
      </c>
      <c r="L37" s="1301" t="s">
        <v>1035</v>
      </c>
      <c r="M37" s="1248">
        <f>$G$37</f>
        <v>540</v>
      </c>
      <c r="N37" s="1301" t="s">
        <v>1035</v>
      </c>
      <c r="O37" s="1248">
        <f>$G$37</f>
        <v>540</v>
      </c>
      <c r="P37" s="1301" t="s">
        <v>1035</v>
      </c>
      <c r="Q37" s="1248">
        <f>$G$37</f>
        <v>540</v>
      </c>
      <c r="R37" s="1264"/>
      <c r="S37" s="1288"/>
    </row>
    <row r="38" spans="1:19">
      <c r="A38" s="1232"/>
      <c r="B38" s="1299"/>
      <c r="C38" s="23"/>
      <c r="D38" s="569"/>
      <c r="E38" s="86"/>
      <c r="F38" s="431"/>
      <c r="G38" s="1162"/>
      <c r="H38" s="1264"/>
      <c r="I38" s="1288"/>
      <c r="J38" s="1264"/>
      <c r="K38" s="1288"/>
      <c r="L38" s="1264"/>
      <c r="M38" s="1288"/>
      <c r="N38" s="1264"/>
      <c r="O38" s="1288"/>
      <c r="P38" s="1264"/>
      <c r="Q38" s="1288"/>
      <c r="R38" s="1264"/>
      <c r="S38" s="1288"/>
    </row>
    <row r="39" spans="1:19">
      <c r="A39" s="1232"/>
      <c r="B39" s="1299" t="s">
        <v>1039</v>
      </c>
      <c r="C39" s="555" t="s">
        <v>1040</v>
      </c>
      <c r="D39" s="569"/>
      <c r="E39" s="86"/>
      <c r="F39" s="431"/>
      <c r="G39" s="1162"/>
      <c r="H39" s="1264" t="s">
        <v>730</v>
      </c>
      <c r="I39" s="1288"/>
      <c r="J39" s="1264" t="s">
        <v>730</v>
      </c>
      <c r="K39" s="1288"/>
      <c r="L39" s="1264" t="s">
        <v>730</v>
      </c>
      <c r="M39" s="1288"/>
      <c r="N39" s="1264" t="s">
        <v>730</v>
      </c>
      <c r="O39" s="1288"/>
      <c r="P39" s="1264" t="s">
        <v>730</v>
      </c>
      <c r="Q39" s="1288"/>
      <c r="R39" s="1264"/>
      <c r="S39" s="1288"/>
    </row>
    <row r="40" spans="1:19">
      <c r="A40" s="1232"/>
      <c r="B40" s="1299"/>
      <c r="C40" s="23"/>
      <c r="D40" s="569"/>
      <c r="E40" s="86"/>
      <c r="F40" s="431"/>
      <c r="G40" s="1162"/>
      <c r="H40" s="1264"/>
      <c r="I40" s="1288"/>
      <c r="J40" s="1264"/>
      <c r="K40" s="1288"/>
      <c r="L40" s="1264"/>
      <c r="M40" s="1288"/>
      <c r="N40" s="1264"/>
      <c r="O40" s="1288"/>
      <c r="P40" s="1264"/>
      <c r="Q40" s="1288"/>
      <c r="R40" s="1264"/>
      <c r="S40" s="1288"/>
    </row>
    <row r="41" spans="1:19" ht="25.5">
      <c r="A41" s="1232"/>
      <c r="B41" s="1300" t="s">
        <v>1041</v>
      </c>
      <c r="C41" s="23"/>
      <c r="D41" s="569"/>
      <c r="E41" s="86"/>
      <c r="F41" s="431"/>
      <c r="G41" s="1162"/>
      <c r="H41" s="1301" t="s">
        <v>727</v>
      </c>
      <c r="I41" s="1288">
        <f>71.47*170</f>
        <v>12149.9</v>
      </c>
      <c r="J41" s="1301" t="s">
        <v>1035</v>
      </c>
      <c r="K41" s="1248"/>
      <c r="L41" s="1301" t="s">
        <v>1035</v>
      </c>
      <c r="M41" s="1248"/>
      <c r="N41" s="1301" t="s">
        <v>1035</v>
      </c>
      <c r="O41" s="1248"/>
      <c r="P41" s="1301" t="s">
        <v>1035</v>
      </c>
      <c r="Q41" s="1248"/>
      <c r="R41" s="1264"/>
      <c r="S41" s="1288"/>
    </row>
    <row r="42" spans="1:19">
      <c r="A42" s="1232"/>
      <c r="B42" s="1303" t="s">
        <v>1042</v>
      </c>
      <c r="C42" s="555" t="s">
        <v>1043</v>
      </c>
      <c r="D42" s="570">
        <v>4</v>
      </c>
      <c r="E42" s="86" t="s">
        <v>847</v>
      </c>
      <c r="F42" s="431">
        <f>26*6*3</f>
        <v>468</v>
      </c>
      <c r="G42" s="1162">
        <f t="shared" ref="G42:G51" si="0">F42*D42</f>
        <v>1872</v>
      </c>
      <c r="H42" s="1264" t="s">
        <v>727</v>
      </c>
      <c r="I42" s="1288"/>
      <c r="J42" s="1301" t="s">
        <v>1035</v>
      </c>
      <c r="K42" s="1248">
        <f>$G$42</f>
        <v>1872</v>
      </c>
      <c r="L42" s="1301" t="s">
        <v>1035</v>
      </c>
      <c r="M42" s="1248">
        <f>$G$42</f>
        <v>1872</v>
      </c>
      <c r="N42" s="1301" t="s">
        <v>1035</v>
      </c>
      <c r="O42" s="1248">
        <f>$G$42</f>
        <v>1872</v>
      </c>
      <c r="P42" s="1301" t="s">
        <v>1035</v>
      </c>
      <c r="Q42" s="1248">
        <f>$G$42</f>
        <v>1872</v>
      </c>
      <c r="R42" s="1264"/>
      <c r="S42" s="1288"/>
    </row>
    <row r="43" spans="1:19">
      <c r="A43" s="1232"/>
      <c r="B43" s="1303" t="s">
        <v>1044</v>
      </c>
      <c r="C43" s="555" t="s">
        <v>1045</v>
      </c>
      <c r="D43" s="570">
        <v>4</v>
      </c>
      <c r="E43" s="86" t="s">
        <v>847</v>
      </c>
      <c r="F43" s="431">
        <f>30*3*3</f>
        <v>270</v>
      </c>
      <c r="G43" s="1162">
        <f t="shared" si="0"/>
        <v>1080</v>
      </c>
      <c r="H43" s="1286" t="s">
        <v>727</v>
      </c>
      <c r="I43" s="1288"/>
      <c r="J43" s="1301" t="s">
        <v>1035</v>
      </c>
      <c r="K43" s="1248">
        <f>$G$43</f>
        <v>1080</v>
      </c>
      <c r="L43" s="1301" t="s">
        <v>1035</v>
      </c>
      <c r="M43" s="1248">
        <f>$G$43</f>
        <v>1080</v>
      </c>
      <c r="N43" s="1301" t="s">
        <v>1035</v>
      </c>
      <c r="O43" s="1248">
        <f>$G$43</f>
        <v>1080</v>
      </c>
      <c r="P43" s="1301" t="s">
        <v>1035</v>
      </c>
      <c r="Q43" s="1248">
        <f>$G$43</f>
        <v>1080</v>
      </c>
      <c r="R43" s="1264"/>
      <c r="S43" s="1288"/>
    </row>
    <row r="44" spans="1:19">
      <c r="A44" s="1232"/>
      <c r="B44" s="1303" t="s">
        <v>1046</v>
      </c>
      <c r="C44" s="555"/>
      <c r="D44" s="570">
        <f>10*D43</f>
        <v>40</v>
      </c>
      <c r="E44" s="86" t="s">
        <v>847</v>
      </c>
      <c r="F44" s="431">
        <v>20</v>
      </c>
      <c r="G44" s="1162">
        <f t="shared" si="0"/>
        <v>800</v>
      </c>
      <c r="H44" s="1286" t="s">
        <v>727</v>
      </c>
      <c r="I44" s="1288"/>
      <c r="J44" s="1301" t="s">
        <v>1035</v>
      </c>
      <c r="K44" s="1248">
        <f>$G$44</f>
        <v>800</v>
      </c>
      <c r="L44" s="1301" t="s">
        <v>1035</v>
      </c>
      <c r="M44" s="1248">
        <f>$G$44</f>
        <v>800</v>
      </c>
      <c r="N44" s="1301" t="s">
        <v>1035</v>
      </c>
      <c r="O44" s="1248">
        <f>$G$44</f>
        <v>800</v>
      </c>
      <c r="P44" s="1301" t="s">
        <v>1035</v>
      </c>
      <c r="Q44" s="1248">
        <f>$G$44</f>
        <v>800</v>
      </c>
      <c r="R44" s="1264"/>
      <c r="S44" s="1288"/>
    </row>
    <row r="45" spans="1:19">
      <c r="A45" s="1232"/>
      <c r="B45" s="1303" t="s">
        <v>1047</v>
      </c>
      <c r="C45" s="555" t="s">
        <v>1048</v>
      </c>
      <c r="D45" s="570">
        <v>43</v>
      </c>
      <c r="E45" s="86" t="s">
        <v>847</v>
      </c>
      <c r="F45" s="431">
        <f>20*1*3</f>
        <v>60</v>
      </c>
      <c r="G45" s="1162">
        <f t="shared" si="0"/>
        <v>2580</v>
      </c>
      <c r="H45" s="1286" t="s">
        <v>727</v>
      </c>
      <c r="I45" s="1288"/>
      <c r="J45" s="1301" t="s">
        <v>1035</v>
      </c>
      <c r="K45" s="1248">
        <f>$G$45</f>
        <v>2580</v>
      </c>
      <c r="L45" s="1301" t="s">
        <v>1035</v>
      </c>
      <c r="M45" s="1248">
        <f>$G$45</f>
        <v>2580</v>
      </c>
      <c r="N45" s="1301" t="s">
        <v>1035</v>
      </c>
      <c r="O45" s="1248">
        <f>$G$45</f>
        <v>2580</v>
      </c>
      <c r="P45" s="1301" t="s">
        <v>1035</v>
      </c>
      <c r="Q45" s="1248">
        <f>$G$45</f>
        <v>2580</v>
      </c>
      <c r="R45" s="1264"/>
      <c r="S45" s="1288"/>
    </row>
    <row r="46" spans="1:19">
      <c r="A46" s="1232"/>
      <c r="B46" s="1303" t="s">
        <v>1049</v>
      </c>
      <c r="C46" s="555"/>
      <c r="D46" s="570">
        <f>4*D45</f>
        <v>172</v>
      </c>
      <c r="E46" s="86" t="s">
        <v>847</v>
      </c>
      <c r="F46" s="431">
        <v>20</v>
      </c>
      <c r="G46" s="1162">
        <f t="shared" si="0"/>
        <v>3440</v>
      </c>
      <c r="H46" s="1286" t="s">
        <v>727</v>
      </c>
      <c r="I46" s="1288"/>
      <c r="J46" s="1301" t="s">
        <v>1035</v>
      </c>
      <c r="K46" s="1248">
        <f>$G$46</f>
        <v>3440</v>
      </c>
      <c r="L46" s="1301" t="s">
        <v>1035</v>
      </c>
      <c r="M46" s="1248">
        <f>$G$46</f>
        <v>3440</v>
      </c>
      <c r="N46" s="1301" t="s">
        <v>1035</v>
      </c>
      <c r="O46" s="1248">
        <f>$G$46</f>
        <v>3440</v>
      </c>
      <c r="P46" s="1301" t="s">
        <v>1035</v>
      </c>
      <c r="Q46" s="1248">
        <f>$G$46</f>
        <v>3440</v>
      </c>
      <c r="R46" s="1264"/>
      <c r="S46" s="1288"/>
    </row>
    <row r="47" spans="1:19">
      <c r="A47" s="1232"/>
      <c r="B47" s="1303" t="s">
        <v>1050</v>
      </c>
      <c r="C47" s="555" t="s">
        <v>1051</v>
      </c>
      <c r="D47" s="570">
        <v>170</v>
      </c>
      <c r="E47" s="86" t="s">
        <v>32</v>
      </c>
      <c r="F47" s="431">
        <f>12*1*3</f>
        <v>36</v>
      </c>
      <c r="G47" s="1162">
        <f t="shared" si="0"/>
        <v>6120</v>
      </c>
      <c r="H47" s="1286" t="s">
        <v>727</v>
      </c>
      <c r="I47" s="1288"/>
      <c r="J47" s="1301" t="s">
        <v>1035</v>
      </c>
      <c r="K47" s="1248">
        <f>$G$47</f>
        <v>6120</v>
      </c>
      <c r="L47" s="1301" t="s">
        <v>1035</v>
      </c>
      <c r="M47" s="1248">
        <f>$G$47</f>
        <v>6120</v>
      </c>
      <c r="N47" s="1301" t="s">
        <v>1035</v>
      </c>
      <c r="O47" s="1248">
        <f>$G$47</f>
        <v>6120</v>
      </c>
      <c r="P47" s="1301" t="s">
        <v>1035</v>
      </c>
      <c r="Q47" s="1248">
        <f>$G$47</f>
        <v>6120</v>
      </c>
      <c r="R47" s="1264"/>
      <c r="S47" s="1288"/>
    </row>
    <row r="48" spans="1:19">
      <c r="A48" s="1232"/>
      <c r="B48" s="1303" t="s">
        <v>1052</v>
      </c>
      <c r="C48" s="555" t="s">
        <v>1053</v>
      </c>
      <c r="D48" s="570">
        <v>57</v>
      </c>
      <c r="E48" s="86" t="s">
        <v>847</v>
      </c>
      <c r="F48" s="431">
        <f>23*1*3</f>
        <v>69</v>
      </c>
      <c r="G48" s="1162">
        <f t="shared" si="0"/>
        <v>3933</v>
      </c>
      <c r="H48" s="1286" t="s">
        <v>727</v>
      </c>
      <c r="I48" s="1288"/>
      <c r="J48" s="1301" t="s">
        <v>1035</v>
      </c>
      <c r="K48" s="1248">
        <f>$G$48</f>
        <v>3933</v>
      </c>
      <c r="L48" s="1301" t="s">
        <v>1035</v>
      </c>
      <c r="M48" s="1248">
        <f>$G$48</f>
        <v>3933</v>
      </c>
      <c r="N48" s="1301" t="s">
        <v>1035</v>
      </c>
      <c r="O48" s="1248">
        <f>$G$48</f>
        <v>3933</v>
      </c>
      <c r="P48" s="1301" t="s">
        <v>1035</v>
      </c>
      <c r="Q48" s="1248">
        <f>$G$48</f>
        <v>3933</v>
      </c>
      <c r="R48" s="1264"/>
      <c r="S48" s="1288"/>
    </row>
    <row r="49" spans="1:19">
      <c r="A49" s="1232"/>
      <c r="B49" s="1303" t="s">
        <v>1054</v>
      </c>
      <c r="C49" s="555"/>
      <c r="D49" s="570">
        <f>2*D48</f>
        <v>114</v>
      </c>
      <c r="E49" s="86" t="s">
        <v>847</v>
      </c>
      <c r="F49" s="431">
        <v>10</v>
      </c>
      <c r="G49" s="1162">
        <f t="shared" si="0"/>
        <v>1140</v>
      </c>
      <c r="H49" s="1286" t="s">
        <v>727</v>
      </c>
      <c r="I49" s="1288"/>
      <c r="J49" s="1301" t="s">
        <v>1035</v>
      </c>
      <c r="K49" s="1248">
        <f>$G$49</f>
        <v>1140</v>
      </c>
      <c r="L49" s="1301" t="s">
        <v>1035</v>
      </c>
      <c r="M49" s="1248">
        <f>$G$49</f>
        <v>1140</v>
      </c>
      <c r="N49" s="1301" t="s">
        <v>1035</v>
      </c>
      <c r="O49" s="1248">
        <f>$G$49</f>
        <v>1140</v>
      </c>
      <c r="P49" s="1301" t="s">
        <v>1035</v>
      </c>
      <c r="Q49" s="1248">
        <f>$G$49</f>
        <v>1140</v>
      </c>
      <c r="R49" s="1264"/>
      <c r="S49" s="1288"/>
    </row>
    <row r="50" spans="1:19" ht="27.75" customHeight="1">
      <c r="A50" s="1232"/>
      <c r="B50" s="1303" t="s">
        <v>1055</v>
      </c>
      <c r="C50" s="555" t="s">
        <v>1053</v>
      </c>
      <c r="D50" s="570">
        <v>170</v>
      </c>
      <c r="E50" s="86" t="s">
        <v>32</v>
      </c>
      <c r="F50" s="431">
        <f>15*1*3</f>
        <v>45</v>
      </c>
      <c r="G50" s="1162">
        <f t="shared" si="0"/>
        <v>7650</v>
      </c>
      <c r="H50" s="1286" t="s">
        <v>727</v>
      </c>
      <c r="I50" s="1288"/>
      <c r="J50" s="1301" t="s">
        <v>1035</v>
      </c>
      <c r="K50" s="1248">
        <f>$G$50</f>
        <v>7650</v>
      </c>
      <c r="L50" s="1301" t="s">
        <v>1035</v>
      </c>
      <c r="M50" s="1248">
        <f>$G$50</f>
        <v>7650</v>
      </c>
      <c r="N50" s="1301" t="s">
        <v>1035</v>
      </c>
      <c r="O50" s="1248">
        <f>$G$50</f>
        <v>7650</v>
      </c>
      <c r="P50" s="1301" t="s">
        <v>1035</v>
      </c>
      <c r="Q50" s="1248">
        <f>$G$50</f>
        <v>7650</v>
      </c>
      <c r="R50" s="1264"/>
      <c r="S50" s="1288"/>
    </row>
    <row r="51" spans="1:19">
      <c r="A51" s="1232"/>
      <c r="B51" s="1299" t="s">
        <v>1056</v>
      </c>
      <c r="C51" s="23"/>
      <c r="D51" s="570">
        <f>340</f>
        <v>340</v>
      </c>
      <c r="E51" s="86" t="s">
        <v>847</v>
      </c>
      <c r="F51" s="431">
        <v>5</v>
      </c>
      <c r="G51" s="1162">
        <f t="shared" si="0"/>
        <v>1700</v>
      </c>
      <c r="H51" s="1286" t="s">
        <v>727</v>
      </c>
      <c r="I51" s="1288"/>
      <c r="J51" s="1301" t="s">
        <v>1035</v>
      </c>
      <c r="K51" s="1248">
        <f>$G$51</f>
        <v>1700</v>
      </c>
      <c r="L51" s="1301" t="s">
        <v>1035</v>
      </c>
      <c r="M51" s="1248">
        <f>$G$51</f>
        <v>1700</v>
      </c>
      <c r="N51" s="1301" t="s">
        <v>1035</v>
      </c>
      <c r="O51" s="1248">
        <f>$G$51</f>
        <v>1700</v>
      </c>
      <c r="P51" s="1301" t="s">
        <v>1035</v>
      </c>
      <c r="Q51" s="1248">
        <f>$G$51</f>
        <v>1700</v>
      </c>
      <c r="R51" s="1264"/>
      <c r="S51" s="1288"/>
    </row>
    <row r="52" spans="1:19">
      <c r="A52" s="1232"/>
      <c r="B52" s="1304" t="s">
        <v>1057</v>
      </c>
      <c r="C52" s="555" t="s">
        <v>1058</v>
      </c>
      <c r="D52" s="569"/>
      <c r="E52" s="86"/>
      <c r="F52" s="1161"/>
      <c r="G52" s="1269"/>
      <c r="H52" s="1286" t="s">
        <v>727</v>
      </c>
      <c r="I52" s="1288"/>
      <c r="J52" s="1301" t="s">
        <v>1035</v>
      </c>
      <c r="K52" s="1248"/>
      <c r="L52" s="1301" t="s">
        <v>1035</v>
      </c>
      <c r="M52" s="1248"/>
      <c r="N52" s="1301" t="s">
        <v>1035</v>
      </c>
      <c r="O52" s="1248"/>
      <c r="P52" s="1301" t="s">
        <v>1035</v>
      </c>
      <c r="Q52" s="1288"/>
      <c r="R52" s="1286"/>
      <c r="S52" s="1288"/>
    </row>
    <row r="53" spans="1:19" ht="30" customHeight="1">
      <c r="A53" s="1232"/>
      <c r="B53" s="1305" t="s">
        <v>1059</v>
      </c>
      <c r="C53" s="23"/>
      <c r="D53" s="569">
        <v>45</v>
      </c>
      <c r="E53" s="86" t="s">
        <v>847</v>
      </c>
      <c r="F53" s="431">
        <f>6*4*3</f>
        <v>72</v>
      </c>
      <c r="G53" s="1162">
        <f t="shared" ref="G53:G59" si="1">F53*D53</f>
        <v>3240</v>
      </c>
      <c r="H53" s="1286" t="s">
        <v>727</v>
      </c>
      <c r="I53" s="1288">
        <f>212.91*D53</f>
        <v>9580.9500000000007</v>
      </c>
      <c r="J53" s="1301" t="s">
        <v>1035</v>
      </c>
      <c r="K53" s="1248">
        <f>$G$53</f>
        <v>3240</v>
      </c>
      <c r="L53" s="1301" t="s">
        <v>1035</v>
      </c>
      <c r="M53" s="1248">
        <f>$G$53</f>
        <v>3240</v>
      </c>
      <c r="N53" s="1301" t="s">
        <v>1035</v>
      </c>
      <c r="O53" s="1248">
        <f>$G$53</f>
        <v>3240</v>
      </c>
      <c r="P53" s="1301" t="s">
        <v>1035</v>
      </c>
      <c r="Q53" s="1248">
        <f>$G$53</f>
        <v>3240</v>
      </c>
      <c r="R53" s="1286"/>
      <c r="S53" s="1288"/>
    </row>
    <row r="54" spans="1:19" ht="30" customHeight="1">
      <c r="A54" s="1232"/>
      <c r="B54" s="1305" t="s">
        <v>1060</v>
      </c>
      <c r="C54" s="23"/>
      <c r="D54" s="569">
        <v>45</v>
      </c>
      <c r="E54" s="86" t="s">
        <v>847</v>
      </c>
      <c r="F54" s="431">
        <v>5</v>
      </c>
      <c r="G54" s="1162">
        <f t="shared" si="1"/>
        <v>225</v>
      </c>
      <c r="H54" s="1286" t="s">
        <v>727</v>
      </c>
      <c r="I54" s="1288"/>
      <c r="J54" s="1301" t="s">
        <v>1035</v>
      </c>
      <c r="K54" s="1248">
        <f>$G$54</f>
        <v>225</v>
      </c>
      <c r="L54" s="1301" t="s">
        <v>1035</v>
      </c>
      <c r="M54" s="1248">
        <f>$G$54</f>
        <v>225</v>
      </c>
      <c r="N54" s="1301" t="s">
        <v>1035</v>
      </c>
      <c r="O54" s="1248">
        <f>$G$54</f>
        <v>225</v>
      </c>
      <c r="P54" s="1301" t="s">
        <v>1035</v>
      </c>
      <c r="Q54" s="1248">
        <f>$G$54</f>
        <v>225</v>
      </c>
      <c r="R54" s="1286"/>
      <c r="S54" s="1288"/>
    </row>
    <row r="55" spans="1:19">
      <c r="A55" s="1232"/>
      <c r="B55" s="1305" t="s">
        <v>1061</v>
      </c>
      <c r="C55" s="23"/>
      <c r="D55" s="569">
        <v>45</v>
      </c>
      <c r="E55" s="86" t="s">
        <v>847</v>
      </c>
      <c r="F55" s="431">
        <f>5*2*3</f>
        <v>30</v>
      </c>
      <c r="G55" s="1162">
        <f t="shared" si="1"/>
        <v>1350</v>
      </c>
      <c r="H55" s="1286" t="s">
        <v>727</v>
      </c>
      <c r="I55" s="1288"/>
      <c r="J55" s="1301" t="s">
        <v>1035</v>
      </c>
      <c r="K55" s="1248">
        <f>$G$55</f>
        <v>1350</v>
      </c>
      <c r="L55" s="1301" t="s">
        <v>1035</v>
      </c>
      <c r="M55" s="1248">
        <f>$G$55</f>
        <v>1350</v>
      </c>
      <c r="N55" s="1301" t="s">
        <v>1035</v>
      </c>
      <c r="O55" s="1248">
        <f>$G$55</f>
        <v>1350</v>
      </c>
      <c r="P55" s="1301" t="s">
        <v>1035</v>
      </c>
      <c r="Q55" s="1248">
        <f>$G$55</f>
        <v>1350</v>
      </c>
      <c r="R55" s="1286"/>
      <c r="S55" s="1288"/>
    </row>
    <row r="56" spans="1:19">
      <c r="A56" s="1232"/>
      <c r="B56" s="1305" t="s">
        <v>1062</v>
      </c>
      <c r="C56" s="23"/>
      <c r="D56" s="569">
        <v>45</v>
      </c>
      <c r="E56" s="86" t="s">
        <v>847</v>
      </c>
      <c r="F56" s="431">
        <f>10*0.3*3</f>
        <v>9</v>
      </c>
      <c r="G56" s="1162">
        <f t="shared" si="1"/>
        <v>405</v>
      </c>
      <c r="H56" s="1286" t="s">
        <v>727</v>
      </c>
      <c r="I56" s="1288"/>
      <c r="J56" s="1301" t="s">
        <v>1035</v>
      </c>
      <c r="K56" s="1248">
        <f>$G$56</f>
        <v>405</v>
      </c>
      <c r="L56" s="1301" t="s">
        <v>1035</v>
      </c>
      <c r="M56" s="1248">
        <f>$G$56</f>
        <v>405</v>
      </c>
      <c r="N56" s="1301" t="s">
        <v>1035</v>
      </c>
      <c r="O56" s="1248">
        <f>$G$56</f>
        <v>405</v>
      </c>
      <c r="P56" s="1301" t="s">
        <v>1035</v>
      </c>
      <c r="Q56" s="1248">
        <f>$G$56</f>
        <v>405</v>
      </c>
      <c r="R56" s="1286"/>
      <c r="S56" s="1288"/>
    </row>
    <row r="57" spans="1:19">
      <c r="A57" s="1232"/>
      <c r="B57" s="1305" t="s">
        <v>1063</v>
      </c>
      <c r="C57" s="23"/>
      <c r="D57" s="569">
        <v>45</v>
      </c>
      <c r="E57" s="86" t="s">
        <v>847</v>
      </c>
      <c r="F57" s="431">
        <f>5*0.5*3</f>
        <v>7.5</v>
      </c>
      <c r="G57" s="1162">
        <f t="shared" si="1"/>
        <v>337.5</v>
      </c>
      <c r="H57" s="1286" t="s">
        <v>727</v>
      </c>
      <c r="I57" s="1288"/>
      <c r="J57" s="1301" t="s">
        <v>1035</v>
      </c>
      <c r="K57" s="1248">
        <f>$G$57</f>
        <v>337.5</v>
      </c>
      <c r="L57" s="1301" t="s">
        <v>1035</v>
      </c>
      <c r="M57" s="1248">
        <f>$G$57</f>
        <v>337.5</v>
      </c>
      <c r="N57" s="1301" t="s">
        <v>1035</v>
      </c>
      <c r="O57" s="1248">
        <f>$G$57</f>
        <v>337.5</v>
      </c>
      <c r="P57" s="1301" t="s">
        <v>1035</v>
      </c>
      <c r="Q57" s="1248">
        <f>$G$57</f>
        <v>337.5</v>
      </c>
      <c r="R57" s="1286"/>
      <c r="S57" s="1288"/>
    </row>
    <row r="58" spans="1:19">
      <c r="A58" s="1232"/>
      <c r="B58" s="1305" t="s">
        <v>1064</v>
      </c>
      <c r="C58" s="23"/>
      <c r="D58" s="569">
        <v>45</v>
      </c>
      <c r="E58" s="86" t="s">
        <v>847</v>
      </c>
      <c r="F58" s="431">
        <f>15*0.5*3</f>
        <v>22.5</v>
      </c>
      <c r="G58" s="1162">
        <f t="shared" si="1"/>
        <v>1012.5</v>
      </c>
      <c r="H58" s="1286" t="s">
        <v>727</v>
      </c>
      <c r="I58" s="1288"/>
      <c r="J58" s="1301" t="s">
        <v>1035</v>
      </c>
      <c r="K58" s="1248">
        <f>$G$58</f>
        <v>1012.5</v>
      </c>
      <c r="L58" s="1301" t="s">
        <v>1035</v>
      </c>
      <c r="M58" s="1248">
        <f>$G$58</f>
        <v>1012.5</v>
      </c>
      <c r="N58" s="1301" t="s">
        <v>1035</v>
      </c>
      <c r="O58" s="1248">
        <f>$G$58</f>
        <v>1012.5</v>
      </c>
      <c r="P58" s="1301" t="s">
        <v>1035</v>
      </c>
      <c r="Q58" s="1248">
        <f>$G$58</f>
        <v>1012.5</v>
      </c>
      <c r="R58" s="1286"/>
      <c r="S58" s="1288"/>
    </row>
    <row r="59" spans="1:19">
      <c r="A59" s="1232"/>
      <c r="B59" s="1305" t="s">
        <v>1065</v>
      </c>
      <c r="C59" s="23"/>
      <c r="D59" s="569">
        <v>45</v>
      </c>
      <c r="E59" s="86" t="s">
        <v>847</v>
      </c>
      <c r="F59" s="1161">
        <v>5</v>
      </c>
      <c r="G59" s="1162">
        <f t="shared" si="1"/>
        <v>225</v>
      </c>
      <c r="H59" s="1286" t="s">
        <v>727</v>
      </c>
      <c r="I59" s="1288"/>
      <c r="J59" s="1301" t="s">
        <v>1035</v>
      </c>
      <c r="K59" s="1248">
        <f>$G$59</f>
        <v>225</v>
      </c>
      <c r="L59" s="1301" t="s">
        <v>1035</v>
      </c>
      <c r="M59" s="1248">
        <f>$G$59</f>
        <v>225</v>
      </c>
      <c r="N59" s="1301" t="s">
        <v>1035</v>
      </c>
      <c r="O59" s="1248">
        <f>$G$59</f>
        <v>225</v>
      </c>
      <c r="P59" s="1301" t="s">
        <v>1035</v>
      </c>
      <c r="Q59" s="1248">
        <f>$G$59</f>
        <v>225</v>
      </c>
      <c r="R59" s="1286"/>
      <c r="S59" s="1288"/>
    </row>
    <row r="60" spans="1:19">
      <c r="A60" s="1232"/>
      <c r="B60" s="1268" t="s">
        <v>1066</v>
      </c>
      <c r="C60" s="23"/>
      <c r="D60" s="569"/>
      <c r="E60" s="86"/>
      <c r="F60" s="1161"/>
      <c r="G60" s="1269"/>
      <c r="H60" s="1286" t="s">
        <v>727</v>
      </c>
      <c r="I60" s="1288">
        <f>(66952.58+6626.4+6450+6998.44)/2</f>
        <v>43513.71</v>
      </c>
      <c r="J60" s="1286" t="s">
        <v>727</v>
      </c>
      <c r="K60" s="1288"/>
      <c r="L60" s="1286" t="s">
        <v>727</v>
      </c>
      <c r="M60" s="1288"/>
      <c r="N60" s="1286" t="s">
        <v>727</v>
      </c>
      <c r="O60" s="1288"/>
      <c r="P60" s="1286"/>
      <c r="Q60" s="1288"/>
      <c r="R60" s="1286"/>
      <c r="S60" s="1288"/>
    </row>
    <row r="61" spans="1:19" ht="15.75" thickBot="1">
      <c r="A61" s="1232"/>
      <c r="B61" s="1268"/>
      <c r="C61" s="23"/>
      <c r="D61" s="569"/>
      <c r="E61" s="86"/>
      <c r="F61" s="1161"/>
      <c r="G61" s="1269"/>
      <c r="H61" s="1286"/>
      <c r="I61" s="1288"/>
      <c r="J61" s="1286"/>
      <c r="K61" s="1288"/>
      <c r="L61" s="1286"/>
      <c r="M61" s="1288"/>
      <c r="N61" s="1286"/>
      <c r="O61" s="1288"/>
      <c r="P61" s="1286"/>
      <c r="Q61" s="1288"/>
      <c r="R61" s="1286"/>
      <c r="S61" s="1288"/>
    </row>
    <row r="62" spans="1:19" ht="15.75" thickTop="1">
      <c r="A62" s="296"/>
      <c r="B62" s="301"/>
      <c r="C62" s="297"/>
      <c r="D62" s="17"/>
      <c r="E62" s="16"/>
      <c r="F62" s="282" t="s">
        <v>753</v>
      </c>
      <c r="G62" s="272"/>
      <c r="H62" s="273"/>
      <c r="I62" s="273">
        <f>SUM(I12:I61)</f>
        <v>343457.66000000009</v>
      </c>
      <c r="J62" s="273"/>
      <c r="K62" s="273">
        <f>SUM(K12:K61)</f>
        <v>344087.55</v>
      </c>
      <c r="L62" s="273"/>
      <c r="M62" s="273">
        <f>SUM(M12:M61)</f>
        <v>416407</v>
      </c>
      <c r="N62" s="273"/>
      <c r="O62" s="273">
        <f>SUM(O12:O51)</f>
        <v>888072</v>
      </c>
      <c r="P62" s="273"/>
      <c r="Q62" s="273">
        <f>SUM(Q12:Q61)</f>
        <v>39837</v>
      </c>
      <c r="R62" s="273"/>
      <c r="S62" s="273">
        <f>SUM(S12:S51)</f>
        <v>0</v>
      </c>
    </row>
    <row r="63" spans="1:19">
      <c r="A63" s="1114"/>
      <c r="B63" s="1115"/>
      <c r="C63" s="432"/>
      <c r="D63" s="571"/>
      <c r="E63" s="434"/>
      <c r="F63" s="435" t="s">
        <v>754</v>
      </c>
      <c r="G63" s="436"/>
      <c r="H63" s="1306">
        <v>1.4999999999999999E-2</v>
      </c>
      <c r="I63" s="1117"/>
      <c r="J63" s="1116">
        <v>0</v>
      </c>
      <c r="K63" s="1117"/>
      <c r="L63" s="1116">
        <v>0</v>
      </c>
      <c r="M63" s="1117"/>
      <c r="N63" s="1116">
        <v>0</v>
      </c>
      <c r="O63" s="1117"/>
      <c r="P63" s="1116">
        <v>0</v>
      </c>
      <c r="Q63" s="1117"/>
      <c r="R63" s="1116">
        <v>0</v>
      </c>
      <c r="S63" s="1117"/>
    </row>
    <row r="64" spans="1:19">
      <c r="A64" s="1114"/>
      <c r="B64" s="1115"/>
      <c r="C64" s="432"/>
      <c r="D64" s="571"/>
      <c r="E64" s="434"/>
      <c r="F64" s="435" t="s">
        <v>755</v>
      </c>
      <c r="G64" s="436"/>
      <c r="H64" s="1117"/>
      <c r="I64" s="1117">
        <f>H63*$M$62</f>
        <v>6246.1049999999996</v>
      </c>
      <c r="J64" s="1117"/>
      <c r="K64" s="1117">
        <f>J63*$M$62</f>
        <v>0</v>
      </c>
      <c r="L64" s="1117"/>
      <c r="M64" s="1117">
        <f>L63*$M$62</f>
        <v>0</v>
      </c>
      <c r="N64" s="1117"/>
      <c r="O64" s="1117">
        <f>N63*$M$62</f>
        <v>0</v>
      </c>
      <c r="P64" s="1117"/>
      <c r="Q64" s="1117">
        <f>P63*$M$62</f>
        <v>0</v>
      </c>
      <c r="R64" s="1117"/>
      <c r="S64" s="1117">
        <f>R63*$M$62</f>
        <v>0</v>
      </c>
    </row>
    <row r="65" spans="1:34">
      <c r="A65" s="1114"/>
      <c r="B65" s="1115"/>
      <c r="C65" s="432"/>
      <c r="D65" s="571"/>
      <c r="E65" s="434"/>
      <c r="F65" s="435"/>
      <c r="G65" s="436"/>
      <c r="H65" s="1117"/>
      <c r="I65" s="1117"/>
      <c r="J65" s="1117"/>
      <c r="K65" s="1117"/>
      <c r="L65" s="1117"/>
      <c r="M65" s="1117"/>
      <c r="N65" s="1117"/>
      <c r="O65" s="1117"/>
      <c r="P65" s="1117"/>
      <c r="Q65" s="1117"/>
      <c r="R65" s="1117"/>
      <c r="S65" s="1117"/>
    </row>
    <row r="66" spans="1:34">
      <c r="A66" s="1114"/>
      <c r="B66" s="1115"/>
      <c r="C66" s="432"/>
      <c r="D66" s="571"/>
      <c r="E66" s="434"/>
      <c r="F66" s="435" t="s">
        <v>756</v>
      </c>
      <c r="G66" s="436"/>
      <c r="H66" s="1117"/>
      <c r="I66" s="1117">
        <f>SUM(I62:I64)</f>
        <v>349703.76500000007</v>
      </c>
      <c r="J66" s="1117"/>
      <c r="K66" s="1117">
        <f>SUM(K62:K64)</f>
        <v>344087.55</v>
      </c>
      <c r="L66" s="1117"/>
      <c r="M66" s="1117">
        <f>SUM(M62:M64)</f>
        <v>416407</v>
      </c>
      <c r="N66" s="1117"/>
      <c r="O66" s="1117">
        <f>SUM(O62:O64)</f>
        <v>888072</v>
      </c>
      <c r="P66" s="1117"/>
      <c r="Q66" s="1117">
        <f>SUM(Q62:Q64)</f>
        <v>39837</v>
      </c>
      <c r="R66" s="1117"/>
      <c r="S66" s="1117">
        <f>SUM(S62:S64)</f>
        <v>0</v>
      </c>
    </row>
    <row r="67" spans="1:34">
      <c r="A67" s="1114"/>
      <c r="B67" s="1115"/>
      <c r="C67" s="432"/>
      <c r="D67" s="571"/>
      <c r="E67" s="434"/>
      <c r="F67" s="437" t="s">
        <v>757</v>
      </c>
      <c r="G67" s="438"/>
      <c r="H67" s="1118"/>
      <c r="I67" s="1118">
        <f>I66/'Area Calculations'!$G$4</f>
        <v>0.60433061211793404</v>
      </c>
      <c r="J67" s="1118"/>
      <c r="K67" s="1118">
        <f>K66/'Area Calculations'!$G$4</f>
        <v>0.59462510995173357</v>
      </c>
      <c r="L67" s="1118"/>
      <c r="M67" s="1118">
        <f>M66/'Area Calculations'!$G$4</f>
        <v>0.71960190991993611</v>
      </c>
      <c r="N67" s="1118"/>
      <c r="O67" s="1118">
        <f>O66/'Area Calculations'!$G$4</f>
        <v>1.5346963604032053</v>
      </c>
      <c r="P67" s="1118"/>
      <c r="Q67" s="1118">
        <f>Q66/'Area Calculations'!$G$4</f>
        <v>6.884317815377862E-2</v>
      </c>
      <c r="R67" s="1118"/>
      <c r="S67" s="1118">
        <f>S66/'Area Calculations'!$G$4</f>
        <v>0</v>
      </c>
    </row>
    <row r="68" spans="1:34">
      <c r="A68" s="1114"/>
      <c r="B68" s="1115"/>
      <c r="C68" s="432"/>
      <c r="D68" s="571"/>
      <c r="E68" s="434"/>
      <c r="F68" s="437" t="s">
        <v>758</v>
      </c>
      <c r="G68" s="438"/>
      <c r="H68" s="1118"/>
      <c r="I68" s="1118">
        <f>I66/'Area Calculations'!$G$9</f>
        <v>3268.2594859813089</v>
      </c>
      <c r="J68" s="1118"/>
      <c r="K68" s="1118">
        <f>K66/'Area Calculations'!$G$9</f>
        <v>3215.7714953271029</v>
      </c>
      <c r="L68" s="1118"/>
      <c r="M68" s="1118">
        <f>M66/'Area Calculations'!$G$9</f>
        <v>3891.6542056074768</v>
      </c>
      <c r="N68" s="1118"/>
      <c r="O68" s="1118">
        <f>O66/'Area Calculations'!$G$9</f>
        <v>8299.73831775701</v>
      </c>
      <c r="P68" s="1118"/>
      <c r="Q68" s="1118">
        <f>Q66/'Area Calculations'!$G$9</f>
        <v>372.30841121495325</v>
      </c>
      <c r="R68" s="1118"/>
      <c r="S68" s="1118">
        <f>S66/'Area Calculations'!$G$9</f>
        <v>0</v>
      </c>
    </row>
    <row r="69" spans="1:34" ht="15.75" thickBot="1">
      <c r="A69" s="1114"/>
      <c r="B69" s="1115"/>
      <c r="C69" s="432"/>
      <c r="D69" s="571"/>
      <c r="E69" s="434"/>
      <c r="F69" s="439"/>
      <c r="G69" s="436"/>
      <c r="H69" s="1119"/>
      <c r="I69" s="1119"/>
      <c r="J69" s="1119"/>
      <c r="K69" s="1119"/>
      <c r="L69" s="1119"/>
      <c r="M69" s="1119"/>
      <c r="N69" s="1119"/>
      <c r="O69" s="1119"/>
      <c r="P69" s="1119"/>
      <c r="Q69" s="1119"/>
      <c r="R69" s="1119"/>
      <c r="S69" s="1119"/>
    </row>
    <row r="70" spans="1:34" ht="16.5" thickTop="1" thickBot="1">
      <c r="A70" s="2331" t="s">
        <v>759</v>
      </c>
      <c r="B70" s="2332"/>
      <c r="C70" s="298"/>
      <c r="D70" s="572"/>
      <c r="E70" s="12"/>
      <c r="F70" s="12"/>
      <c r="G70" s="26"/>
      <c r="H70" s="20"/>
      <c r="I70" s="20"/>
      <c r="J70" s="20"/>
      <c r="K70" s="20"/>
      <c r="L70" s="24"/>
      <c r="M70" s="20"/>
      <c r="N70" s="20"/>
      <c r="O70" s="20"/>
      <c r="P70" s="20"/>
      <c r="Q70" s="20"/>
      <c r="R70" s="20"/>
      <c r="S70" s="20"/>
    </row>
    <row r="71" spans="1:34" ht="15.75" thickTop="1">
      <c r="A71" s="1169"/>
      <c r="B71" s="1307"/>
      <c r="C71" s="1276"/>
      <c r="D71" s="1290"/>
      <c r="E71" s="1220"/>
      <c r="F71" s="1220"/>
      <c r="G71" s="1170"/>
      <c r="H71" s="1172"/>
      <c r="I71" s="1172"/>
      <c r="J71" s="1172"/>
      <c r="K71" s="1172"/>
      <c r="L71" s="1171"/>
      <c r="M71" s="1172"/>
      <c r="N71" s="1172"/>
      <c r="O71" s="1172"/>
      <c r="P71" s="1172"/>
      <c r="Q71" s="1172"/>
      <c r="R71" s="1172"/>
      <c r="S71" s="1172"/>
    </row>
    <row r="72" spans="1:34">
      <c r="A72" s="1169"/>
      <c r="B72" s="1307"/>
      <c r="C72" s="1276"/>
      <c r="D72" s="1290"/>
      <c r="E72" s="1220"/>
      <c r="F72" s="1220"/>
      <c r="G72" s="1170"/>
      <c r="H72" s="1172"/>
      <c r="I72" s="1172"/>
      <c r="J72" s="1172"/>
      <c r="K72" s="1172"/>
      <c r="L72" s="1171"/>
      <c r="M72" s="1172"/>
      <c r="N72" s="1172"/>
      <c r="O72" s="1172"/>
      <c r="P72" s="1172"/>
      <c r="Q72" s="1172"/>
      <c r="R72" s="1172"/>
      <c r="S72" s="1172"/>
    </row>
    <row r="73" spans="1:34" ht="15.75" thickBot="1">
      <c r="A73" s="1169"/>
      <c r="B73" s="1307"/>
      <c r="C73" s="1276"/>
      <c r="D73" s="1290"/>
      <c r="E73" s="1220"/>
      <c r="F73" s="1220"/>
      <c r="G73" s="1170"/>
      <c r="H73" s="1172"/>
      <c r="I73" s="1172"/>
      <c r="J73" s="1172"/>
      <c r="K73" s="1172"/>
      <c r="L73" s="1171"/>
      <c r="M73" s="1172"/>
      <c r="N73" s="1172"/>
      <c r="O73" s="1172"/>
      <c r="P73" s="1172"/>
      <c r="Q73" s="1172"/>
      <c r="R73" s="1172"/>
      <c r="S73" s="1172"/>
    </row>
    <row r="74" spans="1:34" s="2" customFormat="1" ht="16.5" thickTop="1" thickBot="1">
      <c r="A74" s="2331" t="s">
        <v>760</v>
      </c>
      <c r="B74" s="2332"/>
      <c r="C74" s="298"/>
      <c r="D74" s="572"/>
      <c r="E74" s="12"/>
      <c r="F74" s="12"/>
      <c r="G74" s="26"/>
      <c r="H74" s="20"/>
      <c r="I74" s="20"/>
      <c r="J74" s="20"/>
      <c r="K74" s="20"/>
      <c r="L74" s="24"/>
      <c r="M74" s="20"/>
      <c r="N74" s="20"/>
      <c r="O74" s="20"/>
      <c r="P74" s="20"/>
      <c r="Q74" s="20"/>
      <c r="R74" s="20"/>
      <c r="S74" s="20"/>
      <c r="T74"/>
      <c r="U74"/>
      <c r="V74"/>
      <c r="W74"/>
      <c r="X74"/>
      <c r="Y74"/>
      <c r="Z74"/>
      <c r="AA74"/>
      <c r="AB74"/>
      <c r="AC74"/>
      <c r="AD74"/>
      <c r="AE74"/>
      <c r="AF74"/>
      <c r="AG74"/>
      <c r="AH74"/>
    </row>
    <row r="75" spans="1:34" s="2" customFormat="1" ht="15.75" thickTop="1">
      <c r="A75" s="1169"/>
      <c r="B75" s="1307"/>
      <c r="C75" s="1276"/>
      <c r="D75" s="1290"/>
      <c r="E75" s="1220"/>
      <c r="F75" s="1220"/>
      <c r="G75" s="1170"/>
      <c r="H75" s="1172"/>
      <c r="I75" s="1172"/>
      <c r="J75" s="1172"/>
      <c r="K75" s="1172"/>
      <c r="L75" s="1171"/>
      <c r="M75" s="1172"/>
      <c r="N75" s="1172"/>
      <c r="O75" s="1172"/>
      <c r="P75" s="1172"/>
      <c r="Q75" s="1172"/>
      <c r="R75" s="1172"/>
      <c r="S75" s="1172"/>
      <c r="T75"/>
      <c r="U75"/>
      <c r="V75"/>
      <c r="W75"/>
      <c r="X75"/>
      <c r="Y75"/>
      <c r="Z75"/>
      <c r="AA75"/>
      <c r="AB75"/>
      <c r="AC75"/>
      <c r="AD75"/>
      <c r="AE75"/>
      <c r="AF75"/>
      <c r="AG75"/>
      <c r="AH75"/>
    </row>
    <row r="76" spans="1:34" s="2" customFormat="1">
      <c r="A76" s="1169"/>
      <c r="B76" s="1307"/>
      <c r="C76" s="1276"/>
      <c r="D76" s="1290"/>
      <c r="E76" s="1220"/>
      <c r="F76" s="1220"/>
      <c r="G76" s="1170"/>
      <c r="H76" s="1172"/>
      <c r="I76" s="1172"/>
      <c r="J76" s="1172"/>
      <c r="K76" s="1172"/>
      <c r="L76" s="1171"/>
      <c r="M76" s="1172"/>
      <c r="N76" s="1172"/>
      <c r="O76" s="1172"/>
      <c r="P76" s="1172"/>
      <c r="Q76" s="1172"/>
      <c r="R76" s="1172"/>
      <c r="S76" s="1172"/>
      <c r="T76"/>
      <c r="U76"/>
      <c r="V76"/>
      <c r="W76"/>
      <c r="X76"/>
      <c r="Y76"/>
      <c r="Z76"/>
      <c r="AA76"/>
      <c r="AB76"/>
      <c r="AC76"/>
      <c r="AD76"/>
      <c r="AE76"/>
      <c r="AF76"/>
      <c r="AG76"/>
      <c r="AH76"/>
    </row>
    <row r="77" spans="1:34" ht="15.75" thickBot="1">
      <c r="A77" s="1169"/>
      <c r="B77" s="1307"/>
      <c r="C77" s="1276"/>
      <c r="D77" s="1290"/>
      <c r="E77" s="1220"/>
      <c r="F77" s="1220"/>
      <c r="G77" s="1170"/>
      <c r="H77" s="1172"/>
      <c r="I77" s="1172"/>
      <c r="J77" s="1172"/>
      <c r="K77" s="1172"/>
      <c r="L77" s="1171"/>
      <c r="M77" s="1172"/>
      <c r="N77" s="1172"/>
      <c r="O77" s="1172"/>
      <c r="P77" s="1172"/>
      <c r="Q77" s="1172"/>
      <c r="R77" s="1172"/>
      <c r="S77" s="1172"/>
    </row>
    <row r="78" spans="1:34" s="2" customFormat="1" ht="16.5" thickTop="1" thickBot="1">
      <c r="A78" s="2331" t="s">
        <v>761</v>
      </c>
      <c r="B78" s="2332"/>
      <c r="C78" s="298"/>
      <c r="D78" s="572"/>
      <c r="E78" s="12"/>
      <c r="F78" s="12"/>
      <c r="G78" s="26"/>
      <c r="H78" s="20"/>
      <c r="I78" s="20"/>
      <c r="J78" s="20"/>
      <c r="K78" s="20"/>
      <c r="L78" s="24"/>
      <c r="M78" s="20"/>
      <c r="N78" s="20"/>
      <c r="O78" s="20"/>
      <c r="P78" s="20"/>
      <c r="Q78" s="20"/>
      <c r="R78" s="20"/>
      <c r="S78" s="20"/>
      <c r="T78"/>
      <c r="U78"/>
      <c r="V78"/>
      <c r="W78"/>
      <c r="X78"/>
      <c r="Y78"/>
      <c r="Z78"/>
      <c r="AA78"/>
      <c r="AB78"/>
      <c r="AC78"/>
      <c r="AD78"/>
      <c r="AE78"/>
      <c r="AF78"/>
      <c r="AG78"/>
      <c r="AH78"/>
    </row>
    <row r="79" spans="1:34" s="2" customFormat="1" ht="15.75" thickTop="1">
      <c r="A79" s="1169"/>
      <c r="B79" s="1307" t="s">
        <v>1067</v>
      </c>
      <c r="C79" s="1276"/>
      <c r="D79" s="1290"/>
      <c r="E79" s="1220"/>
      <c r="F79" s="1220"/>
      <c r="G79" s="1170"/>
      <c r="H79" s="1264" t="s">
        <v>727</v>
      </c>
      <c r="I79" s="1172">
        <v>403683.72</v>
      </c>
      <c r="J79" s="1264" t="s">
        <v>727</v>
      </c>
      <c r="K79" s="1172">
        <v>930415</v>
      </c>
      <c r="L79" s="1264" t="s">
        <v>727</v>
      </c>
      <c r="M79" s="1172">
        <v>417300</v>
      </c>
      <c r="N79" s="1264" t="s">
        <v>727</v>
      </c>
      <c r="O79" s="1172">
        <v>1092168</v>
      </c>
      <c r="P79" s="1264" t="s">
        <v>727</v>
      </c>
      <c r="Q79" s="1172">
        <v>212610</v>
      </c>
      <c r="R79" s="1172"/>
      <c r="S79" s="1172"/>
      <c r="T79"/>
      <c r="U79"/>
      <c r="V79"/>
      <c r="W79"/>
      <c r="X79"/>
      <c r="Y79"/>
      <c r="Z79"/>
      <c r="AA79"/>
      <c r="AB79"/>
      <c r="AC79"/>
      <c r="AD79"/>
      <c r="AE79"/>
      <c r="AF79"/>
      <c r="AG79"/>
      <c r="AH79"/>
    </row>
    <row r="80" spans="1:34" s="2" customFormat="1">
      <c r="A80" s="1124"/>
      <c r="B80" s="1307"/>
      <c r="C80" s="415"/>
      <c r="D80" s="567"/>
      <c r="E80" s="422"/>
      <c r="F80" s="422"/>
      <c r="G80" s="831"/>
      <c r="H80" s="1125"/>
      <c r="I80" s="1125"/>
      <c r="J80" s="1125"/>
      <c r="K80" s="1125"/>
      <c r="L80" s="440"/>
      <c r="M80" s="1125"/>
      <c r="N80" s="1125"/>
      <c r="O80" s="1125"/>
      <c r="P80" s="1125"/>
      <c r="Q80" s="1125"/>
      <c r="R80" s="1125"/>
      <c r="S80" s="1125"/>
      <c r="T80"/>
      <c r="U80"/>
      <c r="V80"/>
      <c r="W80"/>
      <c r="X80"/>
      <c r="Y80"/>
      <c r="Z80"/>
      <c r="AA80"/>
      <c r="AB80"/>
      <c r="AC80"/>
      <c r="AD80"/>
      <c r="AE80"/>
      <c r="AF80"/>
      <c r="AG80"/>
      <c r="AH80"/>
    </row>
    <row r="81" spans="1:34" s="2" customFormat="1" ht="15.75" thickBot="1">
      <c r="A81" s="1126"/>
      <c r="B81" s="1127"/>
      <c r="C81" s="415"/>
      <c r="D81" s="567"/>
      <c r="E81" s="422"/>
      <c r="F81" s="422"/>
      <c r="G81" s="831"/>
      <c r="H81" s="1128"/>
      <c r="I81" s="1128"/>
      <c r="J81" s="1128"/>
      <c r="K81" s="1128"/>
      <c r="L81" s="441"/>
      <c r="M81" s="1128"/>
      <c r="N81" s="1128"/>
      <c r="O81" s="1128"/>
      <c r="P81" s="1128"/>
      <c r="Q81" s="1128"/>
      <c r="R81" s="1128"/>
      <c r="S81" s="1128"/>
    </row>
    <row r="82" spans="1:34" s="2" customFormat="1" ht="16.5" thickTop="1" thickBot="1">
      <c r="A82" s="2331" t="s">
        <v>762</v>
      </c>
      <c r="B82" s="2332"/>
      <c r="C82" s="298"/>
      <c r="D82" s="572"/>
      <c r="E82" s="12"/>
      <c r="F82" s="12"/>
      <c r="G82" s="26"/>
      <c r="H82" s="20"/>
      <c r="I82" s="20"/>
      <c r="J82" s="20"/>
      <c r="K82" s="20"/>
      <c r="L82" s="24"/>
      <c r="M82" s="20"/>
      <c r="N82" s="20"/>
      <c r="O82" s="20"/>
      <c r="P82" s="20"/>
      <c r="Q82" s="20"/>
      <c r="R82" s="20"/>
      <c r="S82" s="20"/>
      <c r="T82"/>
      <c r="U82"/>
      <c r="V82"/>
      <c r="W82"/>
      <c r="X82"/>
      <c r="Y82"/>
      <c r="Z82"/>
      <c r="AA82"/>
      <c r="AB82"/>
      <c r="AC82"/>
      <c r="AD82"/>
      <c r="AE82"/>
      <c r="AF82"/>
      <c r="AG82"/>
      <c r="AH82"/>
    </row>
    <row r="83" spans="1:34" ht="15.75" thickTop="1">
      <c r="A83" s="1176"/>
      <c r="B83" s="1177"/>
      <c r="C83" s="1276"/>
      <c r="D83" s="1290"/>
      <c r="E83" s="1220"/>
      <c r="F83" s="1220"/>
      <c r="G83" s="1170"/>
      <c r="H83" s="1172"/>
      <c r="I83" s="1172"/>
      <c r="J83" s="1172"/>
      <c r="K83" s="1172"/>
      <c r="L83" s="1171"/>
      <c r="M83" s="1172"/>
      <c r="N83" s="1172"/>
      <c r="O83" s="1172"/>
      <c r="P83" s="1172"/>
      <c r="Q83" s="1172"/>
      <c r="R83" s="1172"/>
      <c r="S83" s="1172"/>
      <c r="T83" s="2"/>
      <c r="U83" s="2"/>
      <c r="V83" s="2"/>
      <c r="W83" s="2"/>
      <c r="X83" s="2"/>
      <c r="Y83" s="2"/>
      <c r="Z83" s="2"/>
      <c r="AA83" s="2"/>
      <c r="AB83" s="2"/>
      <c r="AC83" s="2"/>
      <c r="AD83" s="2"/>
      <c r="AE83" s="2"/>
      <c r="AF83" s="2"/>
      <c r="AG83" s="2"/>
      <c r="AH83" s="2"/>
    </row>
    <row r="84" spans="1:34">
      <c r="A84" s="1126"/>
      <c r="B84" s="1127"/>
      <c r="C84" s="415"/>
      <c r="D84" s="567"/>
      <c r="E84" s="422"/>
      <c r="F84" s="422"/>
      <c r="G84" s="831"/>
      <c r="H84" s="1131"/>
      <c r="I84" s="1131"/>
      <c r="J84" s="1131"/>
      <c r="K84" s="1131"/>
      <c r="L84" s="442"/>
      <c r="M84" s="1131"/>
      <c r="N84" s="1131"/>
      <c r="O84" s="1131"/>
      <c r="P84" s="1131"/>
      <c r="Q84" s="1131"/>
      <c r="R84" s="1131"/>
      <c r="S84" s="1131"/>
      <c r="T84" s="2"/>
      <c r="U84" s="2"/>
      <c r="V84" s="2"/>
      <c r="W84" s="2"/>
      <c r="X84" s="2"/>
      <c r="Y84" s="2"/>
      <c r="Z84" s="2"/>
      <c r="AA84" s="2"/>
      <c r="AB84" s="2"/>
      <c r="AC84" s="2"/>
      <c r="AD84" s="2"/>
      <c r="AE84" s="2"/>
      <c r="AF84" s="2"/>
      <c r="AG84" s="2"/>
      <c r="AH84" s="2"/>
    </row>
    <row r="85" spans="1:34" ht="15.75" thickBot="1">
      <c r="A85" s="1126"/>
      <c r="B85" s="1127"/>
      <c r="C85" s="415"/>
      <c r="D85" s="567"/>
      <c r="E85" s="422"/>
      <c r="F85" s="422"/>
      <c r="G85" s="831"/>
      <c r="H85" s="1131"/>
      <c r="I85" s="1131"/>
      <c r="J85" s="1131"/>
      <c r="K85" s="1131"/>
      <c r="L85" s="442"/>
      <c r="M85" s="1131"/>
      <c r="N85" s="1131"/>
      <c r="O85" s="1131"/>
      <c r="P85" s="1131"/>
      <c r="Q85" s="1131"/>
      <c r="R85" s="1131"/>
      <c r="S85" s="1131"/>
      <c r="T85" s="2"/>
      <c r="U85" s="2"/>
      <c r="V85" s="2"/>
      <c r="W85" s="2"/>
      <c r="X85" s="2"/>
      <c r="Y85" s="2"/>
      <c r="Z85" s="2"/>
      <c r="AA85" s="2"/>
      <c r="AB85" s="2"/>
      <c r="AC85" s="2"/>
      <c r="AD85" s="2"/>
      <c r="AE85" s="2"/>
      <c r="AF85" s="2"/>
      <c r="AG85" s="2"/>
      <c r="AH85" s="2"/>
    </row>
    <row r="86" spans="1:34" ht="16.5" thickTop="1" thickBot="1">
      <c r="A86" s="2331" t="s">
        <v>763</v>
      </c>
      <c r="B86" s="2332"/>
      <c r="C86" s="298"/>
      <c r="D86" s="572"/>
      <c r="E86" s="12"/>
      <c r="F86" s="12"/>
      <c r="G86" s="26"/>
      <c r="H86" s="20"/>
      <c r="I86" s="20"/>
      <c r="J86" s="20"/>
      <c r="K86" s="20"/>
      <c r="L86" s="24"/>
      <c r="M86" s="20"/>
      <c r="N86" s="20"/>
      <c r="O86" s="20"/>
      <c r="P86" s="20"/>
      <c r="Q86" s="20"/>
      <c r="R86" s="20"/>
      <c r="S86" s="20"/>
    </row>
    <row r="87" spans="1:34" ht="15.75" thickTop="1">
      <c r="A87" s="1124"/>
      <c r="B87" s="1307" t="s">
        <v>764</v>
      </c>
      <c r="C87" s="415"/>
      <c r="D87" s="567"/>
      <c r="E87" s="422"/>
      <c r="F87" s="422"/>
      <c r="G87" s="831"/>
      <c r="H87" s="1131"/>
      <c r="I87" s="1131"/>
      <c r="J87" s="1131"/>
      <c r="K87" s="1131"/>
      <c r="L87" s="442"/>
      <c r="M87" s="1131"/>
      <c r="N87" s="1131"/>
      <c r="O87" s="1131"/>
      <c r="P87" s="1131"/>
      <c r="Q87" s="1131"/>
      <c r="R87" s="1131"/>
      <c r="S87" s="1131"/>
    </row>
    <row r="88" spans="1:34">
      <c r="A88" s="1124"/>
      <c r="B88" s="1307" t="s">
        <v>765</v>
      </c>
      <c r="C88" s="415"/>
      <c r="D88" s="567"/>
      <c r="E88" s="422"/>
      <c r="F88" s="422"/>
      <c r="G88" s="831"/>
      <c r="H88" s="1131"/>
      <c r="I88" s="1131"/>
      <c r="J88" s="1131"/>
      <c r="K88" s="1131"/>
      <c r="L88" s="442"/>
      <c r="M88" s="1131"/>
      <c r="N88" s="1131"/>
      <c r="O88" s="1131"/>
      <c r="P88" s="1131"/>
      <c r="Q88" s="1131"/>
      <c r="R88" s="1131"/>
      <c r="S88" s="1131"/>
    </row>
    <row r="89" spans="1:34">
      <c r="A89" s="1124"/>
      <c r="B89" s="1307" t="s">
        <v>766</v>
      </c>
      <c r="C89" s="415"/>
      <c r="D89" s="567"/>
      <c r="E89" s="422"/>
      <c r="F89" s="422"/>
      <c r="G89" s="831"/>
      <c r="H89" s="1131"/>
      <c r="I89" s="1131"/>
      <c r="J89" s="1131"/>
      <c r="K89" s="1131"/>
      <c r="L89" s="442"/>
      <c r="M89" s="1131"/>
      <c r="N89" s="1131"/>
      <c r="O89" s="1131"/>
      <c r="P89" s="1131"/>
      <c r="Q89" s="1131"/>
      <c r="R89" s="1131"/>
      <c r="S89" s="1131"/>
    </row>
    <row r="90" spans="1:34">
      <c r="A90" s="1124"/>
      <c r="B90" s="1307" t="s">
        <v>767</v>
      </c>
      <c r="C90" s="415"/>
      <c r="D90" s="567"/>
      <c r="E90" s="422"/>
      <c r="F90" s="422"/>
      <c r="G90" s="831"/>
      <c r="H90" s="1131"/>
      <c r="I90" s="1131"/>
      <c r="J90" s="1131"/>
      <c r="K90" s="1131"/>
      <c r="L90" s="442"/>
      <c r="M90" s="1131"/>
      <c r="N90" s="1131"/>
      <c r="O90" s="1131"/>
      <c r="P90" s="1131"/>
      <c r="Q90" s="1131"/>
      <c r="R90" s="1131"/>
      <c r="S90" s="1131"/>
    </row>
    <row r="91" spans="1:34" ht="15.75" thickBot="1">
      <c r="A91" s="443"/>
      <c r="B91" s="421"/>
      <c r="C91" s="23"/>
      <c r="D91" s="569"/>
      <c r="E91" s="86"/>
      <c r="F91" s="86"/>
      <c r="G91" s="27"/>
      <c r="H91" s="444"/>
      <c r="I91" s="444"/>
      <c r="J91" s="444"/>
      <c r="K91" s="444"/>
      <c r="L91" s="25"/>
      <c r="M91" s="444"/>
      <c r="N91" s="444"/>
      <c r="O91" s="444"/>
      <c r="P91" s="444"/>
      <c r="Q91" s="444"/>
      <c r="R91" s="444"/>
      <c r="S91" s="444"/>
    </row>
    <row r="92" spans="1:34" ht="16.5" thickTop="1" thickBot="1">
      <c r="A92" s="72" t="s">
        <v>768</v>
      </c>
      <c r="B92" s="73"/>
      <c r="C92" s="298"/>
      <c r="D92" s="572"/>
      <c r="E92" s="12"/>
      <c r="F92" s="12"/>
      <c r="G92" s="26"/>
      <c r="H92" s="20"/>
      <c r="I92" s="20"/>
      <c r="J92" s="20"/>
      <c r="K92" s="20"/>
      <c r="L92" s="24"/>
      <c r="M92" s="20"/>
      <c r="N92" s="20"/>
      <c r="O92" s="20"/>
      <c r="P92" s="20"/>
      <c r="Q92" s="20"/>
      <c r="R92" s="20"/>
      <c r="S92" s="20"/>
    </row>
    <row r="93" spans="1:34" ht="15.75" thickTop="1">
      <c r="A93" s="1169"/>
      <c r="B93" s="1179" t="s">
        <v>769</v>
      </c>
      <c r="C93" s="1276"/>
      <c r="D93" s="1290"/>
      <c r="E93" s="1220"/>
      <c r="F93" s="1220"/>
      <c r="G93" s="1170"/>
      <c r="H93" s="1181"/>
      <c r="I93" s="1181"/>
      <c r="J93" s="1181"/>
      <c r="K93" s="1181"/>
      <c r="L93" s="1180"/>
      <c r="M93" s="1181"/>
      <c r="N93" s="1181"/>
      <c r="O93" s="1181"/>
      <c r="P93" s="1181"/>
      <c r="Q93" s="1181"/>
      <c r="R93" s="1181"/>
      <c r="S93" s="1181"/>
    </row>
    <row r="94" spans="1:34">
      <c r="A94" s="1124"/>
      <c r="B94" s="1307" t="s">
        <v>770</v>
      </c>
      <c r="C94" s="415"/>
      <c r="D94" s="567"/>
      <c r="E94" s="422"/>
      <c r="F94" s="422"/>
      <c r="G94" s="831"/>
      <c r="H94" s="1135"/>
      <c r="I94" s="1135"/>
      <c r="J94" s="1135"/>
      <c r="K94" s="1135"/>
      <c r="L94" s="445"/>
      <c r="M94" s="1135"/>
      <c r="N94" s="1135"/>
      <c r="O94" s="1135"/>
      <c r="P94" s="1135"/>
      <c r="Q94" s="1135"/>
      <c r="R94" s="1135"/>
      <c r="S94" s="1135"/>
    </row>
    <row r="95" spans="1:34" ht="15.75" thickBot="1">
      <c r="A95" s="1308"/>
      <c r="B95" s="1136" t="s">
        <v>771</v>
      </c>
      <c r="C95" s="935"/>
      <c r="D95" s="1309"/>
      <c r="E95" s="938"/>
      <c r="F95" s="938"/>
      <c r="G95" s="939"/>
      <c r="H95" s="1140"/>
      <c r="I95" s="1140"/>
      <c r="J95" s="1140"/>
      <c r="K95" s="1140"/>
      <c r="L95" s="940"/>
      <c r="M95" s="1140"/>
      <c r="N95" s="1140"/>
      <c r="O95" s="1140"/>
      <c r="P95" s="1140"/>
      <c r="Q95" s="1140"/>
      <c r="R95" s="1140"/>
      <c r="S95" s="1140"/>
    </row>
    <row r="96" spans="1:34" ht="16.5" thickTop="1" thickBot="1">
      <c r="F96" s="2"/>
      <c r="G96" s="2"/>
      <c r="H96" s="2"/>
      <c r="I96" s="2"/>
      <c r="J96" s="2"/>
      <c r="K96" s="2"/>
      <c r="L96" s="2"/>
      <c r="M96" s="2"/>
      <c r="N96" s="2"/>
      <c r="O96" s="2"/>
      <c r="P96" s="2"/>
      <c r="Q96" s="2"/>
      <c r="R96" s="2"/>
      <c r="S96" s="2"/>
    </row>
    <row r="97" spans="1:19" ht="16.5" thickTop="1" thickBot="1">
      <c r="A97" s="37" t="s">
        <v>772</v>
      </c>
      <c r="B97" s="39"/>
      <c r="F97" s="2"/>
      <c r="G97" s="2"/>
      <c r="H97" s="2"/>
      <c r="I97" s="2"/>
      <c r="J97" s="2"/>
      <c r="K97" s="2"/>
      <c r="L97" s="2"/>
      <c r="M97" s="2"/>
      <c r="N97" s="2"/>
      <c r="O97" s="2"/>
      <c r="P97" s="2"/>
      <c r="Q97" s="2"/>
      <c r="R97" s="2"/>
      <c r="S97" s="2"/>
    </row>
    <row r="98" spans="1:19" ht="15.75" thickTop="1">
      <c r="A98" s="38" t="s">
        <v>693</v>
      </c>
      <c r="B98" s="941" t="str">
        <f>H5</f>
        <v>Pilar Welding</v>
      </c>
      <c r="F98" s="2"/>
      <c r="G98" s="2"/>
      <c r="H98" s="2"/>
      <c r="I98" s="2"/>
      <c r="J98" s="2"/>
      <c r="K98" s="2"/>
      <c r="L98" s="2"/>
      <c r="M98" s="2"/>
      <c r="N98" s="2"/>
      <c r="O98" s="2"/>
      <c r="P98" s="2"/>
      <c r="Q98" s="2"/>
      <c r="R98" s="2"/>
      <c r="S98" s="2"/>
    </row>
    <row r="99" spans="1:19">
      <c r="A99" s="1142" t="s">
        <v>702</v>
      </c>
      <c r="B99" s="941" t="str">
        <f>H6</f>
        <v>Estimating</v>
      </c>
      <c r="F99" s="2"/>
      <c r="G99" s="2"/>
      <c r="H99" s="2"/>
      <c r="I99" s="2"/>
      <c r="J99" s="2"/>
      <c r="K99" s="2"/>
      <c r="L99" s="2"/>
      <c r="M99" s="2"/>
      <c r="N99" s="2"/>
      <c r="O99" s="2"/>
      <c r="P99" s="2"/>
      <c r="Q99" s="2"/>
      <c r="R99" s="2"/>
      <c r="S99" s="2"/>
    </row>
    <row r="100" spans="1:19">
      <c r="A100" s="942" t="s">
        <v>708</v>
      </c>
      <c r="B100" s="1143" t="str">
        <f>H7</f>
        <v>561-524-9246</v>
      </c>
      <c r="F100" s="2"/>
      <c r="G100" s="2"/>
      <c r="H100" s="2"/>
      <c r="I100" s="2"/>
      <c r="J100" s="2"/>
      <c r="K100" s="2"/>
      <c r="L100" s="2"/>
      <c r="M100" s="2"/>
      <c r="N100" s="2"/>
      <c r="O100" s="2"/>
      <c r="P100" s="2"/>
      <c r="Q100" s="2"/>
      <c r="R100" s="2"/>
      <c r="S100" s="2"/>
    </row>
    <row r="101" spans="1:19">
      <c r="A101" s="942" t="s">
        <v>713</v>
      </c>
      <c r="B101" s="1144" t="str">
        <f>H8</f>
        <v>estimating@pilarwelding.com</v>
      </c>
      <c r="F101" s="2"/>
      <c r="G101" s="2"/>
      <c r="H101" s="2"/>
      <c r="I101" s="2"/>
      <c r="J101" s="2"/>
      <c r="K101" s="2"/>
      <c r="L101" s="2"/>
      <c r="M101" s="2"/>
      <c r="N101" s="2"/>
      <c r="O101" s="2"/>
      <c r="P101" s="2"/>
      <c r="Q101" s="2"/>
      <c r="R101" s="2"/>
      <c r="S101" s="2"/>
    </row>
    <row r="102" spans="1:19" ht="15.75" thickBot="1">
      <c r="A102" s="1145" t="s">
        <v>69</v>
      </c>
      <c r="B102" s="1146">
        <f>H9</f>
        <v>349703.76500000007</v>
      </c>
      <c r="F102" s="2"/>
      <c r="G102" s="2"/>
      <c r="H102" s="2"/>
      <c r="I102" s="2"/>
      <c r="J102" s="2"/>
      <c r="K102" s="2"/>
      <c r="L102" s="2"/>
      <c r="M102" s="2"/>
      <c r="N102" s="2"/>
      <c r="O102" s="2"/>
      <c r="P102" s="2"/>
      <c r="Q102" s="2"/>
      <c r="R102" s="2"/>
      <c r="S102" s="2"/>
    </row>
    <row r="103" spans="1:19" ht="15.75" thickTop="1"/>
  </sheetData>
  <mergeCells count="44">
    <mergeCell ref="P3:Q3"/>
    <mergeCell ref="H3:I3"/>
    <mergeCell ref="L3:M3"/>
    <mergeCell ref="A74:B74"/>
    <mergeCell ref="A78:B78"/>
    <mergeCell ref="J4:K4"/>
    <mergeCell ref="P4:Q4"/>
    <mergeCell ref="H8:I8"/>
    <mergeCell ref="J8:K8"/>
    <mergeCell ref="L5:M5"/>
    <mergeCell ref="L6:M6"/>
    <mergeCell ref="L7:M7"/>
    <mergeCell ref="J5:K5"/>
    <mergeCell ref="J6:K6"/>
    <mergeCell ref="J7:K7"/>
    <mergeCell ref="P5:Q5"/>
    <mergeCell ref="A82:B82"/>
    <mergeCell ref="A86:B86"/>
    <mergeCell ref="L8:M8"/>
    <mergeCell ref="R4:S4"/>
    <mergeCell ref="R5:S5"/>
    <mergeCell ref="H5:I5"/>
    <mergeCell ref="R6:S6"/>
    <mergeCell ref="A70:B70"/>
    <mergeCell ref="R7:S7"/>
    <mergeCell ref="P6:Q6"/>
    <mergeCell ref="P7:Q7"/>
    <mergeCell ref="P8:Q8"/>
    <mergeCell ref="R8:S8"/>
    <mergeCell ref="H6:I6"/>
    <mergeCell ref="H7:I7"/>
    <mergeCell ref="L4:M4"/>
    <mergeCell ref="H4:I4"/>
    <mergeCell ref="N8:O8"/>
    <mergeCell ref="N4:O4"/>
    <mergeCell ref="N5:O5"/>
    <mergeCell ref="N6:O6"/>
    <mergeCell ref="N7:O7"/>
    <mergeCell ref="R9:S9"/>
    <mergeCell ref="L9:M9"/>
    <mergeCell ref="J9:K9"/>
    <mergeCell ref="P9:Q9"/>
    <mergeCell ref="H9:I9"/>
    <mergeCell ref="N9:O9"/>
  </mergeCells>
  <conditionalFormatting sqref="H11:H19 J11:J19 L11:L19 N11:N19 P11:P19 R11:R19 H21:H61 J21:J61 L21:L61 N21:N61 P21:P61 R21:R61">
    <cfRule type="cellIs" dxfId="585" priority="23" operator="equal">
      <formula>"X"</formula>
    </cfRule>
    <cfRule type="cellIs" dxfId="584" priority="24" operator="equal">
      <formula>"I"</formula>
    </cfRule>
  </conditionalFormatting>
  <conditionalFormatting sqref="H79">
    <cfRule type="cellIs" dxfId="583" priority="1" operator="equal">
      <formula>"X"</formula>
    </cfRule>
    <cfRule type="cellIs" dxfId="582" priority="2" operator="equal">
      <formula>"I"</formula>
    </cfRule>
  </conditionalFormatting>
  <conditionalFormatting sqref="J79">
    <cfRule type="cellIs" dxfId="581" priority="3" operator="equal">
      <formula>"X"</formula>
    </cfRule>
    <cfRule type="cellIs" dxfId="580" priority="4" operator="equal">
      <formula>"I"</formula>
    </cfRule>
  </conditionalFormatting>
  <conditionalFormatting sqref="L79">
    <cfRule type="cellIs" dxfId="579" priority="7" operator="equal">
      <formula>"X"</formula>
    </cfRule>
    <cfRule type="cellIs" dxfId="578" priority="8" operator="equal">
      <formula>"I"</formula>
    </cfRule>
  </conditionalFormatting>
  <conditionalFormatting sqref="N79">
    <cfRule type="cellIs" dxfId="577" priority="9" operator="equal">
      <formula>"X"</formula>
    </cfRule>
    <cfRule type="cellIs" dxfId="576" priority="10" operator="equal">
      <formula>"I"</formula>
    </cfRule>
  </conditionalFormatting>
  <conditionalFormatting sqref="P79">
    <cfRule type="cellIs" dxfId="575" priority="5" operator="equal">
      <formula>"X"</formula>
    </cfRule>
    <cfRule type="cellIs" dxfId="574" priority="6" operator="equal">
      <formula>"I"</formula>
    </cfRule>
  </conditionalFormatting>
  <hyperlinks>
    <hyperlink ref="B4" location="'Cost Summary'!A1" display="BACK TO SUMMARY SHEET" xr:uid="{91374235-4D89-40FB-8FC6-9BC026930E26}"/>
    <hyperlink ref="L8" r:id="rId1" display="mailto:mavila@panelsandsteel.com" xr:uid="{CAC6C5A6-1BF3-4B64-BF9D-6F894A51C2AE}"/>
    <hyperlink ref="L8:M8" r:id="rId2" display="rgainer@panelsandsteel.com" xr:uid="{289F2EC2-6146-4206-81CB-72EFA1A1D9D9}"/>
    <hyperlink ref="J8:K8" r:id="rId3" display="scott.k@suncor.net" xr:uid="{1506BD05-1C70-41C1-93F1-E99C217DCBA2}"/>
    <hyperlink ref="P8:Q8" r:id="rId4" display="lmontes@coastalmetal.biz" xr:uid="{ECA66AD2-924B-4E62-AFC1-3F398AA79CA5}"/>
    <hyperlink ref="N8:O8" r:id="rId5" display="zt@radaf.com" xr:uid="{2BBE5CB7-BC5E-4C57-B6E3-FD997B749467}"/>
    <hyperlink ref="H8:I8" r:id="rId6" display="estimating@pilarwelding.com" xr:uid="{D90830A9-E8AC-433A-9851-E6D57D99389B}"/>
  </hyperlinks>
  <printOptions horizontalCentered="1"/>
  <pageMargins left="0.7" right="0.7" top="0.75" bottom="0.75" header="0.3" footer="0.3"/>
  <pageSetup scale="57" orientation="portrait" horizontalDpi="300" verticalDpi="300" r:id="rId7"/>
  <legacyDrawing r:id="rId8"/>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784E-E9F9-4035-BD88-B068C0780A74}">
  <sheetPr>
    <tabColor rgb="FFFFC000"/>
  </sheetPr>
  <dimension ref="A1:AS100"/>
  <sheetViews>
    <sheetView zoomScale="90" zoomScaleNormal="90" workbookViewId="0">
      <pane xSplit="2" ySplit="10" topLeftCell="C28" activePane="bottomRight" state="frozen"/>
      <selection pane="topRight" activeCell="C1" sqref="C1"/>
      <selection pane="bottomLeft" activeCell="A11" sqref="A11"/>
      <selection pane="bottomRight" activeCell="G26" sqref="G26:G29"/>
    </sheetView>
  </sheetViews>
  <sheetFormatPr defaultRowHeight="15"/>
  <cols>
    <col min="1" max="1" width="11" customWidth="1"/>
    <col min="2" max="2" width="70.7109375" style="1" customWidth="1"/>
    <col min="3" max="3" width="12.7109375" style="384" customWidth="1"/>
    <col min="4" max="4" width="10.140625" style="2" customWidth="1"/>
    <col min="5" max="5" width="7.7109375" style="2" customWidth="1"/>
    <col min="6" max="6" width="12.7109375" style="281" customWidth="1"/>
    <col min="7" max="7" width="15.7109375" style="270" customWidth="1"/>
    <col min="8" max="8" width="6.7109375" style="270" customWidth="1"/>
    <col min="9" max="9" width="15.7109375" style="270" customWidth="1"/>
    <col min="10" max="10" width="7.7109375" style="270" customWidth="1"/>
    <col min="11" max="11" width="15.7109375" style="270" customWidth="1"/>
    <col min="12" max="12" width="6.5703125" style="270" customWidth="1"/>
    <col min="13" max="13" width="15.7109375" style="270" customWidth="1"/>
    <col min="14" max="14" width="7.5703125" style="270" customWidth="1"/>
    <col min="15" max="15" width="15.7109375" style="270" customWidth="1"/>
    <col min="16" max="16" width="7.7109375" style="270" customWidth="1"/>
    <col min="17" max="17" width="15.7109375" style="270" customWidth="1"/>
    <col min="18" max="18" width="7.7109375" style="270" hidden="1" customWidth="1"/>
    <col min="19" max="19" width="15.7109375" style="270" hidden="1" customWidth="1"/>
    <col min="20" max="20" width="7.7109375" style="270" hidden="1" customWidth="1"/>
    <col min="21" max="21" width="15.7109375" style="270" hidden="1" customWidth="1"/>
    <col min="22" max="22" width="7.7109375" style="270" hidden="1" customWidth="1"/>
    <col min="23" max="23" width="15.7109375" style="270" hidden="1" customWidth="1"/>
    <col min="24" max="27" width="16" customWidth="1"/>
  </cols>
  <sheetData>
    <row r="1" spans="1:28">
      <c r="D1" s="260"/>
      <c r="E1" s="68"/>
      <c r="F1" s="275"/>
      <c r="G1" s="269" t="s">
        <v>679</v>
      </c>
      <c r="AB1" s="261"/>
    </row>
    <row r="2" spans="1:28">
      <c r="D2" s="260"/>
      <c r="E2" s="68"/>
      <c r="F2" s="276" t="s">
        <v>680</v>
      </c>
      <c r="G2" s="269" t="s">
        <v>681</v>
      </c>
      <c r="AB2" s="261"/>
    </row>
    <row r="3" spans="1:28" ht="15.75" customHeight="1" thickBot="1">
      <c r="D3" s="260"/>
      <c r="E3" s="68"/>
      <c r="F3" s="277" t="s">
        <v>682</v>
      </c>
      <c r="G3" s="269" t="s">
        <v>683</v>
      </c>
      <c r="J3" s="2347"/>
      <c r="K3" s="2347"/>
      <c r="P3" s="2345"/>
      <c r="Q3" s="2345"/>
      <c r="AB3" s="261"/>
    </row>
    <row r="4" spans="1:28" ht="15.75" thickBot="1">
      <c r="B4" s="262" t="s">
        <v>684</v>
      </c>
      <c r="D4" s="260"/>
      <c r="E4" s="68"/>
      <c r="F4" s="278"/>
      <c r="G4" s="270" t="s">
        <v>685</v>
      </c>
      <c r="H4" s="2323" t="s">
        <v>686</v>
      </c>
      <c r="I4" s="2323"/>
      <c r="J4" s="2319" t="s">
        <v>687</v>
      </c>
      <c r="K4" s="2319"/>
      <c r="L4" s="2319" t="s">
        <v>688</v>
      </c>
      <c r="M4" s="2319"/>
      <c r="N4" s="2319" t="s">
        <v>1068</v>
      </c>
      <c r="O4" s="2319"/>
      <c r="P4" s="2319" t="s">
        <v>689</v>
      </c>
      <c r="Q4" s="2319"/>
      <c r="R4" s="2319" t="s">
        <v>690</v>
      </c>
      <c r="S4" s="2319"/>
      <c r="T4" s="2319" t="s">
        <v>691</v>
      </c>
      <c r="U4" s="2319"/>
      <c r="V4" s="2319" t="s">
        <v>806</v>
      </c>
      <c r="W4" s="2319"/>
      <c r="AB4" s="261"/>
    </row>
    <row r="5" spans="1:28" ht="15.75" customHeight="1" thickTop="1">
      <c r="A5" s="292" t="s">
        <v>692</v>
      </c>
      <c r="B5" s="299" t="str">
        <f>'Area Calculations'!B4</f>
        <v>ERAU Residential Hall &amp; Garage Building</v>
      </c>
      <c r="C5" s="385"/>
      <c r="D5" s="263"/>
      <c r="E5" s="264"/>
      <c r="F5" s="279"/>
      <c r="G5" s="271" t="s">
        <v>693</v>
      </c>
      <c r="H5" s="2333" t="s">
        <v>996</v>
      </c>
      <c r="I5" s="2334"/>
      <c r="J5" s="2333" t="s">
        <v>1000</v>
      </c>
      <c r="K5" s="2333"/>
      <c r="L5" s="2333" t="s">
        <v>998</v>
      </c>
      <c r="M5" s="2333"/>
      <c r="N5" s="2333" t="s">
        <v>1069</v>
      </c>
      <c r="O5" s="2333"/>
      <c r="P5" s="2333" t="s">
        <v>1070</v>
      </c>
      <c r="Q5" s="2333"/>
      <c r="R5" s="2333" t="s">
        <v>996</v>
      </c>
      <c r="S5" s="2333"/>
      <c r="T5" s="2333" t="s">
        <v>999</v>
      </c>
      <c r="U5" s="2334"/>
      <c r="V5" s="2333" t="s">
        <v>1071</v>
      </c>
      <c r="W5" s="2333"/>
      <c r="AB5" s="261"/>
    </row>
    <row r="6" spans="1:28">
      <c r="A6" s="1082" t="s">
        <v>700</v>
      </c>
      <c r="B6" s="1083" t="s">
        <v>300</v>
      </c>
      <c r="C6" s="457"/>
      <c r="D6" s="416"/>
      <c r="E6" s="417"/>
      <c r="F6" s="418"/>
      <c r="G6" s="419" t="s">
        <v>702</v>
      </c>
      <c r="H6" s="2313" t="s">
        <v>1002</v>
      </c>
      <c r="I6" s="2314"/>
      <c r="J6" s="2313" t="s">
        <v>1006</v>
      </c>
      <c r="K6" s="2313"/>
      <c r="L6" s="2313" t="s">
        <v>1004</v>
      </c>
      <c r="M6" s="2313"/>
      <c r="N6" s="2313" t="s">
        <v>1002</v>
      </c>
      <c r="O6" s="2313"/>
      <c r="P6" s="2313" t="s">
        <v>1072</v>
      </c>
      <c r="Q6" s="2313"/>
      <c r="R6" s="2313" t="s">
        <v>1073</v>
      </c>
      <c r="S6" s="2313"/>
      <c r="T6" s="2313" t="s">
        <v>1005</v>
      </c>
      <c r="U6" s="2314"/>
      <c r="V6" s="2313" t="s">
        <v>1074</v>
      </c>
      <c r="W6" s="2313"/>
      <c r="AB6" s="261"/>
    </row>
    <row r="7" spans="1:28">
      <c r="A7" s="1082" t="s">
        <v>706</v>
      </c>
      <c r="B7" s="1084" t="s">
        <v>299</v>
      </c>
      <c r="C7" s="457"/>
      <c r="D7" s="416"/>
      <c r="E7" s="417"/>
      <c r="F7" s="418"/>
      <c r="G7" s="829" t="s">
        <v>708</v>
      </c>
      <c r="H7" s="2313" t="s">
        <v>1008</v>
      </c>
      <c r="I7" s="2314"/>
      <c r="J7" s="2313" t="s">
        <v>1075</v>
      </c>
      <c r="K7" s="2313"/>
      <c r="L7" s="2313" t="s">
        <v>1010</v>
      </c>
      <c r="M7" s="2313"/>
      <c r="N7" s="2313" t="s">
        <v>1076</v>
      </c>
      <c r="O7" s="2313"/>
      <c r="P7" s="2313" t="s">
        <v>1077</v>
      </c>
      <c r="Q7" s="2313"/>
      <c r="R7" s="2313" t="s">
        <v>1008</v>
      </c>
      <c r="S7" s="2313"/>
      <c r="T7" s="2313" t="s">
        <v>1011</v>
      </c>
      <c r="U7" s="2314"/>
      <c r="V7" s="2313" t="s">
        <v>1078</v>
      </c>
      <c r="W7" s="2313"/>
      <c r="AB7" s="261"/>
    </row>
    <row r="8" spans="1:28">
      <c r="A8" s="1082" t="s">
        <v>712</v>
      </c>
      <c r="B8" s="1085"/>
      <c r="C8" s="457"/>
      <c r="D8" s="416"/>
      <c r="E8" s="417"/>
      <c r="F8" s="418"/>
      <c r="G8" s="829" t="s">
        <v>713</v>
      </c>
      <c r="H8" s="2327" t="s">
        <v>1013</v>
      </c>
      <c r="I8" s="2346"/>
      <c r="J8" s="2327" t="s">
        <v>1079</v>
      </c>
      <c r="K8" s="2327"/>
      <c r="L8" s="2343" t="s">
        <v>1015</v>
      </c>
      <c r="M8" s="2343"/>
      <c r="N8" s="2343" t="s">
        <v>1080</v>
      </c>
      <c r="O8" s="2343"/>
      <c r="P8" s="2327" t="s">
        <v>1081</v>
      </c>
      <c r="Q8" s="2327"/>
      <c r="R8" s="2343" t="s">
        <v>1082</v>
      </c>
      <c r="S8" s="2343"/>
      <c r="T8" s="2343" t="s">
        <v>1016</v>
      </c>
      <c r="U8" s="2344"/>
      <c r="V8" s="2343" t="s">
        <v>1083</v>
      </c>
      <c r="W8" s="2343"/>
      <c r="AB8" s="261"/>
    </row>
    <row r="9" spans="1:28" ht="15.75" thickBot="1">
      <c r="A9" s="420"/>
      <c r="B9" s="421"/>
      <c r="C9" s="377"/>
      <c r="D9" s="265"/>
      <c r="E9" s="266"/>
      <c r="F9" s="283"/>
      <c r="G9" s="284" t="s">
        <v>717</v>
      </c>
      <c r="H9" s="2317">
        <f>I63</f>
        <v>334591.49000000005</v>
      </c>
      <c r="I9" s="2317"/>
      <c r="J9" s="2317">
        <f>K63</f>
        <v>458856</v>
      </c>
      <c r="K9" s="2317"/>
      <c r="L9" s="2317">
        <f>M63</f>
        <v>486855</v>
      </c>
      <c r="M9" s="2317"/>
      <c r="N9" s="2317">
        <f>O63</f>
        <v>474707</v>
      </c>
      <c r="O9" s="2317"/>
      <c r="P9" s="2317">
        <f>Q63</f>
        <v>760591</v>
      </c>
      <c r="Q9" s="2317"/>
      <c r="R9" s="2330">
        <f>S63</f>
        <v>0</v>
      </c>
      <c r="S9" s="2330"/>
      <c r="T9" s="2317">
        <f>U63</f>
        <v>303840</v>
      </c>
      <c r="U9" s="2317"/>
      <c r="V9" s="2317">
        <f>W63</f>
        <v>0</v>
      </c>
      <c r="W9" s="2317"/>
      <c r="AB9" s="261"/>
    </row>
    <row r="10" spans="1:28" s="267" customFormat="1" ht="32.1" customHeight="1" thickBot="1">
      <c r="A10" s="293"/>
      <c r="B10" s="300"/>
      <c r="C10" s="386" t="s">
        <v>718</v>
      </c>
      <c r="D10" s="287" t="s">
        <v>719</v>
      </c>
      <c r="E10" s="286" t="s">
        <v>720</v>
      </c>
      <c r="F10" s="288" t="s">
        <v>721</v>
      </c>
      <c r="G10" s="289" t="s">
        <v>722</v>
      </c>
      <c r="H10" s="650"/>
      <c r="I10" s="650"/>
      <c r="J10" s="290" t="s">
        <v>723</v>
      </c>
      <c r="K10" s="290" t="s">
        <v>724</v>
      </c>
      <c r="L10" s="290" t="s">
        <v>723</v>
      </c>
      <c r="M10" s="291" t="s">
        <v>724</v>
      </c>
      <c r="N10" s="290" t="s">
        <v>723</v>
      </c>
      <c r="O10" s="291" t="s">
        <v>724</v>
      </c>
      <c r="P10" s="290" t="s">
        <v>723</v>
      </c>
      <c r="Q10" s="290" t="s">
        <v>724</v>
      </c>
      <c r="R10" s="290" t="s">
        <v>723</v>
      </c>
      <c r="S10" s="290" t="s">
        <v>724</v>
      </c>
      <c r="T10" s="290" t="s">
        <v>723</v>
      </c>
      <c r="U10" s="290" t="s">
        <v>724</v>
      </c>
      <c r="V10" s="290" t="s">
        <v>723</v>
      </c>
      <c r="W10" s="291" t="s">
        <v>724</v>
      </c>
      <c r="AB10" s="268"/>
    </row>
    <row r="11" spans="1:28" ht="15.75">
      <c r="A11" s="1086"/>
      <c r="B11" s="1260" t="s">
        <v>725</v>
      </c>
      <c r="C11" s="1310"/>
      <c r="D11" s="1089"/>
      <c r="E11" s="1089"/>
      <c r="F11" s="1090"/>
      <c r="G11" s="1091"/>
      <c r="H11" s="1093"/>
      <c r="I11" s="1093"/>
      <c r="J11" s="1262"/>
      <c r="K11" s="1094"/>
      <c r="L11" s="1262"/>
      <c r="M11" s="1093"/>
      <c r="N11" s="1262"/>
      <c r="O11" s="1093"/>
      <c r="P11" s="1262"/>
      <c r="Q11" s="285"/>
      <c r="R11" s="1262"/>
      <c r="S11" s="1093"/>
      <c r="T11" s="1262"/>
      <c r="U11" s="1093"/>
      <c r="V11" s="1262"/>
      <c r="W11" s="1093"/>
    </row>
    <row r="12" spans="1:28">
      <c r="A12" s="1086"/>
      <c r="B12" s="1151" t="s">
        <v>726</v>
      </c>
      <c r="C12" s="458"/>
      <c r="D12" s="422"/>
      <c r="E12" s="422"/>
      <c r="F12" s="418"/>
      <c r="G12" s="423"/>
      <c r="H12" s="1152" t="s">
        <v>727</v>
      </c>
      <c r="I12" s="1093"/>
      <c r="J12" s="1152" t="s">
        <v>727</v>
      </c>
      <c r="K12" s="1094"/>
      <c r="L12" s="1152" t="s">
        <v>727</v>
      </c>
      <c r="M12" s="1093"/>
      <c r="N12" s="1152" t="s">
        <v>727</v>
      </c>
      <c r="O12" s="1093"/>
      <c r="P12" s="1152" t="s">
        <v>727</v>
      </c>
      <c r="Q12" s="1093"/>
      <c r="R12" s="1152"/>
      <c r="S12" s="1093"/>
      <c r="T12" s="1152"/>
      <c r="U12" s="1093"/>
      <c r="V12" s="1152"/>
      <c r="W12" s="1093"/>
    </row>
    <row r="13" spans="1:28">
      <c r="A13" s="1097"/>
      <c r="B13" s="1151" t="s">
        <v>728</v>
      </c>
      <c r="C13" s="458"/>
      <c r="D13" s="422"/>
      <c r="E13" s="422"/>
      <c r="F13" s="418"/>
      <c r="G13" s="423"/>
      <c r="H13" s="1152" t="s">
        <v>727</v>
      </c>
      <c r="I13" s="1093"/>
      <c r="J13" s="1152" t="s">
        <v>727</v>
      </c>
      <c r="K13" s="1094"/>
      <c r="L13" s="1152" t="s">
        <v>727</v>
      </c>
      <c r="M13" s="1093"/>
      <c r="N13" s="1152" t="s">
        <v>727</v>
      </c>
      <c r="O13" s="1093"/>
      <c r="P13" s="1152" t="s">
        <v>730</v>
      </c>
      <c r="Q13" s="1093"/>
      <c r="R13" s="1152"/>
      <c r="S13" s="1093"/>
      <c r="T13" s="1152"/>
      <c r="U13" s="1093"/>
      <c r="V13" s="1152"/>
      <c r="W13" s="1093"/>
    </row>
    <row r="14" spans="1:28">
      <c r="A14" s="1086"/>
      <c r="B14" s="1153" t="s">
        <v>729</v>
      </c>
      <c r="C14" s="458"/>
      <c r="D14" s="422"/>
      <c r="E14" s="422"/>
      <c r="F14" s="418"/>
      <c r="G14" s="423"/>
      <c r="H14" s="1152" t="s">
        <v>730</v>
      </c>
      <c r="I14" s="1093"/>
      <c r="J14" s="1152" t="s">
        <v>730</v>
      </c>
      <c r="K14" s="1094"/>
      <c r="L14" s="1152" t="s">
        <v>730</v>
      </c>
      <c r="M14" s="1093"/>
      <c r="N14" s="1152" t="s">
        <v>730</v>
      </c>
      <c r="O14" s="1093"/>
      <c r="P14" s="1152" t="s">
        <v>730</v>
      </c>
      <c r="Q14" s="1093"/>
      <c r="R14" s="1152"/>
      <c r="S14" s="1093"/>
      <c r="T14" s="1152"/>
      <c r="U14" s="1093"/>
      <c r="V14" s="1152"/>
      <c r="W14" s="1093"/>
    </row>
    <row r="15" spans="1:28">
      <c r="A15" s="1097"/>
      <c r="B15" s="1153" t="s">
        <v>731</v>
      </c>
      <c r="C15" s="458"/>
      <c r="D15" s="422"/>
      <c r="E15" s="422"/>
      <c r="F15" s="418"/>
      <c r="G15" s="423"/>
      <c r="H15" s="1152" t="s">
        <v>727</v>
      </c>
      <c r="I15" s="1094"/>
      <c r="J15" s="1152" t="s">
        <v>727</v>
      </c>
      <c r="K15" s="1094"/>
      <c r="L15" s="1152" t="s">
        <v>727</v>
      </c>
      <c r="M15" s="1094"/>
      <c r="N15" s="1152" t="s">
        <v>727</v>
      </c>
      <c r="O15" s="1094"/>
      <c r="P15" s="1152" t="s">
        <v>727</v>
      </c>
      <c r="Q15" s="1094"/>
      <c r="R15" s="1152"/>
      <c r="S15" s="1094"/>
      <c r="T15" s="1152"/>
      <c r="U15" s="1094"/>
      <c r="V15" s="1152"/>
      <c r="W15" s="1094"/>
    </row>
    <row r="16" spans="1:28">
      <c r="A16" s="1086"/>
      <c r="B16" s="1153" t="s">
        <v>732</v>
      </c>
      <c r="C16" s="458"/>
      <c r="D16" s="422"/>
      <c r="E16" s="422"/>
      <c r="F16" s="418"/>
      <c r="G16" s="423"/>
      <c r="H16" s="1152" t="s">
        <v>727</v>
      </c>
      <c r="I16" s="1093"/>
      <c r="J16" s="1152" t="s">
        <v>727</v>
      </c>
      <c r="K16" s="1094"/>
      <c r="L16" s="1152" t="s">
        <v>727</v>
      </c>
      <c r="M16" s="1093"/>
      <c r="N16" s="1152" t="s">
        <v>727</v>
      </c>
      <c r="O16" s="1093"/>
      <c r="P16" s="1152" t="s">
        <v>727</v>
      </c>
      <c r="Q16" s="1093"/>
      <c r="R16" s="1152"/>
      <c r="S16" s="1093"/>
      <c r="T16" s="1152"/>
      <c r="U16" s="1093"/>
      <c r="V16" s="1152"/>
      <c r="W16" s="1093"/>
    </row>
    <row r="17" spans="1:45">
      <c r="A17" s="1097"/>
      <c r="B17" s="1153" t="s">
        <v>733</v>
      </c>
      <c r="C17" s="458"/>
      <c r="D17" s="422"/>
      <c r="E17" s="422"/>
      <c r="F17" s="418"/>
      <c r="G17" s="423"/>
      <c r="H17" s="1152" t="s">
        <v>727</v>
      </c>
      <c r="I17" s="1093"/>
      <c r="J17" s="1152" t="s">
        <v>727</v>
      </c>
      <c r="K17" s="1094"/>
      <c r="L17" s="1152" t="s">
        <v>727</v>
      </c>
      <c r="M17" s="1093"/>
      <c r="N17" s="1152" t="s">
        <v>727</v>
      </c>
      <c r="O17" s="1093"/>
      <c r="P17" s="1152" t="s">
        <v>727</v>
      </c>
      <c r="Q17" s="1093"/>
      <c r="R17" s="1152"/>
      <c r="S17" s="1093"/>
      <c r="T17" s="1152"/>
      <c r="U17" s="1093"/>
      <c r="V17" s="1152"/>
      <c r="W17" s="1093"/>
    </row>
    <row r="18" spans="1:45">
      <c r="A18" s="1086"/>
      <c r="B18" s="534" t="s">
        <v>734</v>
      </c>
      <c r="C18" s="458"/>
      <c r="D18" s="422"/>
      <c r="E18" s="422"/>
      <c r="F18" s="418"/>
      <c r="G18" s="423"/>
      <c r="H18" s="1152" t="s">
        <v>730</v>
      </c>
      <c r="I18" s="1093"/>
      <c r="J18" s="1152" t="s">
        <v>727</v>
      </c>
      <c r="K18" s="1094"/>
      <c r="L18" s="1152" t="s">
        <v>730</v>
      </c>
      <c r="M18" s="1093"/>
      <c r="N18" s="1152" t="s">
        <v>730</v>
      </c>
      <c r="O18" s="1093"/>
      <c r="P18" s="1152" t="s">
        <v>730</v>
      </c>
      <c r="Q18" s="1093"/>
      <c r="R18" s="1152"/>
      <c r="S18" s="1093"/>
      <c r="T18" s="1152"/>
      <c r="U18" s="1093"/>
      <c r="V18" s="1152"/>
      <c r="W18" s="1093"/>
    </row>
    <row r="19" spans="1:45">
      <c r="A19" s="1086"/>
      <c r="B19" s="1154" t="s">
        <v>736</v>
      </c>
      <c r="C19" s="458"/>
      <c r="D19" s="422"/>
      <c r="E19" s="422"/>
      <c r="F19" s="418"/>
      <c r="G19" s="423"/>
      <c r="H19" s="1093"/>
      <c r="I19" s="1093"/>
      <c r="J19" s="1152"/>
      <c r="K19" s="1094"/>
      <c r="L19" s="1264"/>
      <c r="M19" s="1093"/>
      <c r="N19" s="1264"/>
      <c r="O19" s="1093"/>
      <c r="P19" s="1152"/>
      <c r="Q19" s="1093"/>
      <c r="R19" s="1152"/>
      <c r="S19" s="1093"/>
      <c r="T19" s="1152"/>
      <c r="U19" s="1093"/>
      <c r="V19" s="1152"/>
      <c r="W19" s="1093"/>
    </row>
    <row r="20" spans="1:45">
      <c r="A20" s="1097"/>
      <c r="B20" s="1281" t="s">
        <v>737</v>
      </c>
      <c r="C20" s="459"/>
      <c r="D20" s="425"/>
      <c r="E20" s="425"/>
      <c r="F20" s="426"/>
      <c r="G20" s="427"/>
      <c r="H20" s="1158"/>
      <c r="I20" s="1158">
        <f>66891.78+19584+28864+18528+37080+53010+18620+2660</f>
        <v>245237.78</v>
      </c>
      <c r="J20" s="1156"/>
      <c r="K20" s="1157"/>
      <c r="L20" s="1156"/>
      <c r="M20" s="1158"/>
      <c r="N20" s="1156"/>
      <c r="O20" s="1158"/>
      <c r="P20" s="1156"/>
      <c r="Q20" s="1158">
        <v>491751</v>
      </c>
      <c r="R20" s="1156"/>
      <c r="S20" s="1158"/>
      <c r="T20" s="1156"/>
      <c r="U20" s="1158"/>
      <c r="V20" s="1156"/>
      <c r="W20" s="1158"/>
    </row>
    <row r="21" spans="1:45">
      <c r="A21" s="1086"/>
      <c r="B21" s="1104"/>
      <c r="C21" s="387"/>
      <c r="D21" s="86"/>
      <c r="E21" s="86"/>
      <c r="F21" s="280"/>
      <c r="G21" s="274"/>
      <c r="H21" s="428"/>
      <c r="I21" s="428"/>
      <c r="J21" s="1152"/>
      <c r="K21" s="428"/>
      <c r="L21" s="1264"/>
      <c r="M21" s="428"/>
      <c r="N21" s="1264"/>
      <c r="O21" s="428"/>
      <c r="P21" s="1152"/>
      <c r="Q21" s="428"/>
      <c r="R21" s="1152"/>
      <c r="S21" s="428"/>
      <c r="T21" s="1152"/>
      <c r="U21" s="428"/>
      <c r="V21" s="1152"/>
      <c r="W21" s="428"/>
    </row>
    <row r="22" spans="1:45">
      <c r="A22" s="1086"/>
      <c r="B22" s="460" t="s">
        <v>1020</v>
      </c>
      <c r="C22" s="387"/>
      <c r="D22" s="86"/>
      <c r="E22" s="86"/>
      <c r="F22" s="280"/>
      <c r="G22" s="274"/>
      <c r="H22" s="1152" t="s">
        <v>727</v>
      </c>
      <c r="I22" s="428"/>
      <c r="J22" s="1152" t="s">
        <v>727</v>
      </c>
      <c r="K22" s="461"/>
      <c r="L22" s="1152" t="s">
        <v>727</v>
      </c>
      <c r="M22" s="428"/>
      <c r="N22" s="1152" t="s">
        <v>727</v>
      </c>
      <c r="O22" s="428"/>
      <c r="P22" s="1152" t="s">
        <v>727</v>
      </c>
      <c r="Q22" s="428"/>
      <c r="R22" s="1152"/>
      <c r="S22" s="461"/>
      <c r="T22" s="1152"/>
      <c r="U22" s="461"/>
      <c r="V22" s="1152"/>
      <c r="W22" s="428"/>
    </row>
    <row r="23" spans="1:45">
      <c r="A23" s="1086"/>
      <c r="B23" s="460" t="s">
        <v>1021</v>
      </c>
      <c r="C23" s="387"/>
      <c r="D23" s="86"/>
      <c r="E23" s="86"/>
      <c r="F23" s="280"/>
      <c r="G23" s="274"/>
      <c r="H23" s="1152" t="s">
        <v>727</v>
      </c>
      <c r="I23" s="428"/>
      <c r="J23" s="1152" t="s">
        <v>727</v>
      </c>
      <c r="K23" s="461"/>
      <c r="L23" s="1152" t="s">
        <v>727</v>
      </c>
      <c r="M23" s="428"/>
      <c r="N23" s="1152" t="s">
        <v>727</v>
      </c>
      <c r="O23" s="428"/>
      <c r="P23" s="1152" t="s">
        <v>727</v>
      </c>
      <c r="Q23" s="428"/>
      <c r="R23" s="1152"/>
      <c r="S23" s="461"/>
      <c r="T23" s="1152"/>
      <c r="U23" s="461"/>
      <c r="V23" s="1152"/>
      <c r="W23" s="428"/>
    </row>
    <row r="24" spans="1:45">
      <c r="A24" s="1086"/>
      <c r="B24" s="460" t="s">
        <v>1022</v>
      </c>
      <c r="C24" s="387"/>
      <c r="D24" s="86"/>
      <c r="E24" s="86"/>
      <c r="F24" s="280"/>
      <c r="G24" s="274"/>
      <c r="H24" s="1152" t="s">
        <v>727</v>
      </c>
      <c r="I24" s="428"/>
      <c r="J24" s="1152" t="s">
        <v>727</v>
      </c>
      <c r="K24" s="461"/>
      <c r="L24" s="1152" t="s">
        <v>727</v>
      </c>
      <c r="M24" s="428"/>
      <c r="N24" s="1152" t="s">
        <v>727</v>
      </c>
      <c r="O24" s="428"/>
      <c r="P24" s="1152" t="s">
        <v>727</v>
      </c>
      <c r="Q24" s="428"/>
      <c r="R24" s="1152"/>
      <c r="S24" s="461"/>
      <c r="T24" s="1152"/>
      <c r="U24" s="461"/>
      <c r="V24" s="1152"/>
      <c r="W24" s="428"/>
    </row>
    <row r="25" spans="1:45">
      <c r="A25" s="1086"/>
      <c r="B25" s="460"/>
      <c r="C25" s="387"/>
      <c r="D25" s="578"/>
      <c r="E25" s="1311"/>
      <c r="F25" s="280"/>
      <c r="G25" s="274"/>
      <c r="H25" s="428"/>
      <c r="I25" s="428"/>
      <c r="J25" s="1152"/>
      <c r="K25" s="461"/>
      <c r="L25" s="1264"/>
      <c r="M25" s="428"/>
      <c r="N25" s="1264"/>
      <c r="O25" s="428"/>
      <c r="P25" s="1152"/>
      <c r="Q25" s="428"/>
      <c r="R25" s="1152"/>
      <c r="S25" s="461"/>
      <c r="T25" s="1152"/>
      <c r="U25" s="461"/>
      <c r="V25" s="1152"/>
      <c r="W25" s="428"/>
    </row>
    <row r="26" spans="1:45" s="69" customFormat="1">
      <c r="A26" s="1097"/>
      <c r="B26" s="1312" t="s">
        <v>1084</v>
      </c>
      <c r="C26" s="457"/>
      <c r="D26" s="422">
        <f>122*2+130*2</f>
        <v>504</v>
      </c>
      <c r="E26" s="1089" t="s">
        <v>32</v>
      </c>
      <c r="F26" s="429">
        <v>90</v>
      </c>
      <c r="G26" s="423">
        <f>F26*D26</f>
        <v>45360</v>
      </c>
      <c r="H26" s="1152" t="s">
        <v>727</v>
      </c>
      <c r="I26" s="1313"/>
      <c r="J26" s="1152" t="s">
        <v>727</v>
      </c>
      <c r="K26" s="1107">
        <v>129210</v>
      </c>
      <c r="L26" s="1264" t="s">
        <v>727</v>
      </c>
      <c r="M26" s="1313">
        <f>30700+30700+27000+27000</f>
        <v>115400</v>
      </c>
      <c r="N26" s="1264" t="s">
        <v>727</v>
      </c>
      <c r="O26" s="1313">
        <v>77602</v>
      </c>
      <c r="P26" s="1264" t="s">
        <v>727</v>
      </c>
      <c r="Q26" s="1313"/>
      <c r="R26" s="1152"/>
      <c r="S26" s="1107"/>
      <c r="T26" s="1152"/>
      <c r="U26" s="1107"/>
      <c r="V26" s="1152"/>
      <c r="W26" s="1313"/>
      <c r="X26"/>
      <c r="Y26"/>
      <c r="Z26"/>
      <c r="AA26"/>
      <c r="AB26"/>
      <c r="AC26"/>
      <c r="AD26"/>
      <c r="AE26"/>
      <c r="AF26"/>
      <c r="AG26"/>
      <c r="AH26"/>
      <c r="AI26"/>
      <c r="AJ26"/>
      <c r="AK26"/>
      <c r="AL26"/>
      <c r="AM26"/>
      <c r="AN26"/>
      <c r="AO26"/>
      <c r="AP26"/>
      <c r="AQ26"/>
      <c r="AR26"/>
      <c r="AS26"/>
    </row>
    <row r="27" spans="1:45">
      <c r="A27" s="1086"/>
      <c r="B27" s="1314" t="s">
        <v>1085</v>
      </c>
      <c r="C27" s="1315"/>
      <c r="D27" s="1089"/>
      <c r="E27" s="1089"/>
      <c r="F27" s="1272"/>
      <c r="G27" s="1091"/>
      <c r="H27" s="1152" t="s">
        <v>727</v>
      </c>
      <c r="I27" s="1093"/>
      <c r="J27" s="1152" t="s">
        <v>727</v>
      </c>
      <c r="K27" s="1270"/>
      <c r="L27" s="1264" t="s">
        <v>727</v>
      </c>
      <c r="M27" s="1093"/>
      <c r="N27" s="1316" t="s">
        <v>1035</v>
      </c>
      <c r="O27" s="1248">
        <v>25000</v>
      </c>
      <c r="P27" s="1264" t="s">
        <v>727</v>
      </c>
      <c r="Q27" s="1093"/>
      <c r="R27" s="1152"/>
      <c r="S27" s="1270"/>
      <c r="T27" s="1152"/>
      <c r="U27" s="1270"/>
      <c r="V27" s="1152"/>
      <c r="W27" s="1093"/>
    </row>
    <row r="28" spans="1:45">
      <c r="A28" s="1086"/>
      <c r="B28" s="1314" t="s">
        <v>1086</v>
      </c>
      <c r="C28" s="1315"/>
      <c r="D28" s="1089"/>
      <c r="E28" s="1089"/>
      <c r="F28" s="1272"/>
      <c r="G28" s="1091"/>
      <c r="H28" s="1152" t="s">
        <v>727</v>
      </c>
      <c r="I28" s="1093"/>
      <c r="J28" s="1152" t="s">
        <v>730</v>
      </c>
      <c r="K28" s="1270"/>
      <c r="L28" s="1264" t="s">
        <v>730</v>
      </c>
      <c r="M28" s="1093"/>
      <c r="N28" s="1264" t="s">
        <v>730</v>
      </c>
      <c r="O28" s="1093"/>
      <c r="P28" s="1152" t="s">
        <v>730</v>
      </c>
      <c r="Q28" s="1093"/>
      <c r="R28" s="1152"/>
      <c r="S28" s="1270"/>
      <c r="T28" s="1152"/>
      <c r="U28" s="1270"/>
      <c r="V28" s="1152"/>
      <c r="W28" s="1093"/>
    </row>
    <row r="29" spans="1:45">
      <c r="A29" s="1086"/>
      <c r="B29" s="1312" t="s">
        <v>1087</v>
      </c>
      <c r="C29" s="1315"/>
      <c r="D29" s="422">
        <f>122*2+130*2</f>
        <v>504</v>
      </c>
      <c r="E29" s="1089" t="s">
        <v>32</v>
      </c>
      <c r="F29" s="429">
        <v>90</v>
      </c>
      <c r="G29" s="423">
        <f>F29*D29</f>
        <v>45360</v>
      </c>
      <c r="H29" s="1152" t="s">
        <v>727</v>
      </c>
      <c r="I29" s="1093"/>
      <c r="J29" s="1152" t="s">
        <v>727</v>
      </c>
      <c r="K29" s="1270"/>
      <c r="L29" s="1264" t="s">
        <v>727</v>
      </c>
      <c r="M29" s="1093"/>
      <c r="N29" s="1264" t="s">
        <v>727</v>
      </c>
      <c r="O29" s="1093"/>
      <c r="P29" s="1264" t="s">
        <v>727</v>
      </c>
      <c r="Q29" s="1093"/>
      <c r="R29" s="1152"/>
      <c r="S29" s="1270"/>
      <c r="T29" s="1152"/>
      <c r="U29" s="1270"/>
      <c r="V29" s="1152"/>
      <c r="W29" s="1093"/>
    </row>
    <row r="30" spans="1:45">
      <c r="A30" s="1086"/>
      <c r="B30" s="1314" t="s">
        <v>1088</v>
      </c>
      <c r="C30" s="1315"/>
      <c r="D30" s="1089"/>
      <c r="E30" s="1089"/>
      <c r="F30" s="1272"/>
      <c r="G30" s="1091"/>
      <c r="H30" s="1152" t="s">
        <v>727</v>
      </c>
      <c r="I30" s="1093"/>
      <c r="J30" s="1152" t="s">
        <v>727</v>
      </c>
      <c r="K30" s="1270"/>
      <c r="L30" s="1264" t="s">
        <v>727</v>
      </c>
      <c r="M30" s="1093"/>
      <c r="N30" s="1264" t="s">
        <v>727</v>
      </c>
      <c r="O30" s="1093"/>
      <c r="P30" s="1264" t="s">
        <v>727</v>
      </c>
      <c r="Q30" s="1093"/>
      <c r="R30" s="1152"/>
      <c r="S30" s="1270"/>
      <c r="T30" s="1152"/>
      <c r="U30" s="1270"/>
      <c r="V30" s="1152"/>
      <c r="W30" s="1093"/>
    </row>
    <row r="31" spans="1:45">
      <c r="A31" s="1086"/>
      <c r="B31" s="1314" t="s">
        <v>1089</v>
      </c>
      <c r="C31" s="1315"/>
      <c r="D31" s="1089"/>
      <c r="E31" s="1089"/>
      <c r="F31" s="1272"/>
      <c r="G31" s="1091"/>
      <c r="H31" s="1152" t="s">
        <v>730</v>
      </c>
      <c r="I31" s="1093"/>
      <c r="J31" s="1152" t="s">
        <v>730</v>
      </c>
      <c r="K31" s="1270"/>
      <c r="L31" s="1264" t="s">
        <v>730</v>
      </c>
      <c r="M31" s="1093"/>
      <c r="N31" s="1264" t="s">
        <v>730</v>
      </c>
      <c r="O31" s="1093"/>
      <c r="P31" s="1152" t="s">
        <v>730</v>
      </c>
      <c r="Q31" s="1093"/>
      <c r="R31" s="1152"/>
      <c r="S31" s="1270"/>
      <c r="T31" s="1152"/>
      <c r="U31" s="1270"/>
      <c r="V31" s="1152"/>
      <c r="W31" s="1093"/>
    </row>
    <row r="32" spans="1:45">
      <c r="A32" s="1086"/>
      <c r="B32" s="1314" t="s">
        <v>1090</v>
      </c>
      <c r="C32" s="1315"/>
      <c r="D32" s="1089"/>
      <c r="E32" s="1089"/>
      <c r="F32" s="1272"/>
      <c r="G32" s="1091"/>
      <c r="H32" s="1316" t="s">
        <v>1035</v>
      </c>
      <c r="I32" s="1248">
        <f>O32</f>
        <v>30000</v>
      </c>
      <c r="J32" s="1264" t="s">
        <v>727</v>
      </c>
      <c r="K32" s="1270"/>
      <c r="L32" s="1316" t="s">
        <v>1035</v>
      </c>
      <c r="M32" s="1248">
        <v>30000</v>
      </c>
      <c r="N32" s="1316" t="s">
        <v>1035</v>
      </c>
      <c r="O32" s="1248">
        <f>M32</f>
        <v>30000</v>
      </c>
      <c r="P32" s="1264" t="s">
        <v>730</v>
      </c>
      <c r="Q32" s="1093"/>
      <c r="R32" s="1264"/>
      <c r="S32" s="1270"/>
      <c r="T32" s="1264"/>
      <c r="U32" s="1270"/>
      <c r="V32" s="1264"/>
      <c r="W32" s="1093"/>
    </row>
    <row r="33" spans="1:23">
      <c r="A33" s="1086"/>
      <c r="B33" s="1312" t="s">
        <v>1091</v>
      </c>
      <c r="C33" s="1315"/>
      <c r="D33" s="1089">
        <f>5*2</f>
        <v>10</v>
      </c>
      <c r="E33" s="1089" t="s">
        <v>32</v>
      </c>
      <c r="F33" s="1272">
        <v>65</v>
      </c>
      <c r="G33" s="423">
        <f>F33*D33</f>
        <v>650</v>
      </c>
      <c r="H33" s="1152" t="s">
        <v>727</v>
      </c>
      <c r="I33" s="1093"/>
      <c r="J33" s="1152" t="s">
        <v>727</v>
      </c>
      <c r="K33" s="1270"/>
      <c r="L33" s="1264" t="s">
        <v>727</v>
      </c>
      <c r="M33" s="1093"/>
      <c r="N33" s="1316" t="s">
        <v>1035</v>
      </c>
      <c r="O33" s="1248">
        <f>G33</f>
        <v>650</v>
      </c>
      <c r="P33" s="1152" t="s">
        <v>730</v>
      </c>
      <c r="Q33" s="1093"/>
      <c r="R33" s="1152"/>
      <c r="S33" s="1270"/>
      <c r="T33" s="1152"/>
      <c r="U33" s="1270"/>
      <c r="V33" s="1152"/>
      <c r="W33" s="1093"/>
    </row>
    <row r="34" spans="1:23">
      <c r="A34" s="1086"/>
      <c r="B34" s="1317" t="s">
        <v>1092</v>
      </c>
      <c r="C34" s="582"/>
      <c r="D34" s="29">
        <f>150*2</f>
        <v>300</v>
      </c>
      <c r="E34" s="29" t="s">
        <v>843</v>
      </c>
      <c r="F34" s="583">
        <v>80</v>
      </c>
      <c r="G34" s="274">
        <f>F34*D34</f>
        <v>24000</v>
      </c>
      <c r="H34" s="1152" t="s">
        <v>727</v>
      </c>
      <c r="I34" s="1093"/>
      <c r="J34" s="1152" t="s">
        <v>727</v>
      </c>
      <c r="K34" s="1270">
        <f>5934+11088</f>
        <v>17022</v>
      </c>
      <c r="L34" s="1316" t="s">
        <v>1035</v>
      </c>
      <c r="M34" s="1248">
        <f>O34</f>
        <v>17022</v>
      </c>
      <c r="N34" s="1316" t="s">
        <v>1035</v>
      </c>
      <c r="O34" s="1248">
        <f>K34</f>
        <v>17022</v>
      </c>
      <c r="P34" s="1264" t="s">
        <v>727</v>
      </c>
      <c r="Q34" s="1093"/>
      <c r="R34" s="1152"/>
      <c r="S34" s="1270"/>
      <c r="T34" s="1152"/>
      <c r="U34" s="1270"/>
      <c r="V34" s="1152"/>
      <c r="W34" s="1093"/>
    </row>
    <row r="35" spans="1:23">
      <c r="A35" s="1086"/>
      <c r="B35" s="1317" t="s">
        <v>1093</v>
      </c>
      <c r="C35" s="579" t="s">
        <v>1094</v>
      </c>
      <c r="D35" s="580">
        <v>1700</v>
      </c>
      <c r="E35" s="580" t="s">
        <v>843</v>
      </c>
      <c r="F35" s="581">
        <v>150</v>
      </c>
      <c r="G35" s="391">
        <f>F35*D35</f>
        <v>255000</v>
      </c>
      <c r="H35" s="1152" t="s">
        <v>727</v>
      </c>
      <c r="I35" s="1093"/>
      <c r="J35" s="1152" t="s">
        <v>727</v>
      </c>
      <c r="K35" s="1270">
        <v>179418</v>
      </c>
      <c r="L35" s="1264" t="s">
        <v>727</v>
      </c>
      <c r="M35" s="735">
        <v>253000</v>
      </c>
      <c r="N35" s="1316" t="s">
        <v>1035</v>
      </c>
      <c r="O35" s="674">
        <f>M35</f>
        <v>253000</v>
      </c>
      <c r="P35" s="1316" t="s">
        <v>1035</v>
      </c>
      <c r="Q35" s="674">
        <f>O35</f>
        <v>253000</v>
      </c>
      <c r="R35" s="1152"/>
      <c r="S35" s="1093"/>
      <c r="T35" s="1152" t="s">
        <v>727</v>
      </c>
      <c r="U35" s="1093">
        <f>207360+96480</f>
        <v>303840</v>
      </c>
      <c r="V35" s="1152"/>
      <c r="W35" s="1093"/>
    </row>
    <row r="36" spans="1:23">
      <c r="A36" s="1086"/>
      <c r="B36" s="1318" t="s">
        <v>1095</v>
      </c>
      <c r="C36" s="1315"/>
      <c r="D36" s="1319"/>
      <c r="E36" s="1089"/>
      <c r="F36" s="1320"/>
      <c r="G36" s="1321"/>
      <c r="H36" s="1152" t="s">
        <v>727</v>
      </c>
      <c r="I36" s="1093"/>
      <c r="J36" s="1152" t="s">
        <v>727</v>
      </c>
      <c r="K36" s="1093"/>
      <c r="L36" s="1264" t="s">
        <v>727</v>
      </c>
      <c r="M36" s="1093"/>
      <c r="N36" s="1316" t="s">
        <v>1035</v>
      </c>
      <c r="O36" s="1093"/>
      <c r="P36" s="1316" t="s">
        <v>1035</v>
      </c>
      <c r="Q36" s="1093"/>
      <c r="R36" s="1152"/>
      <c r="S36" s="1093"/>
      <c r="T36" s="1152"/>
      <c r="U36" s="1093"/>
      <c r="V36" s="1152"/>
      <c r="W36" s="1093"/>
    </row>
    <row r="37" spans="1:23">
      <c r="A37" s="1086"/>
      <c r="B37" s="1318" t="s">
        <v>1096</v>
      </c>
      <c r="C37" s="1315"/>
      <c r="D37" s="1319"/>
      <c r="E37" s="1089"/>
      <c r="F37" s="1320"/>
      <c r="G37" s="1321"/>
      <c r="H37" s="1152" t="s">
        <v>727</v>
      </c>
      <c r="I37" s="1093"/>
      <c r="J37" s="1152" t="s">
        <v>727</v>
      </c>
      <c r="K37" s="1093"/>
      <c r="L37" s="1264" t="s">
        <v>727</v>
      </c>
      <c r="M37" s="1093"/>
      <c r="N37" s="1316" t="s">
        <v>1035</v>
      </c>
      <c r="O37" s="1093"/>
      <c r="P37" s="1316" t="s">
        <v>1035</v>
      </c>
      <c r="Q37" s="1093"/>
      <c r="R37" s="1152"/>
      <c r="S37" s="1093"/>
      <c r="T37" s="1152"/>
      <c r="U37" s="1093"/>
      <c r="V37" s="1152"/>
      <c r="W37" s="1093"/>
    </row>
    <row r="38" spans="1:23">
      <c r="A38" s="1086"/>
      <c r="B38" s="1318" t="s">
        <v>1097</v>
      </c>
      <c r="C38" s="1315"/>
      <c r="D38" s="1319"/>
      <c r="E38" s="1089"/>
      <c r="F38" s="1320"/>
      <c r="G38" s="1321"/>
      <c r="H38" s="1152" t="s">
        <v>727</v>
      </c>
      <c r="I38" s="1093"/>
      <c r="J38" s="1152" t="s">
        <v>727</v>
      </c>
      <c r="K38" s="1093"/>
      <c r="L38" s="1264" t="s">
        <v>727</v>
      </c>
      <c r="M38" s="1093"/>
      <c r="N38" s="1316" t="s">
        <v>1035</v>
      </c>
      <c r="O38" s="1093"/>
      <c r="P38" s="1316" t="s">
        <v>1035</v>
      </c>
      <c r="Q38" s="1093"/>
      <c r="R38" s="1152"/>
      <c r="S38" s="1093"/>
      <c r="T38" s="1152"/>
      <c r="U38" s="1093"/>
      <c r="V38" s="1152"/>
      <c r="W38" s="1093"/>
    </row>
    <row r="39" spans="1:23">
      <c r="A39" s="1086"/>
      <c r="B39" s="1318" t="s">
        <v>1098</v>
      </c>
      <c r="C39" s="1315"/>
      <c r="D39" s="1319"/>
      <c r="E39" s="1089"/>
      <c r="F39" s="1320"/>
      <c r="G39" s="1321"/>
      <c r="H39" s="1152" t="s">
        <v>730</v>
      </c>
      <c r="I39" s="1093"/>
      <c r="J39" s="1152" t="s">
        <v>730</v>
      </c>
      <c r="K39" s="1093"/>
      <c r="L39" s="1152" t="s">
        <v>730</v>
      </c>
      <c r="M39" s="1093"/>
      <c r="N39" s="1264" t="s">
        <v>730</v>
      </c>
      <c r="O39" s="1093"/>
      <c r="P39" s="1264" t="s">
        <v>730</v>
      </c>
      <c r="Q39" s="1093"/>
      <c r="R39" s="1152"/>
      <c r="S39" s="1093"/>
      <c r="T39" s="1152"/>
      <c r="U39" s="1093"/>
      <c r="V39" s="1152"/>
      <c r="W39" s="1093"/>
    </row>
    <row r="40" spans="1:23">
      <c r="A40" s="1086"/>
      <c r="B40" s="1318" t="s">
        <v>1099</v>
      </c>
      <c r="C40" s="1315"/>
      <c r="D40" s="1319"/>
      <c r="E40" s="1089"/>
      <c r="F40" s="1320"/>
      <c r="G40" s="1321"/>
      <c r="H40" s="1152" t="s">
        <v>727</v>
      </c>
      <c r="I40" s="1093"/>
      <c r="J40" s="1152" t="s">
        <v>727</v>
      </c>
      <c r="K40" s="1093" t="s">
        <v>1100</v>
      </c>
      <c r="L40" s="1264" t="s">
        <v>727</v>
      </c>
      <c r="M40" s="1093"/>
      <c r="N40" s="1264" t="s">
        <v>727</v>
      </c>
      <c r="O40" s="1093"/>
      <c r="P40" s="1152" t="s">
        <v>727</v>
      </c>
      <c r="Q40" s="1093"/>
      <c r="R40" s="1152"/>
      <c r="S40" s="1093"/>
      <c r="T40" s="1152"/>
      <c r="U40" s="1093"/>
      <c r="V40" s="1152"/>
      <c r="W40" s="1093"/>
    </row>
    <row r="41" spans="1:23">
      <c r="A41" s="1086"/>
      <c r="B41" s="1322" t="s">
        <v>1101</v>
      </c>
      <c r="C41" s="1315"/>
      <c r="D41" s="1319"/>
      <c r="E41" s="422"/>
      <c r="F41" s="1320"/>
      <c r="G41" s="1321"/>
      <c r="H41" s="1152" t="s">
        <v>727</v>
      </c>
      <c r="I41" s="1093"/>
      <c r="J41" s="1152" t="s">
        <v>727</v>
      </c>
      <c r="K41" s="1093">
        <f>19404+3400+6480+13392</f>
        <v>42676</v>
      </c>
      <c r="L41" s="1316" t="s">
        <v>1035</v>
      </c>
      <c r="M41" s="1248">
        <f>O41</f>
        <v>42676</v>
      </c>
      <c r="N41" s="1316" t="s">
        <v>1035</v>
      </c>
      <c r="O41" s="1248">
        <f>K41</f>
        <v>42676</v>
      </c>
      <c r="P41" s="1264" t="s">
        <v>727</v>
      </c>
      <c r="Q41" s="1093"/>
      <c r="R41" s="1152"/>
      <c r="S41" s="1093"/>
      <c r="T41" s="1152"/>
      <c r="U41" s="1093"/>
      <c r="V41" s="1152"/>
      <c r="W41" s="1093"/>
    </row>
    <row r="42" spans="1:23">
      <c r="A42" s="1086"/>
      <c r="B42" s="1318" t="s">
        <v>1102</v>
      </c>
      <c r="C42" s="457"/>
      <c r="D42" s="1319">
        <v>2</v>
      </c>
      <c r="E42" s="422" t="s">
        <v>847</v>
      </c>
      <c r="F42" s="431">
        <v>15000</v>
      </c>
      <c r="G42" s="1321">
        <f>F42*D42</f>
        <v>30000</v>
      </c>
      <c r="H42" s="1152" t="s">
        <v>727</v>
      </c>
      <c r="I42" s="1093"/>
      <c r="J42" s="1152" t="s">
        <v>727</v>
      </c>
      <c r="K42" s="1093"/>
      <c r="L42" s="1316" t="s">
        <v>1035</v>
      </c>
      <c r="M42" s="1093"/>
      <c r="N42" s="1316" t="s">
        <v>1035</v>
      </c>
      <c r="O42" s="1093"/>
      <c r="P42" s="1264" t="s">
        <v>727</v>
      </c>
      <c r="Q42" s="1093"/>
      <c r="R42" s="1152"/>
      <c r="S42" s="1093"/>
      <c r="T42" s="1152"/>
      <c r="U42" s="1093"/>
      <c r="V42" s="1152"/>
      <c r="W42" s="1093"/>
    </row>
    <row r="43" spans="1:23">
      <c r="A43" s="1086"/>
      <c r="B43" s="1322" t="s">
        <v>1103</v>
      </c>
      <c r="C43" s="457"/>
      <c r="D43" s="1319"/>
      <c r="E43" s="422"/>
      <c r="F43" s="431"/>
      <c r="G43" s="1321"/>
      <c r="H43" s="1152" t="s">
        <v>727</v>
      </c>
      <c r="I43" s="1093"/>
      <c r="J43" s="1152" t="s">
        <v>727</v>
      </c>
      <c r="K43" s="1093"/>
      <c r="L43" s="1316" t="s">
        <v>1035</v>
      </c>
      <c r="M43" s="1093"/>
      <c r="N43" s="1316" t="s">
        <v>1035</v>
      </c>
      <c r="O43" s="1093"/>
      <c r="P43" s="1264" t="s">
        <v>727</v>
      </c>
      <c r="Q43" s="1093"/>
      <c r="R43" s="1152"/>
      <c r="S43" s="1093"/>
      <c r="T43" s="1152"/>
      <c r="U43" s="1093"/>
      <c r="V43" s="1152"/>
      <c r="W43" s="1093"/>
    </row>
    <row r="44" spans="1:23">
      <c r="A44" s="1086"/>
      <c r="B44" s="1318" t="s">
        <v>1102</v>
      </c>
      <c r="C44" s="457"/>
      <c r="D44" s="1319">
        <v>2</v>
      </c>
      <c r="E44" s="422" t="s">
        <v>847</v>
      </c>
      <c r="F44" s="431">
        <v>15000</v>
      </c>
      <c r="G44" s="1321">
        <f>F44*D44</f>
        <v>30000</v>
      </c>
      <c r="H44" s="1152" t="s">
        <v>727</v>
      </c>
      <c r="I44" s="1093"/>
      <c r="J44" s="1152" t="s">
        <v>727</v>
      </c>
      <c r="K44" s="1093"/>
      <c r="L44" s="1316" t="s">
        <v>1035</v>
      </c>
      <c r="M44" s="1093"/>
      <c r="N44" s="1316" t="s">
        <v>1035</v>
      </c>
      <c r="O44" s="1093"/>
      <c r="P44" s="1264" t="s">
        <v>727</v>
      </c>
      <c r="Q44" s="1093"/>
      <c r="R44" s="1152"/>
      <c r="S44" s="1093"/>
      <c r="T44" s="1152"/>
      <c r="U44" s="1093"/>
      <c r="V44" s="1152"/>
      <c r="W44" s="1093"/>
    </row>
    <row r="45" spans="1:23">
      <c r="A45" s="1086"/>
      <c r="B45" s="1318" t="s">
        <v>1104</v>
      </c>
      <c r="C45" s="457"/>
      <c r="D45" s="1319">
        <v>7</v>
      </c>
      <c r="E45" s="422" t="s">
        <v>847</v>
      </c>
      <c r="F45" s="431">
        <v>1500</v>
      </c>
      <c r="G45" s="1321">
        <f>F45*D45</f>
        <v>10500</v>
      </c>
      <c r="H45" s="1152" t="s">
        <v>727</v>
      </c>
      <c r="I45" s="1093"/>
      <c r="J45" s="1152" t="s">
        <v>727</v>
      </c>
      <c r="K45" s="1093"/>
      <c r="L45" s="1316" t="s">
        <v>1035</v>
      </c>
      <c r="M45" s="1093"/>
      <c r="N45" s="1316" t="s">
        <v>1035</v>
      </c>
      <c r="O45" s="1093"/>
      <c r="P45" s="1264" t="s">
        <v>727</v>
      </c>
      <c r="Q45" s="1093"/>
      <c r="R45" s="1152"/>
      <c r="S45" s="1093"/>
      <c r="T45" s="1152"/>
      <c r="U45" s="1093"/>
      <c r="V45" s="1152"/>
      <c r="W45" s="1093"/>
    </row>
    <row r="46" spans="1:23">
      <c r="A46" s="1086"/>
      <c r="B46" s="1323" t="s">
        <v>1105</v>
      </c>
      <c r="C46" s="457"/>
      <c r="D46" s="430"/>
      <c r="E46" s="422" t="s">
        <v>847</v>
      </c>
      <c r="F46" s="431"/>
      <c r="G46" s="1321"/>
      <c r="H46" s="1316" t="s">
        <v>1035</v>
      </c>
      <c r="I46" s="1248">
        <f>O46</f>
        <v>15840</v>
      </c>
      <c r="J46" s="1152" t="s">
        <v>727</v>
      </c>
      <c r="K46" s="1093">
        <v>15840</v>
      </c>
      <c r="L46" s="1316" t="s">
        <v>1035</v>
      </c>
      <c r="M46" s="1093">
        <f>O46</f>
        <v>15840</v>
      </c>
      <c r="N46" s="1316" t="s">
        <v>1035</v>
      </c>
      <c r="O46" s="1093">
        <f>K46</f>
        <v>15840</v>
      </c>
      <c r="P46" s="1316" t="s">
        <v>1035</v>
      </c>
      <c r="Q46" s="1093">
        <f>M46</f>
        <v>15840</v>
      </c>
      <c r="R46" s="1152"/>
      <c r="S46" s="1093"/>
      <c r="T46" s="1152"/>
      <c r="U46" s="1093"/>
      <c r="V46" s="1152"/>
      <c r="W46" s="1093"/>
    </row>
    <row r="47" spans="1:23">
      <c r="A47" s="1097"/>
      <c r="B47" s="1322" t="s">
        <v>1106</v>
      </c>
      <c r="C47" s="457" t="s">
        <v>1107</v>
      </c>
      <c r="D47" s="430">
        <v>2</v>
      </c>
      <c r="E47" s="422" t="s">
        <v>847</v>
      </c>
      <c r="F47" s="431">
        <v>7000</v>
      </c>
      <c r="G47" s="1321">
        <f>F47*D47</f>
        <v>14000</v>
      </c>
      <c r="H47" s="1152" t="s">
        <v>727</v>
      </c>
      <c r="I47" s="1093"/>
      <c r="J47" s="1152" t="s">
        <v>727</v>
      </c>
      <c r="K47" s="1093">
        <v>16192</v>
      </c>
      <c r="L47" s="1316" t="s">
        <v>1035</v>
      </c>
      <c r="M47" s="1248">
        <f>O47</f>
        <v>12917</v>
      </c>
      <c r="N47" s="1264" t="s">
        <v>727</v>
      </c>
      <c r="O47" s="1093">
        <v>12917</v>
      </c>
      <c r="P47" s="1264" t="s">
        <v>727</v>
      </c>
      <c r="Q47" s="1093"/>
      <c r="R47" s="1152"/>
      <c r="S47" s="1093"/>
      <c r="T47" s="1152"/>
      <c r="U47" s="1093"/>
      <c r="V47" s="1152"/>
      <c r="W47" s="1093"/>
    </row>
    <row r="48" spans="1:23">
      <c r="A48" s="1086"/>
      <c r="B48" s="1318" t="s">
        <v>1108</v>
      </c>
      <c r="C48" s="457"/>
      <c r="D48" s="430"/>
      <c r="E48" s="422"/>
      <c r="F48" s="431"/>
      <c r="G48" s="1321"/>
      <c r="H48" s="1152" t="s">
        <v>727</v>
      </c>
      <c r="I48" s="1093"/>
      <c r="J48" s="1152" t="s">
        <v>727</v>
      </c>
      <c r="K48" s="1093"/>
      <c r="L48" s="1316" t="s">
        <v>1035</v>
      </c>
      <c r="M48" s="1093"/>
      <c r="N48" s="1264" t="s">
        <v>727</v>
      </c>
      <c r="O48" s="1093"/>
      <c r="P48" s="1264" t="s">
        <v>727</v>
      </c>
      <c r="Q48" s="1093"/>
      <c r="R48" s="1152"/>
      <c r="S48" s="1093"/>
      <c r="T48" s="1152"/>
      <c r="U48" s="1093"/>
      <c r="V48" s="1152"/>
      <c r="W48" s="1093"/>
    </row>
    <row r="49" spans="1:23">
      <c r="A49" s="1086"/>
      <c r="B49" s="1322" t="s">
        <v>1109</v>
      </c>
      <c r="C49" s="457" t="s">
        <v>1110</v>
      </c>
      <c r="D49" s="430">
        <f>7+6</f>
        <v>13</v>
      </c>
      <c r="E49" s="422" t="s">
        <v>847</v>
      </c>
      <c r="F49" s="431">
        <v>250</v>
      </c>
      <c r="G49" s="1321">
        <f>F49*D49</f>
        <v>3250</v>
      </c>
      <c r="H49" s="1152" t="s">
        <v>727</v>
      </c>
      <c r="I49" s="1093"/>
      <c r="J49" s="1152" t="s">
        <v>727</v>
      </c>
      <c r="K49" s="1093">
        <f>4000+3500</f>
        <v>7500</v>
      </c>
      <c r="L49" s="1316" t="s">
        <v>1035</v>
      </c>
      <c r="M49" s="1093"/>
      <c r="N49" s="1264" t="s">
        <v>727</v>
      </c>
      <c r="O49" s="1093"/>
      <c r="P49" s="1264" t="s">
        <v>727</v>
      </c>
      <c r="Q49" s="1093"/>
      <c r="R49" s="1152"/>
      <c r="S49" s="1093"/>
      <c r="T49" s="1152"/>
      <c r="U49" s="1093"/>
      <c r="V49" s="1152"/>
      <c r="W49" s="1093"/>
    </row>
    <row r="50" spans="1:23">
      <c r="A50" s="1086"/>
      <c r="B50" s="1322"/>
      <c r="C50" s="457"/>
      <c r="D50" s="430"/>
      <c r="E50" s="422"/>
      <c r="F50" s="431"/>
      <c r="G50" s="1321"/>
      <c r="H50" s="1093"/>
      <c r="I50" s="1093"/>
      <c r="J50" s="1152"/>
      <c r="K50" s="1093"/>
      <c r="L50" s="1324"/>
      <c r="M50" s="1093"/>
      <c r="N50" s="1264"/>
      <c r="O50" s="1093"/>
      <c r="P50" s="1152"/>
      <c r="Q50" s="1093"/>
      <c r="R50" s="1152"/>
      <c r="S50" s="1093"/>
      <c r="T50" s="1152"/>
      <c r="U50" s="1093"/>
      <c r="V50" s="1152"/>
      <c r="W50" s="1093"/>
    </row>
    <row r="51" spans="1:23">
      <c r="A51" s="1097"/>
      <c r="B51" s="1323" t="s">
        <v>1111</v>
      </c>
      <c r="C51" s="457"/>
      <c r="D51" s="430"/>
      <c r="E51" s="422"/>
      <c r="F51" s="431"/>
      <c r="G51" s="1321"/>
      <c r="H51" s="1152" t="s">
        <v>727</v>
      </c>
      <c r="I51" s="1093">
        <v>43513.71</v>
      </c>
      <c r="J51" s="1152" t="s">
        <v>727</v>
      </c>
      <c r="K51" s="1093">
        <v>50998</v>
      </c>
      <c r="L51" s="1152" t="s">
        <v>727</v>
      </c>
      <c r="M51" s="1093"/>
      <c r="N51" s="1264" t="s">
        <v>727</v>
      </c>
      <c r="O51" s="1093"/>
      <c r="P51" s="1152" t="s">
        <v>727</v>
      </c>
      <c r="Q51" s="1093"/>
      <c r="R51" s="1152"/>
      <c r="S51" s="1093"/>
      <c r="T51" s="1152"/>
      <c r="U51" s="1093"/>
      <c r="V51" s="1152"/>
      <c r="W51" s="1093"/>
    </row>
    <row r="52" spans="1:23">
      <c r="A52" s="1097"/>
      <c r="B52" s="1323" t="s">
        <v>1112</v>
      </c>
      <c r="C52" s="457" t="s">
        <v>1113</v>
      </c>
      <c r="D52" s="430"/>
      <c r="E52" s="422"/>
      <c r="F52" s="431"/>
      <c r="G52" s="1321"/>
      <c r="H52" s="1152" t="s">
        <v>730</v>
      </c>
      <c r="I52" s="1093"/>
      <c r="J52" s="1152" t="s">
        <v>730</v>
      </c>
      <c r="K52" s="1093"/>
      <c r="L52" s="1264" t="s">
        <v>730</v>
      </c>
      <c r="M52" s="1093"/>
      <c r="N52" s="1264" t="s">
        <v>730</v>
      </c>
      <c r="O52" s="1093"/>
      <c r="P52" s="1152" t="s">
        <v>730</v>
      </c>
      <c r="Q52" s="1093"/>
      <c r="R52" s="1152"/>
      <c r="S52" s="1093"/>
      <c r="T52" s="1152"/>
      <c r="U52" s="1093"/>
      <c r="V52" s="1152"/>
      <c r="W52" s="1093"/>
    </row>
    <row r="53" spans="1:23">
      <c r="A53" s="1086"/>
      <c r="B53" s="1323"/>
      <c r="C53" s="457"/>
      <c r="D53" s="430"/>
      <c r="E53" s="422"/>
      <c r="F53" s="431"/>
      <c r="G53" s="1321"/>
      <c r="H53" s="1093"/>
      <c r="I53" s="1093"/>
      <c r="J53" s="1152"/>
      <c r="K53" s="1093"/>
      <c r="L53" s="1264"/>
      <c r="M53" s="1093"/>
      <c r="N53" s="1264"/>
      <c r="O53" s="1093"/>
      <c r="P53" s="1152"/>
      <c r="Q53" s="1093"/>
      <c r="R53" s="1152"/>
      <c r="S53" s="1093"/>
      <c r="T53" s="1152"/>
      <c r="U53" s="1093"/>
      <c r="V53" s="1152"/>
      <c r="W53" s="1093"/>
    </row>
    <row r="54" spans="1:23">
      <c r="A54" s="1086"/>
      <c r="B54" s="1325"/>
      <c r="C54" s="377"/>
      <c r="D54" s="87"/>
      <c r="E54" s="86"/>
      <c r="F54" s="431"/>
      <c r="G54" s="1321"/>
      <c r="H54" s="1093"/>
      <c r="I54" s="1093"/>
      <c r="J54" s="1152"/>
      <c r="K54" s="1093"/>
      <c r="L54" s="1264"/>
      <c r="M54" s="1093"/>
      <c r="N54" s="1264"/>
      <c r="O54" s="1093"/>
      <c r="P54" s="1152"/>
      <c r="Q54" s="1093"/>
      <c r="R54" s="1152"/>
      <c r="S54" s="1093"/>
      <c r="T54" s="1152"/>
      <c r="U54" s="1093"/>
      <c r="V54" s="1152"/>
      <c r="W54" s="1093"/>
    </row>
    <row r="55" spans="1:23">
      <c r="A55" s="1086"/>
      <c r="B55" s="1325"/>
      <c r="C55" s="377"/>
      <c r="D55" s="87"/>
      <c r="E55" s="86"/>
      <c r="F55" s="431"/>
      <c r="G55" s="1321"/>
      <c r="H55" s="1093"/>
      <c r="I55" s="1093"/>
      <c r="J55" s="1152"/>
      <c r="K55" s="1093"/>
      <c r="L55" s="1264"/>
      <c r="M55" s="1093"/>
      <c r="N55" s="1264"/>
      <c r="O55" s="1093"/>
      <c r="P55" s="1152"/>
      <c r="Q55" s="1093"/>
      <c r="R55" s="1152"/>
      <c r="S55" s="1093"/>
      <c r="T55" s="1152"/>
      <c r="U55" s="1093"/>
      <c r="V55" s="1152"/>
      <c r="W55" s="1093"/>
    </row>
    <row r="56" spans="1:23">
      <c r="A56" s="1086"/>
      <c r="B56" s="1325"/>
      <c r="C56" s="377"/>
      <c r="D56" s="87"/>
      <c r="E56" s="86"/>
      <c r="F56" s="431"/>
      <c r="G56" s="1321"/>
      <c r="H56" s="1093"/>
      <c r="I56" s="1093"/>
      <c r="J56" s="1152"/>
      <c r="K56" s="1093"/>
      <c r="L56" s="1264"/>
      <c r="M56" s="1093"/>
      <c r="N56" s="1264"/>
      <c r="O56" s="1093"/>
      <c r="P56" s="1152"/>
      <c r="Q56" s="1093"/>
      <c r="R56" s="1152"/>
      <c r="S56" s="1093"/>
      <c r="T56" s="1152"/>
      <c r="U56" s="1093"/>
      <c r="V56" s="1152"/>
      <c r="W56" s="1093"/>
    </row>
    <row r="57" spans="1:23">
      <c r="A57" s="1086"/>
      <c r="B57" s="1325"/>
      <c r="C57" s="377"/>
      <c r="D57" s="87"/>
      <c r="E57" s="86"/>
      <c r="F57" s="431"/>
      <c r="G57" s="830"/>
      <c r="H57" s="1093"/>
      <c r="I57" s="1093"/>
      <c r="J57" s="1152"/>
      <c r="K57" s="1093"/>
      <c r="L57" s="1264"/>
      <c r="M57" s="1093"/>
      <c r="N57" s="1264"/>
      <c r="O57" s="1093"/>
      <c r="P57" s="1152"/>
      <c r="Q57" s="1093"/>
      <c r="R57" s="1152"/>
      <c r="S57" s="1093"/>
      <c r="T57" s="1152"/>
      <c r="U57" s="1093"/>
      <c r="V57" s="1152"/>
      <c r="W57" s="1093"/>
    </row>
    <row r="58" spans="1:23" ht="15.75" thickBot="1">
      <c r="A58" s="1086"/>
      <c r="B58" s="1325"/>
      <c r="C58" s="377"/>
      <c r="D58" s="87"/>
      <c r="E58" s="86"/>
      <c r="F58" s="431"/>
      <c r="G58" s="830"/>
      <c r="H58" s="1093"/>
      <c r="I58" s="1093"/>
      <c r="J58" s="1152"/>
      <c r="K58" s="1093"/>
      <c r="L58" s="1264"/>
      <c r="M58" s="1093"/>
      <c r="N58" s="1264"/>
      <c r="O58" s="1093"/>
      <c r="P58" s="1152"/>
      <c r="Q58" s="1093"/>
      <c r="R58" s="1152"/>
      <c r="S58" s="1093"/>
      <c r="T58" s="1152"/>
      <c r="U58" s="1093"/>
      <c r="V58" s="1152"/>
      <c r="W58" s="1093"/>
    </row>
    <row r="59" spans="1:23" ht="15.75" thickTop="1">
      <c r="A59" s="296"/>
      <c r="B59" s="301"/>
      <c r="C59" s="388"/>
      <c r="D59" s="15"/>
      <c r="E59" s="16"/>
      <c r="F59" s="282" t="s">
        <v>753</v>
      </c>
      <c r="G59" s="272">
        <f>SUM(G20:G58)</f>
        <v>458120</v>
      </c>
      <c r="H59" s="273"/>
      <c r="I59" s="273">
        <f>SUM(I12:I58)</f>
        <v>334591.49000000005</v>
      </c>
      <c r="J59" s="273"/>
      <c r="K59" s="273">
        <f>SUM(K12:K58)</f>
        <v>458856</v>
      </c>
      <c r="L59" s="273"/>
      <c r="M59" s="273">
        <f>SUM(M12:M58)</f>
        <v>486855</v>
      </c>
      <c r="N59" s="273"/>
      <c r="O59" s="273">
        <f>SUM(O12:O58)</f>
        <v>474707</v>
      </c>
      <c r="P59" s="273"/>
      <c r="Q59" s="273">
        <f>SUM(Q12:Q58)</f>
        <v>760591</v>
      </c>
      <c r="R59" s="273"/>
      <c r="S59" s="273">
        <f>SUM(S11:S58)</f>
        <v>0</v>
      </c>
      <c r="T59" s="273"/>
      <c r="U59" s="273">
        <f>SUM(U12:U58)</f>
        <v>303840</v>
      </c>
      <c r="V59" s="273"/>
      <c r="W59" s="273">
        <f>SUM(W12:W58)</f>
        <v>0</v>
      </c>
    </row>
    <row r="60" spans="1:23">
      <c r="A60" s="1114"/>
      <c r="B60" s="1326"/>
      <c r="C60" s="464"/>
      <c r="D60" s="433"/>
      <c r="E60" s="434"/>
      <c r="F60" s="435" t="s">
        <v>754</v>
      </c>
      <c r="G60" s="436"/>
      <c r="H60" s="1327">
        <v>0</v>
      </c>
      <c r="I60" s="1328"/>
      <c r="J60" s="1327">
        <v>0</v>
      </c>
      <c r="K60" s="1328"/>
      <c r="L60" s="1327">
        <v>0</v>
      </c>
      <c r="M60" s="1328"/>
      <c r="N60" s="1327">
        <v>0</v>
      </c>
      <c r="O60" s="1328"/>
      <c r="P60" s="1327">
        <v>0</v>
      </c>
      <c r="Q60" s="1328"/>
      <c r="R60" s="1327">
        <v>0</v>
      </c>
      <c r="S60" s="1328"/>
      <c r="T60" s="1327">
        <v>0</v>
      </c>
      <c r="U60" s="1328"/>
      <c r="V60" s="1327">
        <v>0</v>
      </c>
      <c r="W60" s="1328"/>
    </row>
    <row r="61" spans="1:23">
      <c r="A61" s="1114"/>
      <c r="B61" s="1326"/>
      <c r="C61" s="464"/>
      <c r="D61" s="433"/>
      <c r="E61" s="434"/>
      <c r="F61" s="435" t="s">
        <v>755</v>
      </c>
      <c r="G61" s="436"/>
      <c r="H61" s="1328"/>
      <c r="I61" s="1328">
        <f>H60*I59</f>
        <v>0</v>
      </c>
      <c r="J61" s="1328"/>
      <c r="K61" s="1328">
        <f>J60*$K$59</f>
        <v>0</v>
      </c>
      <c r="L61" s="1328"/>
      <c r="M61" s="1328">
        <f>L60*M59</f>
        <v>0</v>
      </c>
      <c r="N61" s="1328"/>
      <c r="O61" s="1328">
        <f>N60*O59</f>
        <v>0</v>
      </c>
      <c r="P61" s="1328"/>
      <c r="Q61" s="1328">
        <f>P60*$Q$59</f>
        <v>0</v>
      </c>
      <c r="R61" s="1328"/>
      <c r="S61" s="1328">
        <f>R60*$S$59</f>
        <v>0</v>
      </c>
      <c r="T61" s="1328"/>
      <c r="U61" s="1328">
        <f>T60*$U$59</f>
        <v>0</v>
      </c>
      <c r="V61" s="1328"/>
      <c r="W61" s="1328">
        <f>V60*W59</f>
        <v>0</v>
      </c>
    </row>
    <row r="62" spans="1:23">
      <c r="A62" s="1114"/>
      <c r="B62" s="1326"/>
      <c r="C62" s="464"/>
      <c r="D62" s="433"/>
      <c r="E62" s="434"/>
      <c r="F62" s="435"/>
      <c r="G62" s="436"/>
      <c r="H62" s="1328"/>
      <c r="I62" s="1328"/>
      <c r="J62" s="1328"/>
      <c r="K62" s="1328"/>
      <c r="L62" s="1328"/>
      <c r="M62" s="1328"/>
      <c r="N62" s="1328"/>
      <c r="O62" s="1328"/>
      <c r="P62" s="1328"/>
      <c r="Q62" s="1328"/>
      <c r="R62" s="1328"/>
      <c r="S62" s="1328"/>
      <c r="T62" s="1328"/>
      <c r="U62" s="1328"/>
      <c r="V62" s="1328"/>
      <c r="W62" s="1328"/>
    </row>
    <row r="63" spans="1:23">
      <c r="A63" s="1114"/>
      <c r="B63" s="1326"/>
      <c r="C63" s="464"/>
      <c r="D63" s="433"/>
      <c r="E63" s="434"/>
      <c r="F63" s="435" t="s">
        <v>756</v>
      </c>
      <c r="G63" s="436"/>
      <c r="H63" s="1328"/>
      <c r="I63" s="1328">
        <f>SUM(I59:I61)</f>
        <v>334591.49000000005</v>
      </c>
      <c r="J63" s="1328"/>
      <c r="K63" s="1328">
        <f>SUM(K59:K62)</f>
        <v>458856</v>
      </c>
      <c r="L63" s="1328"/>
      <c r="M63" s="1328">
        <f>SUM(M59:M61)</f>
        <v>486855</v>
      </c>
      <c r="N63" s="1328"/>
      <c r="O63" s="1328">
        <f>SUM(O59:O61)</f>
        <v>474707</v>
      </c>
      <c r="P63" s="1328"/>
      <c r="Q63" s="1328">
        <f>SUM(Q59:Q61)</f>
        <v>760591</v>
      </c>
      <c r="R63" s="1328"/>
      <c r="S63" s="1328">
        <f>SUM(S59:S61)</f>
        <v>0</v>
      </c>
      <c r="T63" s="1328"/>
      <c r="U63" s="1328">
        <f>SUM(U59:U61)</f>
        <v>303840</v>
      </c>
      <c r="V63" s="1328"/>
      <c r="W63" s="1328">
        <f>SUM(W59:W61)</f>
        <v>0</v>
      </c>
    </row>
    <row r="64" spans="1:23">
      <c r="A64" s="1114"/>
      <c r="B64" s="1326"/>
      <c r="C64" s="464"/>
      <c r="D64" s="433"/>
      <c r="E64" s="434"/>
      <c r="F64" s="437" t="s">
        <v>757</v>
      </c>
      <c r="G64" s="438"/>
      <c r="H64" s="1329"/>
      <c r="I64" s="1329">
        <f>I63/'Area Calculations'!$G$4</f>
        <v>0.57821476403364314</v>
      </c>
      <c r="J64" s="1329"/>
      <c r="K64" s="1329">
        <f>K63/'Area Calculations'!$G$4</f>
        <v>0.79295894156011359</v>
      </c>
      <c r="L64" s="1329"/>
      <c r="M64" s="1329">
        <f>M63/'Area Calculations'!$G$4</f>
        <v>0.8413446168149683</v>
      </c>
      <c r="N64" s="1329"/>
      <c r="O64" s="1329">
        <f>O63/'Area Calculations'!$G$4</f>
        <v>0.82035139623580566</v>
      </c>
      <c r="P64" s="1329"/>
      <c r="Q64" s="1329">
        <f>Q63/'Area Calculations'!$G$4</f>
        <v>1.3143936971950858</v>
      </c>
      <c r="R64" s="1329"/>
      <c r="S64" s="1329">
        <f>S63/'Area Calculations'!$G$4</f>
        <v>0</v>
      </c>
      <c r="T64" s="1329"/>
      <c r="U64" s="1329">
        <f>U63/'Area Calculations'!$G$4</f>
        <v>0.52507245149594839</v>
      </c>
      <c r="V64" s="1329"/>
      <c r="W64" s="1329">
        <f>W63/'Area Calculations'!$G$4</f>
        <v>0</v>
      </c>
    </row>
    <row r="65" spans="1:38">
      <c r="A65" s="1114"/>
      <c r="B65" s="1326"/>
      <c r="C65" s="464"/>
      <c r="D65" s="433"/>
      <c r="E65" s="434"/>
      <c r="F65" s="437" t="s">
        <v>758</v>
      </c>
      <c r="G65" s="438"/>
      <c r="H65" s="1329"/>
      <c r="I65" s="1329">
        <f>I63/'Area Calculations'!$G$9</f>
        <v>3127.0232710280379</v>
      </c>
      <c r="J65" s="1329"/>
      <c r="K65" s="1329">
        <f>K63/'Area Calculations'!$G$9</f>
        <v>4288.3738317757006</v>
      </c>
      <c r="L65" s="1329"/>
      <c r="M65" s="1329">
        <f>M63/'Area Calculations'!$G$9</f>
        <v>4550.0467289719627</v>
      </c>
      <c r="N65" s="1329"/>
      <c r="O65" s="1329">
        <f>O63/'Area Calculations'!$G$9</f>
        <v>4436.5140186915887</v>
      </c>
      <c r="P65" s="1329"/>
      <c r="Q65" s="1329">
        <f>Q63/'Area Calculations'!$G$9</f>
        <v>7108.3271028037379</v>
      </c>
      <c r="R65" s="1329"/>
      <c r="S65" s="1329">
        <f>S63/'Area Calculations'!$G$9</f>
        <v>0</v>
      </c>
      <c r="T65" s="1329"/>
      <c r="U65" s="1329">
        <f>U63/'Area Calculations'!$G$9</f>
        <v>2839.6261682242989</v>
      </c>
      <c r="V65" s="1329"/>
      <c r="W65" s="1329">
        <f>W63/'Area Calculations'!$G$9</f>
        <v>0</v>
      </c>
    </row>
    <row r="66" spans="1:38" ht="15.75" thickBot="1">
      <c r="A66" s="1114"/>
      <c r="B66" s="1326"/>
      <c r="C66" s="464"/>
      <c r="D66" s="433"/>
      <c r="E66" s="434"/>
      <c r="F66" s="439"/>
      <c r="G66" s="436"/>
      <c r="H66" s="1330"/>
      <c r="I66" s="1330"/>
      <c r="J66" s="1330"/>
      <c r="K66" s="1330"/>
      <c r="L66" s="1330"/>
      <c r="M66" s="1330"/>
      <c r="N66" s="1330"/>
      <c r="O66" s="1330"/>
      <c r="P66" s="1330"/>
      <c r="Q66" s="1330"/>
      <c r="R66" s="1330"/>
      <c r="S66" s="1330"/>
      <c r="T66" s="1330"/>
      <c r="U66" s="1330"/>
      <c r="V66" s="1330"/>
      <c r="W66" s="1330"/>
    </row>
    <row r="67" spans="1:38" ht="16.5" thickTop="1" thickBot="1">
      <c r="A67" s="2331" t="s">
        <v>759</v>
      </c>
      <c r="B67" s="2332"/>
      <c r="C67" s="389"/>
      <c r="D67" s="12"/>
      <c r="E67" s="12"/>
      <c r="F67" s="12"/>
      <c r="G67" s="26"/>
      <c r="H67" s="20"/>
      <c r="I67" s="20"/>
      <c r="J67" s="24"/>
      <c r="K67" s="20"/>
      <c r="L67" s="20"/>
      <c r="M67" s="20"/>
      <c r="N67" s="20"/>
      <c r="O67" s="20"/>
      <c r="P67" s="20"/>
      <c r="Q67" s="20"/>
      <c r="R67" s="20"/>
      <c r="S67" s="20"/>
      <c r="T67" s="20"/>
      <c r="U67" s="20"/>
      <c r="V67" s="20"/>
      <c r="W67" s="20"/>
    </row>
    <row r="68" spans="1:38" ht="15.75" thickTop="1">
      <c r="A68" s="1331"/>
      <c r="B68" s="1332"/>
      <c r="C68" s="1315"/>
      <c r="D68" s="1089"/>
      <c r="E68" s="1089"/>
      <c r="F68" s="1089"/>
      <c r="G68" s="1333"/>
      <c r="H68" s="1334"/>
      <c r="I68" s="1334"/>
      <c r="J68" s="1335"/>
      <c r="K68" s="1334"/>
      <c r="L68" s="1334"/>
      <c r="M68" s="1334"/>
      <c r="N68" s="1334"/>
      <c r="O68" s="1334"/>
      <c r="P68" s="1334"/>
      <c r="Q68" s="1334"/>
      <c r="R68" s="1334"/>
      <c r="S68" s="1334"/>
      <c r="T68" s="1334"/>
      <c r="U68" s="1334"/>
      <c r="V68" s="1334"/>
      <c r="W68" s="1334"/>
    </row>
    <row r="69" spans="1:38">
      <c r="A69" s="1331"/>
      <c r="B69" s="1332"/>
      <c r="C69" s="1315"/>
      <c r="D69" s="1089"/>
      <c r="E69" s="1089"/>
      <c r="F69" s="1089"/>
      <c r="G69" s="1333"/>
      <c r="H69" s="1334"/>
      <c r="I69" s="1334"/>
      <c r="J69" s="1335"/>
      <c r="K69" s="1334"/>
      <c r="L69" s="1334"/>
      <c r="M69" s="1334"/>
      <c r="N69" s="1334"/>
      <c r="O69" s="1334"/>
      <c r="P69" s="1334"/>
      <c r="Q69" s="1334"/>
      <c r="R69" s="1334"/>
      <c r="S69" s="1334"/>
      <c r="T69" s="1334"/>
      <c r="U69" s="1334"/>
      <c r="V69" s="1334"/>
      <c r="W69" s="1334"/>
    </row>
    <row r="70" spans="1:38" ht="15.75" thickBot="1">
      <c r="A70" s="1331"/>
      <c r="B70" s="1332"/>
      <c r="C70" s="1315"/>
      <c r="D70" s="1089"/>
      <c r="E70" s="1089"/>
      <c r="F70" s="1089"/>
      <c r="G70" s="1333"/>
      <c r="H70" s="1334"/>
      <c r="I70" s="1334"/>
      <c r="J70" s="1335"/>
      <c r="K70" s="1334"/>
      <c r="L70" s="1334"/>
      <c r="M70" s="1334"/>
      <c r="N70" s="1334"/>
      <c r="O70" s="1334"/>
      <c r="P70" s="1334"/>
      <c r="Q70" s="1334"/>
      <c r="R70" s="1334"/>
      <c r="S70" s="1334"/>
      <c r="T70" s="1334"/>
      <c r="U70" s="1334"/>
      <c r="V70" s="1334"/>
      <c r="W70" s="1334"/>
    </row>
    <row r="71" spans="1:38" s="2" customFormat="1" ht="16.5" thickTop="1" thickBot="1">
      <c r="A71" s="2331" t="s">
        <v>760</v>
      </c>
      <c r="B71" s="2332"/>
      <c r="C71" s="389"/>
      <c r="D71" s="12"/>
      <c r="E71" s="12"/>
      <c r="F71" s="12"/>
      <c r="G71" s="26"/>
      <c r="H71" s="20"/>
      <c r="I71" s="20"/>
      <c r="J71" s="24"/>
      <c r="K71" s="20"/>
      <c r="L71" s="20"/>
      <c r="M71" s="20"/>
      <c r="N71" s="20"/>
      <c r="O71" s="20"/>
      <c r="P71" s="20"/>
      <c r="Q71" s="20"/>
      <c r="R71" s="20"/>
      <c r="S71" s="20"/>
      <c r="T71" s="20"/>
      <c r="U71" s="20"/>
      <c r="V71" s="20"/>
      <c r="W71" s="20"/>
      <c r="AB71"/>
      <c r="AC71"/>
      <c r="AD71"/>
      <c r="AE71"/>
      <c r="AF71"/>
      <c r="AG71"/>
      <c r="AH71"/>
      <c r="AI71"/>
      <c r="AJ71"/>
      <c r="AK71"/>
      <c r="AL71"/>
    </row>
    <row r="72" spans="1:38" s="2" customFormat="1" ht="30.75" thickTop="1">
      <c r="A72" s="1331"/>
      <c r="B72" s="1332" t="s">
        <v>1114</v>
      </c>
      <c r="C72" s="1315"/>
      <c r="D72" s="1089"/>
      <c r="E72" s="1089"/>
      <c r="F72" s="1089"/>
      <c r="G72" s="1333"/>
      <c r="H72" s="1334"/>
      <c r="I72" s="1334"/>
      <c r="J72" s="1335"/>
      <c r="K72" s="1334"/>
      <c r="L72" s="1334"/>
      <c r="M72" s="1334"/>
      <c r="N72" s="1334"/>
      <c r="O72" s="1334"/>
      <c r="P72" s="1334"/>
      <c r="Q72" s="1334"/>
      <c r="R72" s="1334"/>
      <c r="S72" s="1334"/>
      <c r="T72" s="1334"/>
      <c r="U72" s="1334"/>
      <c r="V72" s="1334"/>
      <c r="W72" s="1334"/>
      <c r="AB72"/>
      <c r="AC72"/>
      <c r="AD72"/>
      <c r="AE72"/>
      <c r="AF72"/>
      <c r="AG72"/>
      <c r="AH72"/>
      <c r="AI72"/>
      <c r="AJ72"/>
      <c r="AK72"/>
      <c r="AL72"/>
    </row>
    <row r="73" spans="1:38" s="2" customFormat="1">
      <c r="A73" s="1331"/>
      <c r="B73" s="1332"/>
      <c r="C73" s="1315"/>
      <c r="D73" s="1089"/>
      <c r="E73" s="1089"/>
      <c r="F73" s="1089"/>
      <c r="G73" s="1333"/>
      <c r="H73" s="1334"/>
      <c r="I73" s="1334"/>
      <c r="J73" s="1335"/>
      <c r="K73" s="1334"/>
      <c r="L73" s="1334"/>
      <c r="M73" s="1334"/>
      <c r="N73" s="1334"/>
      <c r="O73" s="1334"/>
      <c r="P73" s="1334"/>
      <c r="Q73" s="1334"/>
      <c r="R73" s="1334"/>
      <c r="S73" s="1334"/>
      <c r="T73" s="1334"/>
      <c r="U73" s="1334"/>
      <c r="V73" s="1334"/>
      <c r="W73" s="1334"/>
      <c r="AB73"/>
      <c r="AC73"/>
      <c r="AD73"/>
      <c r="AE73"/>
      <c r="AF73"/>
      <c r="AG73"/>
      <c r="AH73"/>
      <c r="AI73"/>
      <c r="AJ73"/>
      <c r="AK73"/>
      <c r="AL73"/>
    </row>
    <row r="74" spans="1:38" ht="15.75" thickBot="1">
      <c r="A74" s="1331"/>
      <c r="B74" s="1332"/>
      <c r="C74" s="1315"/>
      <c r="D74" s="1089"/>
      <c r="E74" s="1089"/>
      <c r="F74" s="1089"/>
      <c r="G74" s="1333"/>
      <c r="H74" s="1334"/>
      <c r="I74" s="1334"/>
      <c r="J74" s="1335"/>
      <c r="K74" s="1334"/>
      <c r="L74" s="1334"/>
      <c r="M74" s="1334"/>
      <c r="N74" s="1334"/>
      <c r="O74" s="1334"/>
      <c r="P74" s="1334"/>
      <c r="Q74" s="1334"/>
      <c r="R74" s="1334"/>
      <c r="S74" s="1334"/>
      <c r="T74" s="1334"/>
      <c r="U74" s="1334"/>
      <c r="V74" s="1334"/>
      <c r="W74" s="1334"/>
    </row>
    <row r="75" spans="1:38" s="2" customFormat="1" ht="16.5" thickTop="1" thickBot="1">
      <c r="A75" s="2331" t="s">
        <v>761</v>
      </c>
      <c r="B75" s="2332"/>
      <c r="C75" s="389"/>
      <c r="D75" s="12"/>
      <c r="E75" s="12"/>
      <c r="F75" s="12"/>
      <c r="G75" s="26"/>
      <c r="H75" s="20"/>
      <c r="I75" s="20"/>
      <c r="J75" s="24"/>
      <c r="K75" s="20"/>
      <c r="L75" s="20"/>
      <c r="M75" s="20"/>
      <c r="N75" s="20"/>
      <c r="O75" s="20"/>
      <c r="P75" s="20"/>
      <c r="Q75" s="20"/>
      <c r="R75" s="20"/>
      <c r="S75" s="20"/>
      <c r="T75" s="20"/>
      <c r="U75" s="20"/>
      <c r="V75" s="20"/>
      <c r="W75" s="20"/>
      <c r="AB75"/>
      <c r="AC75"/>
      <c r="AD75"/>
      <c r="AE75"/>
      <c r="AF75"/>
      <c r="AG75"/>
      <c r="AH75"/>
      <c r="AI75"/>
      <c r="AJ75"/>
      <c r="AK75"/>
      <c r="AL75"/>
    </row>
    <row r="76" spans="1:38" s="2" customFormat="1" ht="30.75" thickTop="1">
      <c r="A76" s="1331"/>
      <c r="B76" s="1332" t="s">
        <v>1115</v>
      </c>
      <c r="C76" s="1315"/>
      <c r="D76" s="1089"/>
      <c r="E76" s="1089"/>
      <c r="F76" s="1089"/>
      <c r="G76" s="1333"/>
      <c r="H76" s="1334"/>
      <c r="I76" s="1334"/>
      <c r="J76" s="1335"/>
      <c r="K76" s="1334">
        <v>-36060</v>
      </c>
      <c r="L76" s="1334"/>
      <c r="M76" s="1334"/>
      <c r="N76" s="1334"/>
      <c r="O76" s="1334"/>
      <c r="P76" s="1334"/>
      <c r="Q76" s="1334"/>
      <c r="R76" s="1334"/>
      <c r="S76" s="1334"/>
      <c r="T76" s="1334"/>
      <c r="U76" s="1334"/>
      <c r="V76" s="1334"/>
      <c r="W76" s="1334"/>
      <c r="AB76"/>
      <c r="AC76"/>
      <c r="AD76"/>
      <c r="AE76"/>
      <c r="AF76"/>
      <c r="AG76"/>
      <c r="AH76"/>
      <c r="AI76"/>
      <c r="AJ76"/>
      <c r="AK76"/>
      <c r="AL76"/>
    </row>
    <row r="77" spans="1:38" s="2" customFormat="1" ht="30">
      <c r="A77" s="1124"/>
      <c r="B77" s="1332" t="s">
        <v>1116</v>
      </c>
      <c r="C77" s="457"/>
      <c r="D77" s="422"/>
      <c r="E77" s="422"/>
      <c r="F77" s="422"/>
      <c r="G77" s="831"/>
      <c r="H77" s="1336"/>
      <c r="I77" s="1336"/>
      <c r="J77" s="440"/>
      <c r="K77" s="1336"/>
      <c r="L77" s="1336"/>
      <c r="M77" s="1336"/>
      <c r="N77" s="1336"/>
      <c r="O77" s="1336"/>
      <c r="P77" s="1336"/>
      <c r="Q77" s="1336"/>
      <c r="R77" s="1336"/>
      <c r="S77" s="1336"/>
      <c r="T77" s="1336"/>
      <c r="U77" s="1336"/>
      <c r="V77" s="1336"/>
      <c r="W77" s="1336"/>
      <c r="AB77"/>
      <c r="AC77"/>
      <c r="AD77"/>
      <c r="AE77"/>
      <c r="AF77"/>
      <c r="AG77"/>
      <c r="AH77"/>
      <c r="AI77"/>
      <c r="AJ77"/>
      <c r="AK77"/>
      <c r="AL77"/>
    </row>
    <row r="78" spans="1:38" s="2" customFormat="1" ht="15.75" thickBot="1">
      <c r="A78" s="1126"/>
      <c r="B78" s="1337" t="s">
        <v>1117</v>
      </c>
      <c r="C78" s="457"/>
      <c r="D78" s="422"/>
      <c r="E78" s="422"/>
      <c r="F78" s="422"/>
      <c r="G78" s="831"/>
      <c r="H78" s="1338"/>
      <c r="I78" s="1338"/>
      <c r="J78" s="441"/>
      <c r="K78" s="1338">
        <v>20880</v>
      </c>
      <c r="L78" s="1338"/>
      <c r="M78" s="1338"/>
      <c r="N78" s="1338"/>
      <c r="O78" s="1338"/>
      <c r="P78" s="1338"/>
      <c r="Q78" s="1338"/>
      <c r="R78" s="1338"/>
      <c r="S78" s="1338"/>
      <c r="T78" s="1338"/>
      <c r="U78" s="1338"/>
      <c r="V78" s="1338"/>
      <c r="W78" s="1338"/>
    </row>
    <row r="79" spans="1:38" s="2" customFormat="1" ht="16.5" thickTop="1" thickBot="1">
      <c r="A79" s="2331" t="s">
        <v>762</v>
      </c>
      <c r="B79" s="2332"/>
      <c r="C79" s="389"/>
      <c r="D79" s="12"/>
      <c r="E79" s="12"/>
      <c r="F79" s="12"/>
      <c r="G79" s="26"/>
      <c r="H79" s="20"/>
      <c r="I79" s="20"/>
      <c r="J79" s="24"/>
      <c r="K79" s="20"/>
      <c r="L79" s="20"/>
      <c r="M79" s="20"/>
      <c r="N79" s="20"/>
      <c r="O79" s="20"/>
      <c r="P79" s="20"/>
      <c r="Q79" s="20"/>
      <c r="R79" s="20"/>
      <c r="S79" s="20"/>
      <c r="T79" s="20"/>
      <c r="U79" s="20"/>
      <c r="V79" s="20"/>
      <c r="W79" s="20"/>
      <c r="AB79"/>
      <c r="AC79"/>
      <c r="AD79"/>
      <c r="AE79"/>
      <c r="AF79"/>
      <c r="AG79"/>
      <c r="AH79"/>
      <c r="AI79"/>
      <c r="AJ79"/>
      <c r="AK79"/>
      <c r="AL79"/>
    </row>
    <row r="80" spans="1:38" ht="15.75" thickTop="1">
      <c r="A80" s="1339"/>
      <c r="B80" s="1340"/>
      <c r="C80" s="1315"/>
      <c r="D80" s="1089"/>
      <c r="E80" s="1089"/>
      <c r="F80" s="1089"/>
      <c r="G80" s="1333"/>
      <c r="H80" s="1334"/>
      <c r="I80" s="1334"/>
      <c r="J80" s="1335"/>
      <c r="K80" s="1334"/>
      <c r="L80" s="1334"/>
      <c r="M80" s="1334"/>
      <c r="N80" s="1334"/>
      <c r="O80" s="1334"/>
      <c r="P80" s="1334"/>
      <c r="Q80" s="1334"/>
      <c r="R80" s="1334"/>
      <c r="S80" s="1334"/>
      <c r="T80" s="1334"/>
      <c r="U80" s="1334"/>
      <c r="V80" s="1334"/>
      <c r="W80" s="1334"/>
      <c r="AB80" s="2"/>
      <c r="AC80" s="2"/>
      <c r="AD80" s="2"/>
      <c r="AE80" s="2"/>
      <c r="AF80" s="2"/>
      <c r="AG80" s="2"/>
      <c r="AH80" s="2"/>
      <c r="AI80" s="2"/>
      <c r="AJ80" s="2"/>
      <c r="AK80" s="2"/>
      <c r="AL80" s="2"/>
    </row>
    <row r="81" spans="1:38">
      <c r="A81" s="1126"/>
      <c r="B81" s="1337"/>
      <c r="C81" s="457"/>
      <c r="D81" s="422"/>
      <c r="E81" s="422"/>
      <c r="F81" s="422"/>
      <c r="G81" s="831"/>
      <c r="H81" s="1341"/>
      <c r="I81" s="1341"/>
      <c r="J81" s="442"/>
      <c r="K81" s="1341"/>
      <c r="L81" s="1341"/>
      <c r="M81" s="1341"/>
      <c r="N81" s="1341"/>
      <c r="O81" s="1341"/>
      <c r="P81" s="1341"/>
      <c r="Q81" s="1341"/>
      <c r="R81" s="1341"/>
      <c r="S81" s="1341"/>
      <c r="T81" s="1341"/>
      <c r="U81" s="1341"/>
      <c r="V81" s="1341"/>
      <c r="W81" s="1341"/>
      <c r="AB81" s="2"/>
      <c r="AC81" s="2"/>
      <c r="AD81" s="2"/>
      <c r="AE81" s="2"/>
      <c r="AF81" s="2"/>
      <c r="AG81" s="2"/>
      <c r="AH81" s="2"/>
      <c r="AI81" s="2"/>
      <c r="AJ81" s="2"/>
      <c r="AK81" s="2"/>
      <c r="AL81" s="2"/>
    </row>
    <row r="82" spans="1:38" ht="15.75" thickBot="1">
      <c r="A82" s="1126"/>
      <c r="B82" s="1337"/>
      <c r="C82" s="457"/>
      <c r="D82" s="422"/>
      <c r="E82" s="422"/>
      <c r="F82" s="422"/>
      <c r="G82" s="831"/>
      <c r="H82" s="1341"/>
      <c r="I82" s="1341"/>
      <c r="J82" s="442"/>
      <c r="K82" s="1341"/>
      <c r="L82" s="1341"/>
      <c r="M82" s="1341"/>
      <c r="N82" s="1341"/>
      <c r="O82" s="1341"/>
      <c r="P82" s="1341"/>
      <c r="Q82" s="1341"/>
      <c r="R82" s="1341"/>
      <c r="S82" s="1341"/>
      <c r="T82" s="1341"/>
      <c r="U82" s="1341"/>
      <c r="V82" s="1341"/>
      <c r="W82" s="1341"/>
      <c r="AB82" s="2"/>
      <c r="AC82" s="2"/>
      <c r="AD82" s="2"/>
      <c r="AE82" s="2"/>
      <c r="AF82" s="2"/>
      <c r="AG82" s="2"/>
      <c r="AH82" s="2"/>
      <c r="AI82" s="2"/>
      <c r="AJ82" s="2"/>
      <c r="AK82" s="2"/>
      <c r="AL82" s="2"/>
    </row>
    <row r="83" spans="1:38" ht="16.5" thickTop="1" thickBot="1">
      <c r="A83" s="2331" t="s">
        <v>763</v>
      </c>
      <c r="B83" s="2332"/>
      <c r="C83" s="389"/>
      <c r="D83" s="12"/>
      <c r="E83" s="12"/>
      <c r="F83" s="12"/>
      <c r="G83" s="26"/>
      <c r="H83" s="20"/>
      <c r="I83" s="20"/>
      <c r="J83" s="24"/>
      <c r="K83" s="20"/>
      <c r="L83" s="20"/>
      <c r="M83" s="20"/>
      <c r="N83" s="20"/>
      <c r="O83" s="20"/>
      <c r="P83" s="20"/>
      <c r="Q83" s="20"/>
      <c r="R83" s="20"/>
      <c r="S83" s="20"/>
      <c r="T83" s="20"/>
      <c r="U83" s="20"/>
      <c r="V83" s="20"/>
      <c r="W83" s="20"/>
    </row>
    <row r="84" spans="1:38" ht="15.75" thickTop="1">
      <c r="A84" s="1124"/>
      <c r="B84" s="1332" t="s">
        <v>764</v>
      </c>
      <c r="C84" s="457"/>
      <c r="D84" s="422"/>
      <c r="E84" s="422"/>
      <c r="F84" s="422"/>
      <c r="G84" s="831"/>
      <c r="H84" s="1341"/>
      <c r="I84" s="1341"/>
      <c r="J84" s="442"/>
      <c r="K84" s="1341"/>
      <c r="L84" s="1341"/>
      <c r="M84" s="1341"/>
      <c r="N84" s="1341"/>
      <c r="O84" s="1341"/>
      <c r="P84" s="1341"/>
      <c r="Q84" s="1341"/>
      <c r="R84" s="1341"/>
      <c r="S84" s="1341"/>
      <c r="T84" s="1341"/>
      <c r="U84" s="1341"/>
      <c r="V84" s="1341"/>
      <c r="W84" s="1341"/>
    </row>
    <row r="85" spans="1:38">
      <c r="A85" s="1124"/>
      <c r="B85" s="1332" t="s">
        <v>765</v>
      </c>
      <c r="C85" s="457"/>
      <c r="D85" s="422"/>
      <c r="E85" s="422"/>
      <c r="F85" s="422"/>
      <c r="G85" s="831"/>
      <c r="H85" s="1341"/>
      <c r="I85" s="1341"/>
      <c r="J85" s="442"/>
      <c r="K85" s="1341"/>
      <c r="L85" s="1341"/>
      <c r="M85" s="1341"/>
      <c r="N85" s="1341"/>
      <c r="O85" s="1341"/>
      <c r="P85" s="1341"/>
      <c r="Q85" s="1341"/>
      <c r="R85" s="1341"/>
      <c r="S85" s="1341"/>
      <c r="T85" s="1341"/>
      <c r="U85" s="1341"/>
      <c r="V85" s="1341"/>
      <c r="W85" s="1341"/>
    </row>
    <row r="86" spans="1:38">
      <c r="A86" s="1124"/>
      <c r="B86" s="1332" t="s">
        <v>766</v>
      </c>
      <c r="C86" s="457"/>
      <c r="D86" s="422"/>
      <c r="E86" s="422"/>
      <c r="F86" s="422"/>
      <c r="G86" s="831"/>
      <c r="H86" s="1341"/>
      <c r="I86" s="1341"/>
      <c r="J86" s="442"/>
      <c r="K86" s="1341"/>
      <c r="L86" s="1341"/>
      <c r="M86" s="1341"/>
      <c r="N86" s="1341"/>
      <c r="O86" s="1341"/>
      <c r="P86" s="1341"/>
      <c r="Q86" s="1341"/>
      <c r="R86" s="1341"/>
      <c r="S86" s="1341"/>
      <c r="T86" s="1341"/>
      <c r="U86" s="1341"/>
      <c r="V86" s="1341"/>
      <c r="W86" s="1341"/>
    </row>
    <row r="87" spans="1:38">
      <c r="A87" s="1124"/>
      <c r="B87" s="1332" t="s">
        <v>767</v>
      </c>
      <c r="C87" s="457"/>
      <c r="D87" s="422"/>
      <c r="E87" s="422"/>
      <c r="F87" s="422"/>
      <c r="G87" s="831"/>
      <c r="H87" s="1341"/>
      <c r="I87" s="1341"/>
      <c r="J87" s="442"/>
      <c r="K87" s="1341"/>
      <c r="L87" s="1341"/>
      <c r="M87" s="1341"/>
      <c r="N87" s="1341"/>
      <c r="O87" s="1341"/>
      <c r="P87" s="1341"/>
      <c r="Q87" s="1341"/>
      <c r="R87" s="1341"/>
      <c r="S87" s="1341"/>
      <c r="T87" s="1341"/>
      <c r="U87" s="1341"/>
      <c r="V87" s="1341"/>
      <c r="W87" s="1341"/>
    </row>
    <row r="88" spans="1:38" ht="15.75" thickBot="1">
      <c r="A88" s="443"/>
      <c r="B88" s="421"/>
      <c r="C88" s="377"/>
      <c r="D88" s="86"/>
      <c r="E88" s="86"/>
      <c r="F88" s="86"/>
      <c r="G88" s="27"/>
      <c r="H88" s="444"/>
      <c r="I88" s="444"/>
      <c r="J88" s="25"/>
      <c r="K88" s="444"/>
      <c r="L88" s="444"/>
      <c r="M88" s="444"/>
      <c r="N88" s="444"/>
      <c r="O88" s="444"/>
      <c r="P88" s="444"/>
      <c r="Q88" s="444"/>
      <c r="R88" s="444"/>
      <c r="S88" s="444"/>
      <c r="T88" s="444"/>
      <c r="U88" s="444"/>
      <c r="V88" s="444"/>
      <c r="W88" s="444"/>
    </row>
    <row r="89" spans="1:38" ht="16.5" thickTop="1" thickBot="1">
      <c r="A89" s="72" t="s">
        <v>768</v>
      </c>
      <c r="B89" s="73"/>
      <c r="C89" s="389"/>
      <c r="D89" s="12"/>
      <c r="E89" s="12"/>
      <c r="F89" s="12"/>
      <c r="G89" s="26"/>
      <c r="H89" s="20"/>
      <c r="I89" s="20"/>
      <c r="J89" s="24"/>
      <c r="K89" s="20"/>
      <c r="L89" s="20"/>
      <c r="M89" s="20"/>
      <c r="N89" s="20"/>
      <c r="O89" s="20"/>
      <c r="P89" s="20"/>
      <c r="Q89" s="20"/>
      <c r="R89" s="20"/>
      <c r="S89" s="20"/>
      <c r="T89" s="20"/>
      <c r="U89" s="20"/>
      <c r="V89" s="20"/>
      <c r="W89" s="20"/>
    </row>
    <row r="90" spans="1:38" ht="15.75" thickTop="1">
      <c r="A90" s="1331"/>
      <c r="B90" s="1342" t="s">
        <v>769</v>
      </c>
      <c r="C90" s="1315"/>
      <c r="D90" s="1089"/>
      <c r="E90" s="1089"/>
      <c r="F90" s="1089"/>
      <c r="G90" s="1333"/>
      <c r="H90" s="1343"/>
      <c r="I90" s="1343"/>
      <c r="J90" s="1344"/>
      <c r="K90" s="1343"/>
      <c r="L90" s="1343"/>
      <c r="M90" s="1343"/>
      <c r="N90" s="1343"/>
      <c r="O90" s="1343"/>
      <c r="P90" s="1343"/>
      <c r="Q90" s="1343"/>
      <c r="R90" s="1343"/>
      <c r="S90" s="1343"/>
      <c r="T90" s="1343"/>
      <c r="U90" s="1343"/>
      <c r="V90" s="1343"/>
      <c r="W90" s="1343"/>
    </row>
    <row r="91" spans="1:38">
      <c r="A91" s="1124"/>
      <c r="B91" s="1332" t="s">
        <v>770</v>
      </c>
      <c r="C91" s="457"/>
      <c r="D91" s="422"/>
      <c r="E91" s="422"/>
      <c r="F91" s="422"/>
      <c r="G91" s="831"/>
      <c r="H91" s="1345"/>
      <c r="I91" s="1345"/>
      <c r="J91" s="445"/>
      <c r="K91" s="1345"/>
      <c r="L91" s="1345"/>
      <c r="M91" s="1345"/>
      <c r="N91" s="1345"/>
      <c r="O91" s="1345"/>
      <c r="P91" s="1345"/>
      <c r="Q91" s="1345"/>
      <c r="R91" s="1345"/>
      <c r="S91" s="1345"/>
      <c r="T91" s="1345"/>
      <c r="U91" s="1345"/>
      <c r="V91" s="1345"/>
      <c r="W91" s="1345"/>
    </row>
    <row r="92" spans="1:38" ht="15.75" thickBot="1">
      <c r="A92" s="1183"/>
      <c r="B92" s="1184" t="s">
        <v>771</v>
      </c>
      <c r="C92" s="1346"/>
      <c r="D92" s="1186"/>
      <c r="E92" s="1186"/>
      <c r="F92" s="1186"/>
      <c r="G92" s="1187"/>
      <c r="H92" s="1189"/>
      <c r="I92" s="1189"/>
      <c r="J92" s="1188"/>
      <c r="K92" s="1189"/>
      <c r="L92" s="1189"/>
      <c r="M92" s="1189"/>
      <c r="N92" s="1189"/>
      <c r="O92" s="1189"/>
      <c r="P92" s="1189"/>
      <c r="Q92" s="1189"/>
      <c r="R92" s="1189"/>
      <c r="S92" s="1189"/>
      <c r="T92" s="1189"/>
      <c r="U92" s="1189"/>
      <c r="V92" s="1189"/>
      <c r="W92" s="1189"/>
    </row>
    <row r="93" spans="1:38" ht="16.5" thickTop="1" thickBot="1">
      <c r="F93" s="2"/>
      <c r="G93" s="2"/>
      <c r="H93" s="2"/>
      <c r="I93" s="2"/>
      <c r="J93" s="2"/>
      <c r="K93" s="2"/>
      <c r="L93" s="2"/>
      <c r="M93" s="2"/>
      <c r="N93" s="2"/>
      <c r="O93" s="2"/>
      <c r="P93" s="2"/>
      <c r="Q93" s="2"/>
      <c r="R93" s="2"/>
      <c r="S93" s="2"/>
      <c r="T93" s="2"/>
      <c r="U93" s="2"/>
      <c r="V93" s="2"/>
      <c r="W93" s="2"/>
    </row>
    <row r="94" spans="1:38" ht="16.5" thickTop="1" thickBot="1">
      <c r="A94" s="37" t="s">
        <v>772</v>
      </c>
      <c r="B94" s="39"/>
      <c r="F94" s="2"/>
      <c r="G94" s="2"/>
      <c r="H94" s="2"/>
      <c r="I94" s="2"/>
      <c r="J94" s="2"/>
      <c r="K94" s="2"/>
      <c r="L94" s="2"/>
      <c r="M94" s="2"/>
      <c r="N94" s="2"/>
      <c r="O94" s="2"/>
      <c r="P94" s="2"/>
      <c r="Q94" s="2"/>
      <c r="R94" s="2"/>
      <c r="S94" s="2"/>
      <c r="T94" s="2"/>
      <c r="U94" s="2"/>
      <c r="V94" s="2"/>
      <c r="W94" s="2"/>
    </row>
    <row r="95" spans="1:38" ht="15.75" thickTop="1">
      <c r="A95" s="38" t="s">
        <v>693</v>
      </c>
      <c r="B95" s="1347" t="str">
        <f>H5</f>
        <v>Pilar Welding</v>
      </c>
      <c r="F95" s="2"/>
      <c r="G95" s="2"/>
      <c r="H95" s="2"/>
      <c r="I95" s="2"/>
      <c r="J95" s="2"/>
      <c r="K95" s="2"/>
      <c r="L95" s="2"/>
      <c r="M95" s="2"/>
      <c r="N95" s="2"/>
      <c r="O95" s="2"/>
      <c r="P95" s="2"/>
      <c r="Q95" s="2"/>
      <c r="R95" s="2"/>
      <c r="S95" s="2"/>
      <c r="T95" s="2"/>
      <c r="U95" s="2"/>
      <c r="V95" s="2"/>
      <c r="W95" s="2"/>
    </row>
    <row r="96" spans="1:38">
      <c r="A96" s="1142" t="s">
        <v>702</v>
      </c>
      <c r="B96" s="1347" t="str">
        <f>H6</f>
        <v>Estimating</v>
      </c>
      <c r="F96" s="2"/>
      <c r="G96" s="2"/>
      <c r="H96" s="2"/>
      <c r="I96" s="2"/>
      <c r="J96" s="2"/>
      <c r="K96" s="2"/>
      <c r="L96" s="2"/>
      <c r="M96" s="2"/>
      <c r="N96" s="2"/>
      <c r="O96" s="2"/>
      <c r="P96" s="2"/>
      <c r="Q96" s="2"/>
      <c r="R96" s="2"/>
      <c r="S96" s="2"/>
      <c r="T96" s="2"/>
      <c r="U96" s="2"/>
      <c r="V96" s="2"/>
      <c r="W96" s="2"/>
    </row>
    <row r="97" spans="1:23">
      <c r="A97" s="1348" t="s">
        <v>708</v>
      </c>
      <c r="B97" s="1349" t="str">
        <f>H7</f>
        <v>561-524-9246</v>
      </c>
      <c r="F97" s="2"/>
      <c r="G97" s="2"/>
      <c r="H97" s="2"/>
      <c r="I97" s="2"/>
      <c r="J97" s="2"/>
      <c r="K97" s="2"/>
      <c r="L97" s="2"/>
      <c r="M97" s="2"/>
      <c r="N97" s="2"/>
      <c r="O97" s="2"/>
      <c r="P97" s="2"/>
      <c r="Q97" s="2"/>
      <c r="R97" s="2"/>
      <c r="S97" s="2"/>
      <c r="T97" s="2"/>
      <c r="U97" s="2"/>
      <c r="V97" s="2"/>
      <c r="W97" s="2"/>
    </row>
    <row r="98" spans="1:23">
      <c r="A98" s="1348" t="s">
        <v>713</v>
      </c>
      <c r="B98" s="1350" t="str">
        <f>H8</f>
        <v>estimating@pilarwelding.com</v>
      </c>
      <c r="F98" s="2"/>
      <c r="G98" s="2"/>
      <c r="H98" s="2"/>
      <c r="I98" s="2"/>
      <c r="J98" s="2"/>
      <c r="K98" s="2"/>
      <c r="L98" s="2"/>
      <c r="M98" s="2"/>
      <c r="N98" s="2"/>
      <c r="O98" s="2"/>
      <c r="P98" s="2"/>
      <c r="Q98" s="2"/>
      <c r="R98" s="2"/>
      <c r="S98" s="2"/>
      <c r="T98" s="2"/>
      <c r="U98" s="2"/>
      <c r="V98" s="2"/>
      <c r="W98" s="2"/>
    </row>
    <row r="99" spans="1:23" ht="15.75" thickBot="1">
      <c r="A99" s="1194" t="s">
        <v>69</v>
      </c>
      <c r="B99" s="1231">
        <f>H9</f>
        <v>334591.49000000005</v>
      </c>
      <c r="F99" s="2"/>
      <c r="G99" s="2"/>
      <c r="H99" s="2"/>
      <c r="I99" s="2"/>
      <c r="J99" s="2"/>
      <c r="K99" s="2"/>
      <c r="L99" s="2"/>
      <c r="M99" s="2"/>
      <c r="N99" s="2"/>
      <c r="O99" s="2"/>
      <c r="P99" s="2"/>
      <c r="Q99" s="2"/>
      <c r="R99" s="2"/>
      <c r="S99" s="2"/>
      <c r="T99" s="2"/>
      <c r="U99" s="2"/>
      <c r="V99" s="2"/>
      <c r="W99" s="2"/>
    </row>
    <row r="100" spans="1:23" ht="15.75" thickTop="1"/>
  </sheetData>
  <mergeCells count="55">
    <mergeCell ref="A67:B67"/>
    <mergeCell ref="A71:B71"/>
    <mergeCell ref="A75:B75"/>
    <mergeCell ref="A79:B79"/>
    <mergeCell ref="A83:B83"/>
    <mergeCell ref="V5:W5"/>
    <mergeCell ref="J4:K4"/>
    <mergeCell ref="P4:Q4"/>
    <mergeCell ref="R4:S4"/>
    <mergeCell ref="T4:U4"/>
    <mergeCell ref="V4:W4"/>
    <mergeCell ref="J5:K5"/>
    <mergeCell ref="P5:Q5"/>
    <mergeCell ref="R5:S5"/>
    <mergeCell ref="T5:U5"/>
    <mergeCell ref="R7:S7"/>
    <mergeCell ref="T7:U7"/>
    <mergeCell ref="J6:K6"/>
    <mergeCell ref="P6:Q6"/>
    <mergeCell ref="R6:S6"/>
    <mergeCell ref="T6:U6"/>
    <mergeCell ref="J3:K3"/>
    <mergeCell ref="P3:Q3"/>
    <mergeCell ref="V9:W9"/>
    <mergeCell ref="J8:K8"/>
    <mergeCell ref="P8:Q8"/>
    <mergeCell ref="R8:S8"/>
    <mergeCell ref="T8:U8"/>
    <mergeCell ref="V8:W8"/>
    <mergeCell ref="J9:K9"/>
    <mergeCell ref="P9:Q9"/>
    <mergeCell ref="R9:S9"/>
    <mergeCell ref="T9:U9"/>
    <mergeCell ref="V7:W7"/>
    <mergeCell ref="V6:W6"/>
    <mergeCell ref="J7:K7"/>
    <mergeCell ref="P7:Q7"/>
    <mergeCell ref="N9:O9"/>
    <mergeCell ref="N4:O4"/>
    <mergeCell ref="N5:O5"/>
    <mergeCell ref="N6:O6"/>
    <mergeCell ref="N7:O7"/>
    <mergeCell ref="N8:O8"/>
    <mergeCell ref="H8:I8"/>
    <mergeCell ref="H4:I4"/>
    <mergeCell ref="H9:I9"/>
    <mergeCell ref="L9:M9"/>
    <mergeCell ref="L4:M4"/>
    <mergeCell ref="L5:M5"/>
    <mergeCell ref="L6:M6"/>
    <mergeCell ref="L7:M7"/>
    <mergeCell ref="L8:M8"/>
    <mergeCell ref="H6:I6"/>
    <mergeCell ref="H7:I7"/>
    <mergeCell ref="H5:I5"/>
  </mergeCells>
  <phoneticPr fontId="14" type="noConversion"/>
  <conditionalFormatting sqref="H12:H18">
    <cfRule type="cellIs" dxfId="573" priority="19" operator="equal">
      <formula>"X"</formula>
    </cfRule>
    <cfRule type="cellIs" dxfId="572" priority="20" operator="equal">
      <formula>"I"</formula>
    </cfRule>
  </conditionalFormatting>
  <conditionalFormatting sqref="H22:H24">
    <cfRule type="cellIs" dxfId="571" priority="17" operator="equal">
      <formula>"X"</formula>
    </cfRule>
    <cfRule type="cellIs" dxfId="570" priority="18" operator="equal">
      <formula>"I"</formula>
    </cfRule>
  </conditionalFormatting>
  <conditionalFormatting sqref="H26:H49">
    <cfRule type="cellIs" dxfId="569" priority="5" operator="equal">
      <formula>"X"</formula>
    </cfRule>
    <cfRule type="cellIs" dxfId="568" priority="6" operator="equal">
      <formula>"I"</formula>
    </cfRule>
  </conditionalFormatting>
  <conditionalFormatting sqref="H51:H52">
    <cfRule type="cellIs" dxfId="567" priority="1" operator="equal">
      <formula>"X"</formula>
    </cfRule>
    <cfRule type="cellIs" dxfId="566" priority="2" operator="equal">
      <formula>"I"</formula>
    </cfRule>
  </conditionalFormatting>
  <conditionalFormatting sqref="J11:J19 J21:J58 L21:L58 N21:N58 P21:P58 R21:R58 T21:T58 V21:V58">
    <cfRule type="cellIs" dxfId="565" priority="27" operator="equal">
      <formula>"X"</formula>
    </cfRule>
    <cfRule type="cellIs" dxfId="564" priority="28" operator="equal">
      <formula>"I"</formula>
    </cfRule>
  </conditionalFormatting>
  <conditionalFormatting sqref="L11:L19">
    <cfRule type="cellIs" dxfId="563" priority="23" operator="equal">
      <formula>"X"</formula>
    </cfRule>
    <cfRule type="cellIs" dxfId="562" priority="24" operator="equal">
      <formula>"I"</formula>
    </cfRule>
  </conditionalFormatting>
  <conditionalFormatting sqref="N11:N19">
    <cfRule type="cellIs" dxfId="561" priority="25" operator="equal">
      <formula>"X"</formula>
    </cfRule>
    <cfRule type="cellIs" dxfId="560" priority="26" operator="equal">
      <formula>"I"</formula>
    </cfRule>
  </conditionalFormatting>
  <conditionalFormatting sqref="P11:P19">
    <cfRule type="cellIs" dxfId="559" priority="21" operator="equal">
      <formula>"X"</formula>
    </cfRule>
    <cfRule type="cellIs" dxfId="558" priority="22" operator="equal">
      <formula>"I"</formula>
    </cfRule>
  </conditionalFormatting>
  <conditionalFormatting sqref="R11:R19 T11:T19 V11:V19">
    <cfRule type="cellIs" dxfId="557" priority="47" operator="equal">
      <formula>"X"</formula>
    </cfRule>
    <cfRule type="cellIs" dxfId="556" priority="48" operator="equal">
      <formula>"I"</formula>
    </cfRule>
  </conditionalFormatting>
  <hyperlinks>
    <hyperlink ref="B4" location="'Cost Summary'!A1" display="BACK TO SUMMARY SHEET" xr:uid="{6C5F867E-2E00-4B98-9722-41B6BE50AACC}"/>
    <hyperlink ref="J8:K8" r:id="rId1" display="&lt;lmontes@coastalmetal.biz&gt;" xr:uid="{24F3F175-75D8-4E0E-B2CD-F8E65946068E}"/>
    <hyperlink ref="P8:Q8" r:id="rId2" display="Robert.Rutherford@unlimitedwelding.com" xr:uid="{54F62F62-2CDA-48EF-A171-B9009553E92C}"/>
    <hyperlink ref="V8:W8" r:id="rId3" display="ace-st@cfl.rr.com" xr:uid="{D58E04F0-C77B-4E14-9888-B47B58149A14}"/>
    <hyperlink ref="N8:O8" r:id="rId4" display="Estimating@chanceymetals.com " xr:uid="{94D960BE-012E-4E53-AB3F-B5CA48C31150}"/>
    <hyperlink ref="L8" r:id="rId5" display=" mavila@panelsandsteel.com&gt; " xr:uid="{3FD5F8C2-E765-448F-AF42-ECC967B03711}"/>
    <hyperlink ref="L8:M8" r:id="rId6" display="rgainer@panelsandsteel.com" xr:uid="{9968701B-7937-419F-BC9B-C00DBF117201}"/>
    <hyperlink ref="T8:U8" r:id="rId7" display="zt@radaf.com" xr:uid="{F33DD711-904D-4CBA-9F86-2B007F390361}"/>
    <hyperlink ref="H8:I8" r:id="rId8" display="estimating@pilarwelding.com" xr:uid="{49ED247D-F905-4E14-816D-5F1B5E1FE4A5}"/>
  </hyperlinks>
  <pageMargins left="0.7" right="0.7" top="0.75" bottom="0.75" header="0.3" footer="0.3"/>
  <pageSetup orientation="portrait" r:id="rId9"/>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FA88-1782-4707-8620-B9366DC54E8A}">
  <sheetPr>
    <tabColor rgb="FF00B0F0"/>
  </sheetPr>
  <dimension ref="A1:AO92"/>
  <sheetViews>
    <sheetView zoomScale="90" zoomScaleNormal="90" workbookViewId="0">
      <pane xSplit="2" ySplit="10" topLeftCell="C16" activePane="bottomRight" state="frozen"/>
      <selection pane="topRight" activeCell="C1" sqref="C1"/>
      <selection pane="bottomLeft" activeCell="A11" sqref="A11"/>
      <selection pane="bottomRight" activeCell="B22" sqref="B22"/>
    </sheetView>
  </sheetViews>
  <sheetFormatPr defaultRowHeight="15"/>
  <cols>
    <col min="1" max="1" width="11" customWidth="1"/>
    <col min="2" max="2" width="70.7109375" style="1" customWidth="1"/>
    <col min="3" max="3" width="12.7109375" style="2" customWidth="1"/>
    <col min="4" max="4" width="12.7109375" style="260"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E1" s="68"/>
      <c r="F1" s="275"/>
      <c r="G1" s="269" t="s">
        <v>679</v>
      </c>
      <c r="X1" s="261"/>
    </row>
    <row r="2" spans="1:24">
      <c r="E2" s="68"/>
      <c r="F2" s="276" t="s">
        <v>680</v>
      </c>
      <c r="G2" s="269" t="s">
        <v>681</v>
      </c>
      <c r="X2" s="261"/>
    </row>
    <row r="3" spans="1:24" ht="15.75" thickBot="1">
      <c r="E3" s="68"/>
      <c r="F3" s="277" t="s">
        <v>682</v>
      </c>
      <c r="G3" s="269" t="s">
        <v>683</v>
      </c>
      <c r="X3" s="261"/>
    </row>
    <row r="4" spans="1:24" ht="15.75" thickBot="1">
      <c r="B4" s="262" t="s">
        <v>684</v>
      </c>
      <c r="E4" s="68"/>
      <c r="F4" s="278"/>
      <c r="G4" s="270" t="s">
        <v>685</v>
      </c>
      <c r="H4" s="2319" t="s">
        <v>686</v>
      </c>
      <c r="I4" s="2320"/>
      <c r="J4" s="2319" t="s">
        <v>687</v>
      </c>
      <c r="K4" s="2320"/>
      <c r="L4" s="2319" t="s">
        <v>688</v>
      </c>
      <c r="M4" s="2320"/>
      <c r="N4" s="2319" t="s">
        <v>689</v>
      </c>
      <c r="O4" s="2320"/>
      <c r="P4" s="2319" t="s">
        <v>690</v>
      </c>
      <c r="Q4" s="2320"/>
      <c r="R4" s="2319" t="s">
        <v>691</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1351" t="s">
        <v>105</v>
      </c>
      <c r="C6" s="415"/>
      <c r="D6" s="416"/>
      <c r="E6" s="417"/>
      <c r="F6" s="418"/>
      <c r="G6" s="419" t="s">
        <v>702</v>
      </c>
      <c r="H6" s="2325"/>
      <c r="I6" s="2326"/>
      <c r="J6" s="2325"/>
      <c r="K6" s="2326"/>
      <c r="L6" s="2325"/>
      <c r="M6" s="2326"/>
      <c r="N6" s="2325"/>
      <c r="O6" s="2326"/>
      <c r="P6" s="2313"/>
      <c r="Q6" s="2314"/>
      <c r="R6" s="2313"/>
      <c r="S6" s="2314"/>
      <c r="X6" s="261"/>
    </row>
    <row r="7" spans="1:24">
      <c r="A7" s="1082" t="s">
        <v>706</v>
      </c>
      <c r="B7" s="1352" t="s">
        <v>301</v>
      </c>
      <c r="C7" s="415"/>
      <c r="D7" s="416"/>
      <c r="E7" s="417"/>
      <c r="F7" s="418"/>
      <c r="G7" s="829" t="s">
        <v>708</v>
      </c>
      <c r="H7" s="2325"/>
      <c r="I7" s="2326"/>
      <c r="J7" s="2325"/>
      <c r="K7" s="2326"/>
      <c r="L7" s="2325"/>
      <c r="M7" s="2326"/>
      <c r="N7" s="2325"/>
      <c r="O7" s="2326"/>
      <c r="P7" s="2313"/>
      <c r="Q7" s="2314"/>
      <c r="R7" s="2313"/>
      <c r="S7" s="2314"/>
      <c r="X7" s="261"/>
    </row>
    <row r="8" spans="1:24">
      <c r="A8" s="1082" t="s">
        <v>712</v>
      </c>
      <c r="B8" s="1353"/>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493891</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354"/>
      <c r="B11" s="1355" t="s">
        <v>725</v>
      </c>
      <c r="C11" s="1261"/>
      <c r="D11" s="1356"/>
      <c r="E11" s="1357"/>
      <c r="F11" s="1358"/>
      <c r="G11" s="1359"/>
      <c r="H11" s="1360"/>
      <c r="I11" s="1361"/>
      <c r="J11" s="1360"/>
      <c r="K11" s="285"/>
      <c r="L11" s="1360"/>
      <c r="M11" s="1362"/>
      <c r="N11" s="1360"/>
      <c r="O11" s="1362"/>
      <c r="P11" s="1360"/>
      <c r="Q11" s="1362"/>
      <c r="R11" s="1360"/>
      <c r="S11" s="1362"/>
    </row>
    <row r="12" spans="1:24">
      <c r="A12" s="1354"/>
      <c r="B12" s="1363" t="s">
        <v>726</v>
      </c>
      <c r="C12" s="446"/>
      <c r="D12" s="416"/>
      <c r="E12" s="422"/>
      <c r="F12" s="418"/>
      <c r="G12" s="423"/>
      <c r="H12" s="1364"/>
      <c r="I12" s="1361"/>
      <c r="J12" s="1364"/>
      <c r="K12" s="1362"/>
      <c r="L12" s="1364"/>
      <c r="M12" s="1362"/>
      <c r="N12" s="1364"/>
      <c r="O12" s="1362"/>
      <c r="P12" s="1364"/>
      <c r="Q12" s="1362"/>
      <c r="R12" s="1364"/>
      <c r="S12" s="1362"/>
    </row>
    <row r="13" spans="1:24">
      <c r="A13" s="1097"/>
      <c r="B13" s="1363" t="s">
        <v>728</v>
      </c>
      <c r="C13" s="446"/>
      <c r="D13" s="416"/>
      <c r="E13" s="422"/>
      <c r="F13" s="418"/>
      <c r="G13" s="423"/>
      <c r="H13" s="1364"/>
      <c r="I13" s="1361"/>
      <c r="J13" s="1364"/>
      <c r="K13" s="1362"/>
      <c r="L13" s="1364"/>
      <c r="M13" s="1362"/>
      <c r="N13" s="1364"/>
      <c r="O13" s="1362"/>
      <c r="P13" s="1364"/>
      <c r="Q13" s="1362"/>
      <c r="R13" s="1364"/>
      <c r="S13" s="1362"/>
    </row>
    <row r="14" spans="1:24">
      <c r="A14" s="1354"/>
      <c r="B14" s="1365" t="s">
        <v>729</v>
      </c>
      <c r="C14" s="446"/>
      <c r="D14" s="416"/>
      <c r="E14" s="422"/>
      <c r="F14" s="418"/>
      <c r="G14" s="423"/>
      <c r="H14" s="1364"/>
      <c r="I14" s="1361"/>
      <c r="J14" s="1364"/>
      <c r="K14" s="1362"/>
      <c r="L14" s="1364"/>
      <c r="M14" s="1362"/>
      <c r="N14" s="1364"/>
      <c r="O14" s="1362"/>
      <c r="P14" s="1364"/>
      <c r="Q14" s="1362"/>
      <c r="R14" s="1364"/>
      <c r="S14" s="1362"/>
    </row>
    <row r="15" spans="1:24">
      <c r="A15" s="1097"/>
      <c r="B15" s="1365" t="s">
        <v>731</v>
      </c>
      <c r="C15" s="446"/>
      <c r="D15" s="416"/>
      <c r="E15" s="422"/>
      <c r="F15" s="418"/>
      <c r="G15" s="423"/>
      <c r="H15" s="1364"/>
      <c r="I15" s="1361"/>
      <c r="J15" s="1364"/>
      <c r="K15" s="1361"/>
      <c r="L15" s="1364"/>
      <c r="M15" s="1361"/>
      <c r="N15" s="1364"/>
      <c r="O15" s="1361"/>
      <c r="P15" s="1364"/>
      <c r="Q15" s="1361"/>
      <c r="R15" s="1364"/>
      <c r="S15" s="1361"/>
    </row>
    <row r="16" spans="1:24">
      <c r="A16" s="1354"/>
      <c r="B16" s="1365" t="s">
        <v>732</v>
      </c>
      <c r="C16" s="446"/>
      <c r="D16" s="416"/>
      <c r="E16" s="422"/>
      <c r="F16" s="418"/>
      <c r="G16" s="423"/>
      <c r="H16" s="1364"/>
      <c r="I16" s="1361"/>
      <c r="J16" s="1364"/>
      <c r="K16" s="1362"/>
      <c r="L16" s="1364"/>
      <c r="M16" s="1362"/>
      <c r="N16" s="1364"/>
      <c r="O16" s="1362"/>
      <c r="P16" s="1364"/>
      <c r="Q16" s="1362"/>
      <c r="R16" s="1364"/>
      <c r="S16" s="1362"/>
    </row>
    <row r="17" spans="1:41">
      <c r="A17" s="1097"/>
      <c r="B17" s="1365" t="s">
        <v>733</v>
      </c>
      <c r="C17" s="446"/>
      <c r="D17" s="416"/>
      <c r="E17" s="422"/>
      <c r="F17" s="418"/>
      <c r="G17" s="423"/>
      <c r="H17" s="1364"/>
      <c r="I17" s="1361"/>
      <c r="J17" s="1364"/>
      <c r="K17" s="1362"/>
      <c r="L17" s="1364"/>
      <c r="M17" s="1362"/>
      <c r="N17" s="1364"/>
      <c r="O17" s="1362"/>
      <c r="P17" s="1364"/>
      <c r="Q17" s="1362"/>
      <c r="R17" s="1364"/>
      <c r="S17" s="1362"/>
    </row>
    <row r="18" spans="1:41">
      <c r="A18" s="1354"/>
      <c r="B18" s="1154" t="s">
        <v>736</v>
      </c>
      <c r="C18" s="446"/>
      <c r="D18" s="416"/>
      <c r="E18" s="422"/>
      <c r="F18" s="418"/>
      <c r="G18" s="423"/>
      <c r="H18" s="1364"/>
      <c r="I18" s="1361"/>
      <c r="J18" s="1364"/>
      <c r="K18" s="1362"/>
      <c r="L18" s="1364"/>
      <c r="M18" s="1362"/>
      <c r="N18" s="1364"/>
      <c r="O18" s="1362"/>
      <c r="P18" s="1364"/>
      <c r="Q18" s="1362"/>
      <c r="R18" s="1364"/>
      <c r="S18" s="1362"/>
    </row>
    <row r="19" spans="1:41">
      <c r="A19" s="1097"/>
      <c r="B19" s="1366" t="s">
        <v>737</v>
      </c>
      <c r="C19" s="447"/>
      <c r="D19" s="448"/>
      <c r="E19" s="425"/>
      <c r="F19" s="426"/>
      <c r="G19" s="427"/>
      <c r="H19" s="1156"/>
      <c r="I19" s="1367"/>
      <c r="J19" s="1156"/>
      <c r="K19" s="1368"/>
      <c r="L19" s="1156"/>
      <c r="M19" s="1368"/>
      <c r="N19" s="1156"/>
      <c r="O19" s="1368"/>
      <c r="P19" s="1156"/>
      <c r="Q19" s="1368"/>
      <c r="R19" s="1156"/>
      <c r="S19" s="1368"/>
    </row>
    <row r="20" spans="1:41">
      <c r="A20" s="1354"/>
      <c r="B20" s="1369"/>
      <c r="C20" s="70"/>
      <c r="D20" s="265"/>
      <c r="E20" s="86"/>
      <c r="F20" s="280"/>
      <c r="G20" s="274"/>
      <c r="H20" s="1364"/>
      <c r="I20" s="428"/>
      <c r="J20" s="1364"/>
      <c r="K20" s="428"/>
      <c r="L20" s="1364"/>
      <c r="M20" s="428"/>
      <c r="N20" s="1364"/>
      <c r="O20" s="428"/>
      <c r="P20" s="1364"/>
      <c r="Q20" s="428"/>
      <c r="R20" s="1364"/>
      <c r="S20" s="428"/>
    </row>
    <row r="21" spans="1:41" s="69" customFormat="1">
      <c r="A21" s="1097"/>
      <c r="B21" s="1105" t="s">
        <v>1118</v>
      </c>
      <c r="C21" s="415"/>
      <c r="D21" s="416"/>
      <c r="E21" s="422"/>
      <c r="F21" s="429"/>
      <c r="G21" s="423"/>
      <c r="H21" s="1364"/>
      <c r="I21" s="1107"/>
      <c r="J21" s="1364"/>
      <c r="K21" s="1106"/>
      <c r="L21" s="1364"/>
      <c r="M21" s="1106"/>
      <c r="N21" s="1364"/>
      <c r="O21" s="1107"/>
      <c r="P21" s="1364"/>
      <c r="Q21" s="1107"/>
      <c r="R21" s="1364"/>
      <c r="S21" s="1106"/>
      <c r="T21"/>
      <c r="U21"/>
      <c r="V21"/>
      <c r="W21"/>
      <c r="X21"/>
      <c r="Y21"/>
      <c r="Z21"/>
      <c r="AA21"/>
      <c r="AB21"/>
      <c r="AC21"/>
      <c r="AD21"/>
      <c r="AE21"/>
      <c r="AF21"/>
      <c r="AG21"/>
      <c r="AH21"/>
      <c r="AI21"/>
      <c r="AJ21"/>
      <c r="AK21"/>
      <c r="AL21"/>
      <c r="AM21"/>
      <c r="AN21"/>
      <c r="AO21"/>
    </row>
    <row r="22" spans="1:41">
      <c r="A22" s="1354"/>
      <c r="B22" s="1370" t="s">
        <v>1119</v>
      </c>
      <c r="C22" s="415"/>
      <c r="D22" s="450">
        <v>946</v>
      </c>
      <c r="E22" s="1357" t="s">
        <v>529</v>
      </c>
      <c r="F22" s="431">
        <f>15+6.5</f>
        <v>21.5</v>
      </c>
      <c r="G22" s="1321">
        <f>D22*F22</f>
        <v>20339</v>
      </c>
      <c r="H22" s="1364"/>
      <c r="I22" s="1371">
        <f>G22</f>
        <v>20339</v>
      </c>
      <c r="J22" s="1364"/>
      <c r="K22" s="1362"/>
      <c r="L22" s="1364"/>
      <c r="M22" s="1362"/>
      <c r="N22" s="1364"/>
      <c r="O22" s="1362"/>
      <c r="P22" s="1364"/>
      <c r="Q22" s="1362"/>
      <c r="R22" s="1364"/>
      <c r="S22" s="1362"/>
    </row>
    <row r="23" spans="1:41">
      <c r="A23" s="1097"/>
      <c r="B23" s="1370" t="s">
        <v>1120</v>
      </c>
      <c r="C23" s="415"/>
      <c r="D23" s="450">
        <f>1652+360</f>
        <v>2012</v>
      </c>
      <c r="E23" s="1357" t="s">
        <v>529</v>
      </c>
      <c r="F23" s="431">
        <v>16</v>
      </c>
      <c r="G23" s="1321">
        <f>D23*F23</f>
        <v>32192</v>
      </c>
      <c r="H23" s="1364"/>
      <c r="I23" s="1371">
        <f>G23</f>
        <v>32192</v>
      </c>
      <c r="J23" s="1364"/>
      <c r="K23" s="1362"/>
      <c r="L23" s="1364"/>
      <c r="M23" s="1362"/>
      <c r="N23" s="1364"/>
      <c r="O23" s="1362"/>
      <c r="P23" s="1364"/>
      <c r="Q23" s="1362"/>
      <c r="R23" s="1364"/>
      <c r="S23" s="1362"/>
    </row>
    <row r="24" spans="1:41">
      <c r="A24" s="1354"/>
      <c r="B24" s="1370" t="s">
        <v>1121</v>
      </c>
      <c r="C24" s="415"/>
      <c r="D24" s="450">
        <v>32</v>
      </c>
      <c r="E24" s="1357" t="s">
        <v>468</v>
      </c>
      <c r="F24" s="431">
        <v>75</v>
      </c>
      <c r="G24" s="1321">
        <f>D24*F24</f>
        <v>2400</v>
      </c>
      <c r="H24" s="1364"/>
      <c r="I24" s="1371">
        <f>G24</f>
        <v>2400</v>
      </c>
      <c r="J24" s="1364"/>
      <c r="K24" s="1362"/>
      <c r="L24" s="1364"/>
      <c r="M24" s="1362"/>
      <c r="N24" s="1364"/>
      <c r="O24" s="1362"/>
      <c r="P24" s="1364"/>
      <c r="Q24" s="1362"/>
      <c r="R24" s="1364"/>
      <c r="S24" s="1362"/>
    </row>
    <row r="25" spans="1:41">
      <c r="A25" s="1354"/>
      <c r="B25" s="1370"/>
      <c r="C25" s="415"/>
      <c r="D25" s="450"/>
      <c r="E25" s="1357"/>
      <c r="F25" s="431"/>
      <c r="G25" s="1321"/>
      <c r="H25" s="1364"/>
      <c r="I25" s="1362"/>
      <c r="J25" s="1364"/>
      <c r="K25" s="1362"/>
      <c r="L25" s="1364"/>
      <c r="M25" s="1362"/>
      <c r="N25" s="1364"/>
      <c r="O25" s="1362"/>
      <c r="P25" s="1364"/>
      <c r="Q25" s="1362"/>
      <c r="R25" s="1364"/>
      <c r="S25" s="1362"/>
    </row>
    <row r="26" spans="1:41">
      <c r="A26" s="1097"/>
      <c r="B26" s="1372" t="s">
        <v>1122</v>
      </c>
      <c r="C26" s="415"/>
      <c r="D26" s="450">
        <v>186</v>
      </c>
      <c r="E26" s="1357" t="s">
        <v>1123</v>
      </c>
      <c r="F26" s="431">
        <f>59*40</f>
        <v>2360</v>
      </c>
      <c r="G26" s="1321">
        <f t="shared" ref="G26:G27" si="0">D26*F26</f>
        <v>438960</v>
      </c>
      <c r="H26" s="1364"/>
      <c r="I26" s="1371">
        <f t="shared" ref="I26" si="1">G26</f>
        <v>438960</v>
      </c>
      <c r="J26" s="1364"/>
      <c r="K26" s="1362"/>
      <c r="L26" s="1364"/>
      <c r="M26" s="1362"/>
      <c r="N26" s="1364"/>
      <c r="O26" s="1362"/>
      <c r="P26" s="1364"/>
      <c r="Q26" s="1362"/>
      <c r="R26" s="1364"/>
      <c r="S26" s="1362"/>
    </row>
    <row r="27" spans="1:41">
      <c r="A27" s="1097"/>
      <c r="B27" s="1323" t="s">
        <v>1124</v>
      </c>
      <c r="C27" s="415"/>
      <c r="D27" s="450">
        <v>0</v>
      </c>
      <c r="E27" s="422" t="s">
        <v>1123</v>
      </c>
      <c r="F27" s="431">
        <f>65*40</f>
        <v>2600</v>
      </c>
      <c r="G27" s="1321">
        <f t="shared" si="0"/>
        <v>0</v>
      </c>
      <c r="H27" s="1364"/>
      <c r="I27" s="1371">
        <f>G27</f>
        <v>0</v>
      </c>
      <c r="J27" s="1364"/>
      <c r="K27" s="1362"/>
      <c r="L27" s="1364"/>
      <c r="M27" s="1362"/>
      <c r="N27" s="1364"/>
      <c r="O27" s="1362"/>
      <c r="P27" s="1364"/>
      <c r="Q27" s="1362"/>
      <c r="R27" s="1364"/>
      <c r="S27" s="1362"/>
    </row>
    <row r="28" spans="1:41">
      <c r="A28" s="1354"/>
      <c r="B28" s="1163"/>
      <c r="C28" s="23"/>
      <c r="D28" s="450"/>
      <c r="E28" s="422"/>
      <c r="F28" s="431"/>
      <c r="G28" s="1321"/>
      <c r="H28" s="1364"/>
      <c r="I28" s="1362"/>
      <c r="J28" s="1364"/>
      <c r="K28" s="1362"/>
      <c r="L28" s="1364"/>
      <c r="M28" s="1362"/>
      <c r="N28" s="1364"/>
      <c r="O28" s="1362"/>
      <c r="P28" s="1364"/>
      <c r="Q28" s="1362"/>
      <c r="R28" s="1364"/>
      <c r="S28" s="1362"/>
    </row>
    <row r="29" spans="1:41">
      <c r="A29" s="1097"/>
      <c r="B29" s="1163"/>
      <c r="C29" s="23"/>
      <c r="D29" s="345"/>
      <c r="E29" s="86"/>
      <c r="F29" s="431"/>
      <c r="G29" s="1321"/>
      <c r="H29" s="1364"/>
      <c r="I29" s="1362"/>
      <c r="J29" s="1364"/>
      <c r="K29" s="1362"/>
      <c r="L29" s="1364"/>
      <c r="M29" s="1362"/>
      <c r="N29" s="1364"/>
      <c r="O29" s="1362"/>
      <c r="P29" s="1364"/>
      <c r="Q29" s="1362"/>
      <c r="R29" s="1364"/>
      <c r="S29" s="1362"/>
    </row>
    <row r="30" spans="1:41">
      <c r="A30" s="1354"/>
      <c r="B30" s="1163"/>
      <c r="C30" s="23"/>
      <c r="D30" s="345"/>
      <c r="E30" s="86"/>
      <c r="F30" s="431">
        <f>21.5-8</f>
        <v>13.5</v>
      </c>
      <c r="G30" s="1321"/>
      <c r="H30" s="1364"/>
      <c r="I30" s="1362"/>
      <c r="J30" s="1364"/>
      <c r="K30" s="1362"/>
      <c r="L30" s="1364"/>
      <c r="M30" s="1362"/>
      <c r="N30" s="1364"/>
      <c r="O30" s="1362"/>
      <c r="P30" s="1364"/>
      <c r="Q30" s="1362"/>
      <c r="R30" s="1364"/>
      <c r="S30" s="1362"/>
    </row>
    <row r="31" spans="1:41">
      <c r="A31" s="1354"/>
      <c r="B31" s="1163"/>
      <c r="C31" s="23"/>
      <c r="D31" s="345"/>
      <c r="E31" s="86"/>
      <c r="F31" s="431"/>
      <c r="G31" s="1321"/>
      <c r="H31" s="1364"/>
      <c r="I31" s="1362"/>
      <c r="J31" s="1364"/>
      <c r="K31" s="1362"/>
      <c r="L31" s="1364"/>
      <c r="M31" s="1362"/>
      <c r="N31" s="1364"/>
      <c r="O31" s="1362"/>
      <c r="P31" s="1364"/>
      <c r="Q31" s="1362"/>
      <c r="R31" s="1364"/>
      <c r="S31" s="1362"/>
    </row>
    <row r="32" spans="1:41">
      <c r="A32" s="1354"/>
      <c r="B32" s="1163"/>
      <c r="C32" s="23"/>
      <c r="D32" s="345"/>
      <c r="E32" s="86"/>
      <c r="F32" s="431"/>
      <c r="G32" s="1321"/>
      <c r="H32" s="1364"/>
      <c r="I32" s="1362"/>
      <c r="J32" s="1364"/>
      <c r="K32" s="1362"/>
      <c r="L32" s="1364"/>
      <c r="M32" s="1362"/>
      <c r="N32" s="1364"/>
      <c r="O32" s="1362"/>
      <c r="P32" s="1364"/>
      <c r="Q32" s="1362"/>
      <c r="R32" s="1364"/>
      <c r="S32" s="1362"/>
    </row>
    <row r="33" spans="1:19">
      <c r="A33" s="1354"/>
      <c r="B33" s="1163"/>
      <c r="C33" s="23"/>
      <c r="D33" s="345"/>
      <c r="E33" s="86"/>
      <c r="F33" s="431"/>
      <c r="G33" s="1321"/>
      <c r="H33" s="1364"/>
      <c r="I33" s="1362"/>
      <c r="J33" s="1364"/>
      <c r="K33" s="1362"/>
      <c r="L33" s="1364"/>
      <c r="M33" s="1362"/>
      <c r="N33" s="1364"/>
      <c r="O33" s="1362"/>
      <c r="P33" s="1364"/>
      <c r="Q33" s="1362"/>
      <c r="R33" s="1364"/>
      <c r="S33" s="1362"/>
    </row>
    <row r="34" spans="1:19">
      <c r="A34" s="1354"/>
      <c r="B34" s="1163"/>
      <c r="C34" s="23"/>
      <c r="D34" s="345"/>
      <c r="E34" s="86"/>
      <c r="F34" s="431"/>
      <c r="G34" s="1321"/>
      <c r="H34" s="1364"/>
      <c r="I34" s="1362"/>
      <c r="J34" s="1364"/>
      <c r="K34" s="1362"/>
      <c r="L34" s="1364"/>
      <c r="M34" s="1362"/>
      <c r="N34" s="1364"/>
      <c r="O34" s="1362"/>
      <c r="P34" s="1364"/>
      <c r="Q34" s="1362"/>
      <c r="R34" s="1364"/>
      <c r="S34" s="1362"/>
    </row>
    <row r="35" spans="1:19">
      <c r="A35" s="1354"/>
      <c r="B35" s="1163"/>
      <c r="C35" s="23"/>
      <c r="D35" s="345"/>
      <c r="E35" s="86"/>
      <c r="F35" s="431"/>
      <c r="G35" s="1321"/>
      <c r="H35" s="1364"/>
      <c r="I35" s="1362"/>
      <c r="J35" s="1364"/>
      <c r="K35" s="1362"/>
      <c r="L35" s="1364"/>
      <c r="M35" s="1362"/>
      <c r="N35" s="1364"/>
      <c r="O35" s="1362"/>
      <c r="P35" s="1364"/>
      <c r="Q35" s="1362"/>
      <c r="R35" s="1364"/>
      <c r="S35" s="1362"/>
    </row>
    <row r="36" spans="1:19">
      <c r="A36" s="1354"/>
      <c r="B36" s="1163"/>
      <c r="C36" s="23"/>
      <c r="D36" s="345"/>
      <c r="E36" s="86"/>
      <c r="F36" s="431"/>
      <c r="G36" s="1321"/>
      <c r="H36" s="1364"/>
      <c r="I36" s="1362"/>
      <c r="J36" s="1364"/>
      <c r="K36" s="1362"/>
      <c r="L36" s="1364"/>
      <c r="M36" s="1362"/>
      <c r="N36" s="1364"/>
      <c r="O36" s="1362"/>
      <c r="P36" s="1364"/>
      <c r="Q36" s="1362"/>
      <c r="R36" s="1364"/>
      <c r="S36" s="1362"/>
    </row>
    <row r="37" spans="1:19">
      <c r="A37" s="1354"/>
      <c r="B37" s="1163"/>
      <c r="C37" s="23"/>
      <c r="D37" s="345"/>
      <c r="E37" s="86"/>
      <c r="F37" s="431"/>
      <c r="G37" s="1321"/>
      <c r="H37" s="1364"/>
      <c r="I37" s="1362"/>
      <c r="J37" s="1364"/>
      <c r="K37" s="1362"/>
      <c r="L37" s="1364"/>
      <c r="M37" s="1362"/>
      <c r="N37" s="1364"/>
      <c r="O37" s="1362"/>
      <c r="P37" s="1364"/>
      <c r="Q37" s="1362"/>
      <c r="R37" s="1364"/>
      <c r="S37" s="1362"/>
    </row>
    <row r="38" spans="1:19">
      <c r="A38" s="1354"/>
      <c r="B38" s="1163"/>
      <c r="C38" s="23"/>
      <c r="D38" s="345"/>
      <c r="E38" s="86"/>
      <c r="F38" s="431"/>
      <c r="G38" s="1321"/>
      <c r="H38" s="1364"/>
      <c r="I38" s="1362"/>
      <c r="J38" s="1364"/>
      <c r="K38" s="1362"/>
      <c r="L38" s="1364"/>
      <c r="M38" s="1362"/>
      <c r="N38" s="1364"/>
      <c r="O38" s="1362"/>
      <c r="P38" s="1364"/>
      <c r="Q38" s="1362"/>
      <c r="R38" s="1364"/>
      <c r="S38" s="1362"/>
    </row>
    <row r="39" spans="1:19">
      <c r="A39" s="1354"/>
      <c r="B39" s="1163"/>
      <c r="C39" s="23"/>
      <c r="D39" s="345"/>
      <c r="E39" s="86"/>
      <c r="F39" s="431"/>
      <c r="G39" s="1321"/>
      <c r="H39" s="1364"/>
      <c r="I39" s="1362"/>
      <c r="J39" s="1364"/>
      <c r="K39" s="1362"/>
      <c r="L39" s="1364"/>
      <c r="M39" s="1362"/>
      <c r="N39" s="1364"/>
      <c r="O39" s="1362"/>
      <c r="P39" s="1364"/>
      <c r="Q39" s="1362"/>
      <c r="R39" s="1364"/>
      <c r="S39" s="1362"/>
    </row>
    <row r="40" spans="1:19">
      <c r="A40" s="1354"/>
      <c r="B40" s="1163"/>
      <c r="C40" s="23"/>
      <c r="D40" s="345"/>
      <c r="E40" s="86"/>
      <c r="F40" s="431"/>
      <c r="G40" s="1321"/>
      <c r="H40" s="1364"/>
      <c r="I40" s="1362"/>
      <c r="J40" s="1364"/>
      <c r="K40" s="1362"/>
      <c r="L40" s="1364"/>
      <c r="M40" s="1362"/>
      <c r="N40" s="1364"/>
      <c r="O40" s="1362"/>
      <c r="P40" s="1364"/>
      <c r="Q40" s="1362"/>
      <c r="R40" s="1364"/>
      <c r="S40" s="1362"/>
    </row>
    <row r="41" spans="1:19">
      <c r="A41" s="1354"/>
      <c r="B41" s="1163"/>
      <c r="C41" s="23"/>
      <c r="D41" s="345"/>
      <c r="E41" s="86"/>
      <c r="F41" s="431"/>
      <c r="G41" s="1321"/>
      <c r="H41" s="1364"/>
      <c r="I41" s="1362"/>
      <c r="J41" s="1364"/>
      <c r="K41" s="1362"/>
      <c r="L41" s="1364"/>
      <c r="M41" s="1362"/>
      <c r="N41" s="1364"/>
      <c r="O41" s="1362"/>
      <c r="P41" s="1364"/>
      <c r="Q41" s="1362"/>
      <c r="R41" s="1364"/>
      <c r="S41" s="1362"/>
    </row>
    <row r="42" spans="1:19">
      <c r="A42" s="1354"/>
      <c r="B42" s="1163"/>
      <c r="C42" s="23"/>
      <c r="D42" s="345"/>
      <c r="E42" s="86"/>
      <c r="F42" s="431"/>
      <c r="G42" s="1321"/>
      <c r="H42" s="1364"/>
      <c r="I42" s="1362"/>
      <c r="J42" s="1364"/>
      <c r="K42" s="1362"/>
      <c r="L42" s="1364"/>
      <c r="M42" s="1362"/>
      <c r="N42" s="1364"/>
      <c r="O42" s="1362"/>
      <c r="P42" s="1364"/>
      <c r="Q42" s="1362"/>
      <c r="R42" s="1364"/>
      <c r="S42" s="1362"/>
    </row>
    <row r="43" spans="1:19">
      <c r="A43" s="1354"/>
      <c r="B43" s="1163"/>
      <c r="C43" s="23"/>
      <c r="D43" s="345"/>
      <c r="E43" s="86"/>
      <c r="F43" s="431"/>
      <c r="G43" s="1321"/>
      <c r="H43" s="1364"/>
      <c r="I43" s="1362"/>
      <c r="J43" s="1364"/>
      <c r="K43" s="1362"/>
      <c r="L43" s="1364"/>
      <c r="M43" s="1362"/>
      <c r="N43" s="1364"/>
      <c r="O43" s="1362"/>
      <c r="P43" s="1364"/>
      <c r="Q43" s="1362"/>
      <c r="R43" s="1364"/>
      <c r="S43" s="1362"/>
    </row>
    <row r="44" spans="1:19">
      <c r="A44" s="1354"/>
      <c r="B44" s="1163"/>
      <c r="C44" s="23"/>
      <c r="D44" s="345"/>
      <c r="E44" s="86"/>
      <c r="F44" s="431"/>
      <c r="G44" s="1321"/>
      <c r="H44" s="1364"/>
      <c r="I44" s="1362"/>
      <c r="J44" s="1364"/>
      <c r="K44" s="1362"/>
      <c r="L44" s="1364"/>
      <c r="M44" s="1362"/>
      <c r="N44" s="1364"/>
      <c r="O44" s="1362"/>
      <c r="P44" s="1364"/>
      <c r="Q44" s="1362"/>
      <c r="R44" s="1364"/>
      <c r="S44" s="1362"/>
    </row>
    <row r="45" spans="1:19">
      <c r="A45" s="1354"/>
      <c r="B45" s="1163"/>
      <c r="C45" s="23"/>
      <c r="D45" s="345"/>
      <c r="E45" s="86"/>
      <c r="F45" s="431"/>
      <c r="G45" s="1321"/>
      <c r="H45" s="1364"/>
      <c r="I45" s="1362"/>
      <c r="J45" s="1364"/>
      <c r="K45" s="1362"/>
      <c r="L45" s="1364"/>
      <c r="M45" s="1362"/>
      <c r="N45" s="1364"/>
      <c r="O45" s="1362"/>
      <c r="P45" s="1364"/>
      <c r="Q45" s="1362"/>
      <c r="R45" s="1364"/>
      <c r="S45" s="1362"/>
    </row>
    <row r="46" spans="1:19">
      <c r="A46" s="1354"/>
      <c r="B46" s="1163"/>
      <c r="C46" s="23"/>
      <c r="D46" s="345"/>
      <c r="E46" s="86"/>
      <c r="F46" s="431"/>
      <c r="G46" s="1321"/>
      <c r="H46" s="1364"/>
      <c r="I46" s="1362"/>
      <c r="J46" s="1364"/>
      <c r="K46" s="1362"/>
      <c r="L46" s="1364"/>
      <c r="M46" s="1362"/>
      <c r="N46" s="1364"/>
      <c r="O46" s="1362"/>
      <c r="P46" s="1364"/>
      <c r="Q46" s="1362"/>
      <c r="R46" s="1364"/>
      <c r="S46" s="1362"/>
    </row>
    <row r="47" spans="1:19">
      <c r="A47" s="1354"/>
      <c r="B47" s="1163"/>
      <c r="C47" s="23"/>
      <c r="D47" s="345"/>
      <c r="E47" s="86"/>
      <c r="F47" s="431"/>
      <c r="G47" s="1321"/>
      <c r="H47" s="1364"/>
      <c r="I47" s="1362"/>
      <c r="J47" s="1364"/>
      <c r="K47" s="1362"/>
      <c r="L47" s="1364"/>
      <c r="M47" s="1362"/>
      <c r="N47" s="1364"/>
      <c r="O47" s="1362"/>
      <c r="P47" s="1364"/>
      <c r="Q47" s="1362"/>
      <c r="R47" s="1364"/>
      <c r="S47" s="1362"/>
    </row>
    <row r="48" spans="1:19">
      <c r="A48" s="1354"/>
      <c r="B48" s="1163"/>
      <c r="C48" s="23"/>
      <c r="D48" s="345"/>
      <c r="E48" s="86"/>
      <c r="F48" s="431"/>
      <c r="G48" s="1321"/>
      <c r="H48" s="1364"/>
      <c r="I48" s="1362"/>
      <c r="J48" s="1364"/>
      <c r="K48" s="1362"/>
      <c r="L48" s="1364"/>
      <c r="M48" s="1362"/>
      <c r="N48" s="1364"/>
      <c r="O48" s="1362"/>
      <c r="P48" s="1364"/>
      <c r="Q48" s="1362"/>
      <c r="R48" s="1364"/>
      <c r="S48" s="1362"/>
    </row>
    <row r="49" spans="1:34">
      <c r="A49" s="1354"/>
      <c r="B49" s="1163"/>
      <c r="C49" s="23"/>
      <c r="D49" s="345"/>
      <c r="E49" s="86"/>
      <c r="F49" s="431"/>
      <c r="G49" s="830"/>
      <c r="H49" s="1364"/>
      <c r="I49" s="1362"/>
      <c r="J49" s="1364"/>
      <c r="K49" s="1362"/>
      <c r="L49" s="1364"/>
      <c r="M49" s="1362"/>
      <c r="N49" s="1364"/>
      <c r="O49" s="1362"/>
      <c r="P49" s="1364"/>
      <c r="Q49" s="1362"/>
      <c r="R49" s="1364"/>
      <c r="S49" s="1362"/>
    </row>
    <row r="50" spans="1:34" ht="15.75" thickBot="1">
      <c r="A50" s="1354"/>
      <c r="B50" s="1163"/>
      <c r="C50" s="23"/>
      <c r="D50" s="345"/>
      <c r="E50" s="86"/>
      <c r="F50" s="431"/>
      <c r="G50" s="830"/>
      <c r="H50" s="1364"/>
      <c r="I50" s="1362"/>
      <c r="J50" s="1364"/>
      <c r="K50" s="1362"/>
      <c r="L50" s="1364"/>
      <c r="M50" s="1362"/>
      <c r="N50" s="1364"/>
      <c r="O50" s="1362"/>
      <c r="P50" s="1364"/>
      <c r="Q50" s="1362"/>
      <c r="R50" s="1364"/>
      <c r="S50" s="1362"/>
    </row>
    <row r="51" spans="1:34" ht="15.75" thickTop="1">
      <c r="A51" s="296"/>
      <c r="B51" s="301"/>
      <c r="C51" s="297"/>
      <c r="D51" s="346"/>
      <c r="E51" s="16"/>
      <c r="F51" s="282" t="s">
        <v>753</v>
      </c>
      <c r="G51" s="272"/>
      <c r="H51" s="273"/>
      <c r="I51" s="273">
        <f>SUM(I12:I50)</f>
        <v>493891</v>
      </c>
      <c r="J51" s="273"/>
      <c r="K51" s="273">
        <f>SUM(K12:K50)</f>
        <v>0</v>
      </c>
      <c r="L51" s="273"/>
      <c r="M51" s="273">
        <f>SUM(M11:M50)</f>
        <v>0</v>
      </c>
      <c r="N51" s="273"/>
      <c r="O51" s="273">
        <f>SUM(O11:O50)</f>
        <v>0</v>
      </c>
      <c r="P51" s="273"/>
      <c r="Q51" s="273">
        <f>SUM(Q12:Q50)</f>
        <v>0</v>
      </c>
      <c r="R51" s="273"/>
      <c r="S51" s="273">
        <f>SUM(S12:S50)</f>
        <v>0</v>
      </c>
    </row>
    <row r="52" spans="1:34">
      <c r="A52" s="1114"/>
      <c r="B52" s="1326"/>
      <c r="C52" s="432"/>
      <c r="D52" s="452"/>
      <c r="E52" s="434"/>
      <c r="F52" s="435" t="s">
        <v>754</v>
      </c>
      <c r="G52" s="436"/>
      <c r="H52" s="1327">
        <v>0</v>
      </c>
      <c r="I52" s="1328"/>
      <c r="J52" s="1327">
        <v>0</v>
      </c>
      <c r="K52" s="1328"/>
      <c r="L52" s="1327">
        <v>0</v>
      </c>
      <c r="M52" s="1328"/>
      <c r="N52" s="1327">
        <v>0</v>
      </c>
      <c r="O52" s="1328"/>
      <c r="P52" s="1327">
        <v>0</v>
      </c>
      <c r="Q52" s="1328"/>
      <c r="R52" s="1327">
        <v>0</v>
      </c>
      <c r="S52" s="1328"/>
    </row>
    <row r="53" spans="1:34">
      <c r="A53" s="1114"/>
      <c r="B53" s="1326"/>
      <c r="C53" s="432"/>
      <c r="D53" s="452"/>
      <c r="E53" s="434"/>
      <c r="F53" s="435" t="s">
        <v>755</v>
      </c>
      <c r="G53" s="436"/>
      <c r="H53" s="1328"/>
      <c r="I53" s="1328">
        <f>H52*$I$51</f>
        <v>0</v>
      </c>
      <c r="J53" s="1328"/>
      <c r="K53" s="1328">
        <f>J52*$K$51</f>
        <v>0</v>
      </c>
      <c r="L53" s="1328"/>
      <c r="M53" s="1328">
        <f>L52*$M$51</f>
        <v>0</v>
      </c>
      <c r="N53" s="1328"/>
      <c r="O53" s="1328">
        <f>N52*$O$51</f>
        <v>0</v>
      </c>
      <c r="P53" s="1328"/>
      <c r="Q53" s="1328">
        <f>P52*$Q$51</f>
        <v>0</v>
      </c>
      <c r="R53" s="1328"/>
      <c r="S53" s="1328">
        <f>R52*S51</f>
        <v>0</v>
      </c>
    </row>
    <row r="54" spans="1:34">
      <c r="A54" s="1114"/>
      <c r="B54" s="1326"/>
      <c r="C54" s="432"/>
      <c r="D54" s="452"/>
      <c r="E54" s="434"/>
      <c r="F54" s="435"/>
      <c r="G54" s="436"/>
      <c r="H54" s="1328"/>
      <c r="I54" s="1328"/>
      <c r="J54" s="1328"/>
      <c r="K54" s="1328"/>
      <c r="L54" s="1328"/>
      <c r="M54" s="1328"/>
      <c r="N54" s="1328"/>
      <c r="O54" s="1328"/>
      <c r="P54" s="1328"/>
      <c r="Q54" s="1328"/>
      <c r="R54" s="1328"/>
      <c r="S54" s="1328"/>
    </row>
    <row r="55" spans="1:34">
      <c r="A55" s="1114"/>
      <c r="B55" s="1326"/>
      <c r="C55" s="432"/>
      <c r="D55" s="452"/>
      <c r="E55" s="434"/>
      <c r="F55" s="435" t="s">
        <v>756</v>
      </c>
      <c r="G55" s="436"/>
      <c r="H55" s="1328"/>
      <c r="I55" s="1328">
        <f>SUM(I51:I54)</f>
        <v>493891</v>
      </c>
      <c r="J55" s="1328"/>
      <c r="K55" s="1328">
        <f>SUM(K51:K53)</f>
        <v>0</v>
      </c>
      <c r="L55" s="1328"/>
      <c r="M55" s="1328">
        <f>SUM(M51:M53)</f>
        <v>0</v>
      </c>
      <c r="N55" s="1328"/>
      <c r="O55" s="1328">
        <f>SUM(O51:O53)</f>
        <v>0</v>
      </c>
      <c r="P55" s="1328"/>
      <c r="Q55" s="1328">
        <f>SUM(Q51:Q53)</f>
        <v>0</v>
      </c>
      <c r="R55" s="1328"/>
      <c r="S55" s="1328">
        <f>SUM(S51:S53)</f>
        <v>0</v>
      </c>
    </row>
    <row r="56" spans="1:34">
      <c r="A56" s="1114"/>
      <c r="B56" s="1326"/>
      <c r="C56" s="432"/>
      <c r="D56" s="452"/>
      <c r="E56" s="434"/>
      <c r="F56" s="437" t="s">
        <v>757</v>
      </c>
      <c r="G56" s="438"/>
      <c r="H56" s="1329"/>
      <c r="I56" s="1329">
        <f>I55/'Area Calculations'!$G$4</f>
        <v>0.8535036800348389</v>
      </c>
      <c r="J56" s="1329"/>
      <c r="K56" s="1329">
        <f>K55/'Area Calculations'!$G$4</f>
        <v>0</v>
      </c>
      <c r="L56" s="1329"/>
      <c r="M56" s="1329">
        <f>M55/'Area Calculations'!$G$4</f>
        <v>0</v>
      </c>
      <c r="N56" s="1329"/>
      <c r="O56" s="1329">
        <f>O55/'Area Calculations'!$G$4</f>
        <v>0</v>
      </c>
      <c r="P56" s="1329"/>
      <c r="Q56" s="1329">
        <f>Q55/'Area Calculations'!$G$4</f>
        <v>0</v>
      </c>
      <c r="R56" s="1329"/>
      <c r="S56" s="1329">
        <f>S55/'Area Calculations'!$G$4</f>
        <v>0</v>
      </c>
    </row>
    <row r="57" spans="1:34">
      <c r="A57" s="1114"/>
      <c r="B57" s="1326"/>
      <c r="C57" s="432"/>
      <c r="D57" s="452"/>
      <c r="E57" s="434"/>
      <c r="F57" s="437" t="s">
        <v>758</v>
      </c>
      <c r="G57" s="438"/>
      <c r="H57" s="1329"/>
      <c r="I57" s="1329">
        <f>I55/'Area Calculations'!$G$9</f>
        <v>4615.8037383177571</v>
      </c>
      <c r="J57" s="1329"/>
      <c r="K57" s="1329">
        <f>K55/'Area Calculations'!$G$9</f>
        <v>0</v>
      </c>
      <c r="L57" s="1329"/>
      <c r="M57" s="1329">
        <f>M55/'Area Calculations'!$G$9</f>
        <v>0</v>
      </c>
      <c r="N57" s="1329"/>
      <c r="O57" s="1329">
        <f>O55/'Area Calculations'!$G$9</f>
        <v>0</v>
      </c>
      <c r="P57" s="1329"/>
      <c r="Q57" s="1329">
        <f>Q55/'Area Calculations'!$G$9</f>
        <v>0</v>
      </c>
      <c r="R57" s="1329"/>
      <c r="S57" s="1329">
        <f>S55/'Area Calculations'!$G$9</f>
        <v>0</v>
      </c>
    </row>
    <row r="58" spans="1:34" ht="15.75" thickBot="1">
      <c r="A58" s="1114"/>
      <c r="B58" s="1326"/>
      <c r="C58" s="432"/>
      <c r="D58" s="452"/>
      <c r="E58" s="434"/>
      <c r="F58" s="439"/>
      <c r="G58" s="436"/>
      <c r="H58" s="1330"/>
      <c r="I58" s="1330"/>
      <c r="J58" s="1330"/>
      <c r="K58" s="1330"/>
      <c r="L58" s="1330"/>
      <c r="M58" s="1330"/>
      <c r="N58" s="1330"/>
      <c r="O58" s="1330"/>
      <c r="P58" s="1330"/>
      <c r="Q58" s="1330"/>
      <c r="R58" s="1330"/>
      <c r="S58" s="1330"/>
    </row>
    <row r="59" spans="1:34" ht="16.5" thickTop="1" thickBot="1">
      <c r="A59" s="2331" t="s">
        <v>759</v>
      </c>
      <c r="B59" s="2332"/>
      <c r="C59" s="298"/>
      <c r="D59" s="347"/>
      <c r="E59" s="12"/>
      <c r="F59" s="12"/>
      <c r="G59" s="26"/>
      <c r="H59" s="24"/>
      <c r="I59" s="20"/>
      <c r="J59" s="20"/>
      <c r="K59" s="20"/>
      <c r="L59" s="20"/>
      <c r="M59" s="20"/>
      <c r="N59" s="20"/>
      <c r="O59" s="20"/>
      <c r="P59" s="20"/>
      <c r="Q59" s="20"/>
      <c r="R59" s="20"/>
      <c r="S59" s="20"/>
    </row>
    <row r="60" spans="1:34" ht="15.75" thickTop="1">
      <c r="A60" s="1331"/>
      <c r="B60" s="1105"/>
      <c r="C60" s="1373"/>
      <c r="D60" s="1356"/>
      <c r="E60" s="1357"/>
      <c r="F60" s="1357"/>
      <c r="G60" s="1333"/>
      <c r="H60" s="1335"/>
      <c r="I60" s="1334"/>
      <c r="J60" s="1334"/>
      <c r="K60" s="1334"/>
      <c r="L60" s="1334"/>
      <c r="M60" s="1334"/>
      <c r="N60" s="1334"/>
      <c r="O60" s="1334"/>
      <c r="P60" s="1334"/>
      <c r="Q60" s="1334"/>
      <c r="R60" s="1334"/>
      <c r="S60" s="1334"/>
    </row>
    <row r="61" spans="1:34">
      <c r="A61" s="1331"/>
      <c r="B61" s="1105"/>
      <c r="C61" s="1373"/>
      <c r="D61" s="1356"/>
      <c r="E61" s="1357"/>
      <c r="F61" s="1357"/>
      <c r="G61" s="1333"/>
      <c r="H61" s="1335"/>
      <c r="I61" s="1334"/>
      <c r="J61" s="1334"/>
      <c r="K61" s="1334"/>
      <c r="L61" s="1334"/>
      <c r="M61" s="1334"/>
      <c r="N61" s="1334"/>
      <c r="O61" s="1334"/>
      <c r="P61" s="1334"/>
      <c r="Q61" s="1334"/>
      <c r="R61" s="1334"/>
      <c r="S61" s="1334"/>
    </row>
    <row r="62" spans="1:34" ht="15.75" thickBot="1">
      <c r="A62" s="1331"/>
      <c r="B62" s="1105"/>
      <c r="C62" s="1373"/>
      <c r="D62" s="1356"/>
      <c r="E62" s="1357"/>
      <c r="F62" s="1357"/>
      <c r="G62" s="1333"/>
      <c r="H62" s="1335"/>
      <c r="I62" s="1334"/>
      <c r="J62" s="1334"/>
      <c r="K62" s="1334"/>
      <c r="L62" s="1334"/>
      <c r="M62" s="1334"/>
      <c r="N62" s="1334"/>
      <c r="O62" s="1334"/>
      <c r="P62" s="1334"/>
      <c r="Q62" s="1334"/>
      <c r="R62" s="1334"/>
      <c r="S62" s="1334"/>
    </row>
    <row r="63" spans="1:34" s="2" customFormat="1" ht="16.5" thickTop="1" thickBot="1">
      <c r="A63" s="2331" t="s">
        <v>760</v>
      </c>
      <c r="B63" s="2332"/>
      <c r="C63" s="298"/>
      <c r="D63" s="347"/>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1331"/>
      <c r="B64" s="1105"/>
      <c r="C64" s="1373"/>
      <c r="D64" s="1356"/>
      <c r="E64" s="1357"/>
      <c r="F64" s="1357"/>
      <c r="G64" s="1333"/>
      <c r="H64" s="1335"/>
      <c r="I64" s="1334"/>
      <c r="J64" s="1334"/>
      <c r="K64" s="1334"/>
      <c r="L64" s="1334"/>
      <c r="M64" s="1334"/>
      <c r="N64" s="1334"/>
      <c r="O64" s="1334"/>
      <c r="P64" s="1334"/>
      <c r="Q64" s="1334"/>
      <c r="R64" s="1334"/>
      <c r="S64" s="1334"/>
      <c r="T64"/>
      <c r="U64"/>
      <c r="V64"/>
      <c r="W64"/>
      <c r="X64"/>
      <c r="Y64"/>
      <c r="Z64"/>
      <c r="AA64"/>
      <c r="AB64"/>
      <c r="AC64"/>
      <c r="AD64"/>
      <c r="AE64"/>
      <c r="AF64"/>
      <c r="AG64"/>
      <c r="AH64"/>
    </row>
    <row r="65" spans="1:34" s="2" customFormat="1">
      <c r="A65" s="1331"/>
      <c r="B65" s="1105"/>
      <c r="C65" s="1373"/>
      <c r="D65" s="1356"/>
      <c r="E65" s="1357"/>
      <c r="F65" s="1357"/>
      <c r="G65" s="1333"/>
      <c r="H65" s="1335"/>
      <c r="I65" s="1334"/>
      <c r="J65" s="1334"/>
      <c r="K65" s="1334"/>
      <c r="L65" s="1334"/>
      <c r="M65" s="1334"/>
      <c r="N65" s="1334"/>
      <c r="O65" s="1334"/>
      <c r="P65" s="1334"/>
      <c r="Q65" s="1334"/>
      <c r="R65" s="1334"/>
      <c r="S65" s="1334"/>
      <c r="T65"/>
      <c r="U65"/>
      <c r="V65"/>
      <c r="W65"/>
      <c r="X65"/>
      <c r="Y65"/>
      <c r="Z65"/>
      <c r="AA65"/>
      <c r="AB65"/>
      <c r="AC65"/>
      <c r="AD65"/>
      <c r="AE65"/>
      <c r="AF65"/>
      <c r="AG65"/>
      <c r="AH65"/>
    </row>
    <row r="66" spans="1:34" ht="15.75" thickBot="1">
      <c r="A66" s="1331"/>
      <c r="B66" s="1105"/>
      <c r="C66" s="1373"/>
      <c r="D66" s="1356"/>
      <c r="E66" s="1357"/>
      <c r="F66" s="1357"/>
      <c r="G66" s="1333"/>
      <c r="H66" s="1335"/>
      <c r="I66" s="1334"/>
      <c r="J66" s="1334"/>
      <c r="K66" s="1334"/>
      <c r="L66" s="1334"/>
      <c r="M66" s="1334"/>
      <c r="N66" s="1334"/>
      <c r="O66" s="1334"/>
      <c r="P66" s="1334"/>
      <c r="Q66" s="1334"/>
      <c r="R66" s="1334"/>
      <c r="S66" s="1334"/>
    </row>
    <row r="67" spans="1:34" s="2" customFormat="1" ht="16.5" thickTop="1" thickBot="1">
      <c r="A67" s="2331" t="s">
        <v>761</v>
      </c>
      <c r="B67" s="2332"/>
      <c r="C67" s="298"/>
      <c r="D67" s="347"/>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1331"/>
      <c r="B68" s="1105"/>
      <c r="C68" s="1373"/>
      <c r="D68" s="1356"/>
      <c r="E68" s="1357"/>
      <c r="F68" s="1357"/>
      <c r="G68" s="1333"/>
      <c r="H68" s="1335"/>
      <c r="I68" s="1334"/>
      <c r="J68" s="1334"/>
      <c r="K68" s="1334"/>
      <c r="L68" s="1334"/>
      <c r="M68" s="1334"/>
      <c r="N68" s="1334"/>
      <c r="O68" s="1334"/>
      <c r="P68" s="1334"/>
      <c r="Q68" s="1334"/>
      <c r="R68" s="1334"/>
      <c r="S68" s="1334"/>
      <c r="T68"/>
      <c r="U68"/>
      <c r="V68"/>
      <c r="W68"/>
      <c r="X68"/>
      <c r="Y68"/>
      <c r="Z68"/>
      <c r="AA68"/>
      <c r="AB68"/>
      <c r="AC68"/>
      <c r="AD68"/>
      <c r="AE68"/>
      <c r="AF68"/>
      <c r="AG68"/>
      <c r="AH68"/>
    </row>
    <row r="69" spans="1:34" s="2" customFormat="1">
      <c r="A69" s="1124"/>
      <c r="B69" s="1105"/>
      <c r="C69" s="415"/>
      <c r="D69" s="416"/>
      <c r="E69" s="422"/>
      <c r="F69" s="422"/>
      <c r="G69" s="831"/>
      <c r="H69" s="440"/>
      <c r="I69" s="1336"/>
      <c r="J69" s="1336"/>
      <c r="K69" s="1336"/>
      <c r="L69" s="1336"/>
      <c r="M69" s="1336"/>
      <c r="N69" s="1336"/>
      <c r="O69" s="1336"/>
      <c r="P69" s="1336"/>
      <c r="Q69" s="1336"/>
      <c r="R69" s="1336"/>
      <c r="S69" s="1336"/>
      <c r="T69"/>
      <c r="U69"/>
      <c r="V69"/>
      <c r="W69"/>
      <c r="X69"/>
      <c r="Y69"/>
      <c r="Z69"/>
      <c r="AA69"/>
      <c r="AB69"/>
      <c r="AC69"/>
      <c r="AD69"/>
      <c r="AE69"/>
      <c r="AF69"/>
      <c r="AG69"/>
      <c r="AH69"/>
    </row>
    <row r="70" spans="1:34" s="2" customFormat="1" ht="15.75" thickBot="1">
      <c r="A70" s="1126"/>
      <c r="B70" s="1337"/>
      <c r="C70" s="415"/>
      <c r="D70" s="416"/>
      <c r="E70" s="422"/>
      <c r="F70" s="422"/>
      <c r="G70" s="831"/>
      <c r="H70" s="441"/>
      <c r="I70" s="1338"/>
      <c r="J70" s="1338"/>
      <c r="K70" s="1338"/>
      <c r="L70" s="1338"/>
      <c r="M70" s="1338"/>
      <c r="N70" s="1338"/>
      <c r="O70" s="1338"/>
      <c r="P70" s="1338"/>
      <c r="Q70" s="1338"/>
      <c r="R70" s="1338"/>
      <c r="S70" s="1338"/>
    </row>
    <row r="71" spans="1:34" s="2" customFormat="1" ht="16.5" thickTop="1" thickBot="1">
      <c r="A71" s="2331" t="s">
        <v>762</v>
      </c>
      <c r="B71" s="2332"/>
      <c r="C71" s="298"/>
      <c r="D71" s="347"/>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1339"/>
      <c r="B72" s="1340"/>
      <c r="C72" s="1373"/>
      <c r="D72" s="1356"/>
      <c r="E72" s="1357"/>
      <c r="F72" s="1357"/>
      <c r="G72" s="1333"/>
      <c r="H72" s="1335"/>
      <c r="I72" s="1334"/>
      <c r="J72" s="1334"/>
      <c r="K72" s="1334"/>
      <c r="L72" s="1334"/>
      <c r="M72" s="1334"/>
      <c r="N72" s="1334"/>
      <c r="O72" s="1334"/>
      <c r="P72" s="1334"/>
      <c r="Q72" s="1334"/>
      <c r="R72" s="1334"/>
      <c r="S72" s="1334"/>
      <c r="T72" s="2"/>
      <c r="U72" s="2"/>
      <c r="V72" s="2"/>
      <c r="W72" s="2"/>
      <c r="X72" s="2"/>
      <c r="Y72" s="2"/>
      <c r="Z72" s="2"/>
      <c r="AA72" s="2"/>
      <c r="AB72" s="2"/>
      <c r="AC72" s="2"/>
      <c r="AD72" s="2"/>
      <c r="AE72" s="2"/>
      <c r="AF72" s="2"/>
      <c r="AG72" s="2"/>
      <c r="AH72" s="2"/>
    </row>
    <row r="73" spans="1:34">
      <c r="A73" s="1126"/>
      <c r="B73" s="1337"/>
      <c r="C73" s="415"/>
      <c r="D73" s="416"/>
      <c r="E73" s="422"/>
      <c r="F73" s="422"/>
      <c r="G73" s="831"/>
      <c r="H73" s="442"/>
      <c r="I73" s="1341"/>
      <c r="J73" s="1341"/>
      <c r="K73" s="1341"/>
      <c r="L73" s="1341"/>
      <c r="M73" s="1341"/>
      <c r="N73" s="1341"/>
      <c r="O73" s="1341"/>
      <c r="P73" s="1341"/>
      <c r="Q73" s="1341"/>
      <c r="R73" s="1341"/>
      <c r="S73" s="1341"/>
      <c r="T73" s="2"/>
      <c r="U73" s="2"/>
      <c r="V73" s="2"/>
      <c r="W73" s="2"/>
      <c r="X73" s="2"/>
      <c r="Y73" s="2"/>
      <c r="Z73" s="2"/>
      <c r="AA73" s="2"/>
      <c r="AB73" s="2"/>
      <c r="AC73" s="2"/>
      <c r="AD73" s="2"/>
      <c r="AE73" s="2"/>
      <c r="AF73" s="2"/>
      <c r="AG73" s="2"/>
      <c r="AH73" s="2"/>
    </row>
    <row r="74" spans="1:34" ht="15.75" thickBot="1">
      <c r="A74" s="1126"/>
      <c r="B74" s="1337"/>
      <c r="C74" s="415"/>
      <c r="D74" s="416"/>
      <c r="E74" s="422"/>
      <c r="F74" s="422"/>
      <c r="G74" s="831"/>
      <c r="H74" s="442"/>
      <c r="I74" s="1341"/>
      <c r="J74" s="1341"/>
      <c r="K74" s="1341"/>
      <c r="L74" s="1341"/>
      <c r="M74" s="1341"/>
      <c r="N74" s="1341"/>
      <c r="O74" s="1341"/>
      <c r="P74" s="1341"/>
      <c r="Q74" s="1341"/>
      <c r="R74" s="1341"/>
      <c r="S74" s="1341"/>
      <c r="T74" s="2"/>
      <c r="U74" s="2"/>
      <c r="V74" s="2"/>
      <c r="W74" s="2"/>
      <c r="X74" s="2"/>
      <c r="Y74" s="2"/>
      <c r="Z74" s="2"/>
      <c r="AA74" s="2"/>
      <c r="AB74" s="2"/>
      <c r="AC74" s="2"/>
      <c r="AD74" s="2"/>
      <c r="AE74" s="2"/>
      <c r="AF74" s="2"/>
      <c r="AG74" s="2"/>
      <c r="AH74" s="2"/>
    </row>
    <row r="75" spans="1:34" ht="16.5" thickTop="1" thickBot="1">
      <c r="A75" s="2331" t="s">
        <v>763</v>
      </c>
      <c r="B75" s="2332"/>
      <c r="C75" s="298"/>
      <c r="D75" s="347"/>
      <c r="E75" s="12"/>
      <c r="F75" s="12"/>
      <c r="G75" s="26"/>
      <c r="H75" s="24"/>
      <c r="I75" s="20"/>
      <c r="J75" s="20"/>
      <c r="K75" s="20"/>
      <c r="L75" s="20"/>
      <c r="M75" s="20"/>
      <c r="N75" s="20"/>
      <c r="O75" s="20"/>
      <c r="P75" s="20"/>
      <c r="Q75" s="20"/>
      <c r="R75" s="20"/>
      <c r="S75" s="20"/>
    </row>
    <row r="76" spans="1:34" ht="15.75" thickTop="1">
      <c r="A76" s="1124"/>
      <c r="B76" s="1105" t="s">
        <v>764</v>
      </c>
      <c r="C76" s="415"/>
      <c r="D76" s="416"/>
      <c r="E76" s="422"/>
      <c r="F76" s="422"/>
      <c r="G76" s="831"/>
      <c r="H76" s="442"/>
      <c r="I76" s="1341"/>
      <c r="J76" s="1341"/>
      <c r="K76" s="1341"/>
      <c r="L76" s="1341"/>
      <c r="M76" s="1341"/>
      <c r="N76" s="1341"/>
      <c r="O76" s="1341"/>
      <c r="P76" s="1341"/>
      <c r="Q76" s="1341"/>
      <c r="R76" s="1341"/>
      <c r="S76" s="1341"/>
    </row>
    <row r="77" spans="1:34">
      <c r="A77" s="1124"/>
      <c r="B77" s="1105" t="s">
        <v>765</v>
      </c>
      <c r="C77" s="415"/>
      <c r="D77" s="416"/>
      <c r="E77" s="422"/>
      <c r="F77" s="422"/>
      <c r="G77" s="831"/>
      <c r="H77" s="442"/>
      <c r="I77" s="1341"/>
      <c r="J77" s="1341"/>
      <c r="K77" s="1341"/>
      <c r="L77" s="1341"/>
      <c r="M77" s="1341"/>
      <c r="N77" s="1341"/>
      <c r="O77" s="1341"/>
      <c r="P77" s="1341"/>
      <c r="Q77" s="1341"/>
      <c r="R77" s="1341"/>
      <c r="S77" s="1341"/>
    </row>
    <row r="78" spans="1:34">
      <c r="A78" s="1124"/>
      <c r="B78" s="1105" t="s">
        <v>766</v>
      </c>
      <c r="C78" s="415"/>
      <c r="D78" s="416"/>
      <c r="E78" s="422"/>
      <c r="F78" s="422"/>
      <c r="G78" s="831"/>
      <c r="H78" s="442"/>
      <c r="I78" s="1341"/>
      <c r="J78" s="1341"/>
      <c r="K78" s="1341"/>
      <c r="L78" s="1341"/>
      <c r="M78" s="1341"/>
      <c r="N78" s="1341"/>
      <c r="O78" s="1341"/>
      <c r="P78" s="1341"/>
      <c r="Q78" s="1341"/>
      <c r="R78" s="1341"/>
      <c r="S78" s="1341"/>
    </row>
    <row r="79" spans="1:34">
      <c r="A79" s="1124"/>
      <c r="B79" s="1105" t="s">
        <v>767</v>
      </c>
      <c r="C79" s="415"/>
      <c r="D79" s="416"/>
      <c r="E79" s="422"/>
      <c r="F79" s="422"/>
      <c r="G79" s="831"/>
      <c r="H79" s="442"/>
      <c r="I79" s="1341"/>
      <c r="J79" s="1341"/>
      <c r="K79" s="1341"/>
      <c r="L79" s="1341"/>
      <c r="M79" s="1341"/>
      <c r="N79" s="1341"/>
      <c r="O79" s="1341"/>
      <c r="P79" s="1341"/>
      <c r="Q79" s="1341"/>
      <c r="R79" s="1341"/>
      <c r="S79" s="1341"/>
    </row>
    <row r="80" spans="1:34" ht="15.75" thickBot="1">
      <c r="A80" s="443"/>
      <c r="B80" s="421"/>
      <c r="C80" s="23"/>
      <c r="D80" s="265"/>
      <c r="E80" s="86"/>
      <c r="F80" s="86"/>
      <c r="G80" s="27"/>
      <c r="H80" s="25"/>
      <c r="I80" s="444"/>
      <c r="J80" s="444"/>
      <c r="K80" s="444"/>
      <c r="L80" s="444"/>
      <c r="M80" s="444"/>
      <c r="N80" s="444"/>
      <c r="O80" s="444"/>
      <c r="P80" s="444"/>
      <c r="Q80" s="444"/>
      <c r="R80" s="444"/>
      <c r="S80" s="444"/>
    </row>
    <row r="81" spans="1:19" ht="16.5" thickTop="1" thickBot="1">
      <c r="A81" s="72" t="s">
        <v>768</v>
      </c>
      <c r="B81" s="73"/>
      <c r="C81" s="298"/>
      <c r="D81" s="347"/>
      <c r="E81" s="12"/>
      <c r="F81" s="12"/>
      <c r="G81" s="26"/>
      <c r="H81" s="24"/>
      <c r="I81" s="20"/>
      <c r="J81" s="20"/>
      <c r="K81" s="20"/>
      <c r="L81" s="20"/>
      <c r="M81" s="20"/>
      <c r="N81" s="20"/>
      <c r="O81" s="20"/>
      <c r="P81" s="20"/>
      <c r="Q81" s="20"/>
      <c r="R81" s="20"/>
      <c r="S81" s="20"/>
    </row>
    <row r="82" spans="1:19" ht="15.75" thickTop="1">
      <c r="A82" s="1331"/>
      <c r="B82" s="1342" t="s">
        <v>769</v>
      </c>
      <c r="C82" s="1373"/>
      <c r="D82" s="1356"/>
      <c r="E82" s="1357"/>
      <c r="F82" s="1357"/>
      <c r="G82" s="1333"/>
      <c r="H82" s="1344"/>
      <c r="I82" s="1343"/>
      <c r="J82" s="1343"/>
      <c r="K82" s="1343"/>
      <c r="L82" s="1343"/>
      <c r="M82" s="1343"/>
      <c r="N82" s="1343"/>
      <c r="O82" s="1343"/>
      <c r="P82" s="1343"/>
      <c r="Q82" s="1343"/>
      <c r="R82" s="1343"/>
      <c r="S82" s="1343"/>
    </row>
    <row r="83" spans="1:19">
      <c r="A83" s="1124"/>
      <c r="B83" s="1105" t="s">
        <v>770</v>
      </c>
      <c r="C83" s="415"/>
      <c r="D83" s="416"/>
      <c r="E83" s="422"/>
      <c r="F83" s="422"/>
      <c r="G83" s="831"/>
      <c r="H83" s="445"/>
      <c r="I83" s="1345"/>
      <c r="J83" s="1345"/>
      <c r="K83" s="1345"/>
      <c r="L83" s="1345"/>
      <c r="M83" s="1345"/>
      <c r="N83" s="1345"/>
      <c r="O83" s="1345"/>
      <c r="P83" s="1345"/>
      <c r="Q83" s="1345"/>
      <c r="R83" s="1345"/>
      <c r="S83" s="1345"/>
    </row>
    <row r="84" spans="1:19" ht="15.75" thickBot="1">
      <c r="A84" s="1183"/>
      <c r="B84" s="1184" t="s">
        <v>771</v>
      </c>
      <c r="C84" s="1185"/>
      <c r="D84" s="1229"/>
      <c r="E84" s="1186"/>
      <c r="F84" s="1186"/>
      <c r="G84" s="1187"/>
      <c r="H84" s="1188"/>
      <c r="I84" s="1189"/>
      <c r="J84" s="1189"/>
      <c r="K84" s="1189"/>
      <c r="L84" s="1189"/>
      <c r="M84" s="1189"/>
      <c r="N84" s="1189"/>
      <c r="O84" s="1189"/>
      <c r="P84" s="1189"/>
      <c r="Q84" s="1189"/>
      <c r="R84" s="1189"/>
      <c r="S84" s="1189"/>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374"/>
      <c r="F87" s="2"/>
      <c r="G87" s="2"/>
      <c r="H87" s="2"/>
      <c r="I87" s="2"/>
      <c r="J87" s="2"/>
      <c r="K87" s="2"/>
      <c r="L87" s="2"/>
      <c r="M87" s="2"/>
      <c r="N87" s="2"/>
      <c r="O87" s="2"/>
      <c r="P87" s="2"/>
      <c r="Q87" s="2"/>
      <c r="R87" s="2"/>
      <c r="S87" s="2"/>
    </row>
    <row r="88" spans="1:19">
      <c r="A88" s="1142" t="s">
        <v>702</v>
      </c>
      <c r="B88" s="1374"/>
      <c r="F88" s="2"/>
      <c r="G88" s="2"/>
      <c r="H88" s="2"/>
      <c r="I88" s="2"/>
      <c r="J88" s="2"/>
      <c r="K88" s="2"/>
      <c r="L88" s="2"/>
      <c r="M88" s="2"/>
      <c r="N88" s="2"/>
      <c r="O88" s="2"/>
      <c r="P88" s="2"/>
      <c r="Q88" s="2"/>
      <c r="R88" s="2"/>
      <c r="S88" s="2"/>
    </row>
    <row r="89" spans="1:19">
      <c r="A89" s="1348" t="s">
        <v>708</v>
      </c>
      <c r="B89" s="1349"/>
      <c r="F89" s="2"/>
      <c r="G89" s="2"/>
      <c r="H89" s="2"/>
      <c r="I89" s="2"/>
      <c r="J89" s="2"/>
      <c r="K89" s="2"/>
      <c r="L89" s="2"/>
      <c r="M89" s="2"/>
      <c r="N89" s="2"/>
      <c r="O89" s="2"/>
      <c r="P89" s="2"/>
      <c r="Q89" s="2"/>
      <c r="R89" s="2"/>
      <c r="S89" s="2"/>
    </row>
    <row r="90" spans="1:19">
      <c r="A90" s="1348" t="s">
        <v>713</v>
      </c>
      <c r="B90" s="1375"/>
      <c r="F90" s="2"/>
      <c r="G90" s="2"/>
      <c r="H90" s="2"/>
      <c r="I90" s="2"/>
      <c r="J90" s="2"/>
      <c r="K90" s="2"/>
      <c r="L90" s="2"/>
      <c r="M90" s="2"/>
      <c r="N90" s="2"/>
      <c r="O90" s="2"/>
      <c r="P90" s="2"/>
      <c r="Q90" s="2"/>
      <c r="R90" s="2"/>
      <c r="S90" s="2"/>
    </row>
    <row r="91" spans="1:19" ht="15.75" thickBot="1">
      <c r="A91" s="1194" t="s">
        <v>69</v>
      </c>
      <c r="B91" s="1231">
        <f>I55</f>
        <v>493891</v>
      </c>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5:S5"/>
    <mergeCell ref="H4:I4"/>
    <mergeCell ref="J4:K4"/>
    <mergeCell ref="L4:M4"/>
    <mergeCell ref="N4:O4"/>
    <mergeCell ref="P4:Q4"/>
    <mergeCell ref="R4:S4"/>
    <mergeCell ref="H5:I5"/>
    <mergeCell ref="J5:K5"/>
    <mergeCell ref="L5:M5"/>
    <mergeCell ref="N5:O5"/>
    <mergeCell ref="P5:Q5"/>
    <mergeCell ref="R7:S7"/>
    <mergeCell ref="H6:I6"/>
    <mergeCell ref="J6:K6"/>
    <mergeCell ref="L6:M6"/>
    <mergeCell ref="N6:O6"/>
    <mergeCell ref="P6:Q6"/>
    <mergeCell ref="R6:S6"/>
    <mergeCell ref="H7:I7"/>
    <mergeCell ref="J7:K7"/>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s>
  <conditionalFormatting sqref="H11:H18 J11:J18 L11:L18 N11:N18 P11:P18 R11:R18 H20:H50 J20:J50 L20:L50 N20:N50 P20:P50 R20:R50">
    <cfRule type="cellIs" dxfId="555" priority="13" operator="equal">
      <formula>"X"</formula>
    </cfRule>
    <cfRule type="cellIs" dxfId="554" priority="14" operator="equal">
      <formula>"I"</formula>
    </cfRule>
  </conditionalFormatting>
  <hyperlinks>
    <hyperlink ref="B4" location="'Cost Summary'!A1" display="BACK TO SUMMARY SHEET" xr:uid="{CE16CE51-0B09-43B2-B471-F9D1C78D2788}"/>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8D9E7-3057-498B-B35B-03FE0DDD491F}">
  <dimension ref="A1:AO92"/>
  <sheetViews>
    <sheetView zoomScale="90" zoomScaleNormal="90" workbookViewId="0">
      <pane xSplit="2" ySplit="10" topLeftCell="H52" activePane="bottomRight" state="frozen"/>
      <selection pane="topRight" activeCell="C1" sqref="C1"/>
      <selection pane="bottomLeft" activeCell="A11" sqref="A11"/>
      <selection pane="bottomRight" activeCell="H52" sqref="H52"/>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690</v>
      </c>
      <c r="Q4" s="2320"/>
      <c r="R4" s="2319" t="s">
        <v>691</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1351" t="s">
        <v>1125</v>
      </c>
      <c r="C6" s="415"/>
      <c r="D6" s="416"/>
      <c r="E6" s="417"/>
      <c r="F6" s="418"/>
      <c r="G6" s="419" t="s">
        <v>702</v>
      </c>
      <c r="H6" s="2325"/>
      <c r="I6" s="2326"/>
      <c r="J6" s="2325"/>
      <c r="K6" s="2326"/>
      <c r="L6" s="2325"/>
      <c r="M6" s="2326"/>
      <c r="N6" s="2325"/>
      <c r="O6" s="2326"/>
      <c r="P6" s="2313"/>
      <c r="Q6" s="2314"/>
      <c r="R6" s="2313"/>
      <c r="S6" s="2314"/>
      <c r="X6" s="261"/>
    </row>
    <row r="7" spans="1:24">
      <c r="A7" s="1082" t="s">
        <v>706</v>
      </c>
      <c r="B7" s="1352" t="s">
        <v>1126</v>
      </c>
      <c r="C7" s="415"/>
      <c r="D7" s="416"/>
      <c r="E7" s="417"/>
      <c r="F7" s="418"/>
      <c r="G7" s="829" t="s">
        <v>708</v>
      </c>
      <c r="H7" s="2325"/>
      <c r="I7" s="2326"/>
      <c r="J7" s="2325"/>
      <c r="K7" s="2326"/>
      <c r="L7" s="2325"/>
      <c r="M7" s="2326"/>
      <c r="N7" s="2325"/>
      <c r="O7" s="2326"/>
      <c r="P7" s="2313"/>
      <c r="Q7" s="2314"/>
      <c r="R7" s="2313"/>
      <c r="S7" s="2314"/>
      <c r="X7" s="261"/>
    </row>
    <row r="8" spans="1:24">
      <c r="A8" s="1082" t="s">
        <v>712</v>
      </c>
      <c r="B8" s="1353"/>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0</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354"/>
      <c r="B11" s="1355" t="s">
        <v>725</v>
      </c>
      <c r="C11" s="1261"/>
      <c r="D11" s="1357"/>
      <c r="E11" s="1357"/>
      <c r="F11" s="1358"/>
      <c r="G11" s="1359"/>
      <c r="H11" s="1360"/>
      <c r="I11" s="1361"/>
      <c r="J11" s="1360"/>
      <c r="K11" s="285"/>
      <c r="L11" s="1360"/>
      <c r="M11" s="1362"/>
      <c r="N11" s="1360"/>
      <c r="O11" s="1362"/>
      <c r="P11" s="1360"/>
      <c r="Q11" s="1362"/>
      <c r="R11" s="1360"/>
      <c r="S11" s="1362"/>
    </row>
    <row r="12" spans="1:24">
      <c r="A12" s="1354"/>
      <c r="B12" s="1363" t="s">
        <v>726</v>
      </c>
      <c r="C12" s="446"/>
      <c r="D12" s="422"/>
      <c r="E12" s="422"/>
      <c r="F12" s="418"/>
      <c r="G12" s="423"/>
      <c r="H12" s="1364"/>
      <c r="I12" s="1361"/>
      <c r="J12" s="1364"/>
      <c r="K12" s="1362"/>
      <c r="L12" s="1364"/>
      <c r="M12" s="1362"/>
      <c r="N12" s="1364"/>
      <c r="O12" s="1362"/>
      <c r="P12" s="1364"/>
      <c r="Q12" s="1362"/>
      <c r="R12" s="1364"/>
      <c r="S12" s="1362"/>
    </row>
    <row r="13" spans="1:24">
      <c r="A13" s="1097"/>
      <c r="B13" s="1363" t="s">
        <v>728</v>
      </c>
      <c r="C13" s="446"/>
      <c r="D13" s="422"/>
      <c r="E13" s="422"/>
      <c r="F13" s="418"/>
      <c r="G13" s="423"/>
      <c r="H13" s="1364"/>
      <c r="I13" s="1361"/>
      <c r="J13" s="1364"/>
      <c r="K13" s="1362"/>
      <c r="L13" s="1364"/>
      <c r="M13" s="1362"/>
      <c r="N13" s="1364"/>
      <c r="O13" s="1362"/>
      <c r="P13" s="1364"/>
      <c r="Q13" s="1362"/>
      <c r="R13" s="1364"/>
      <c r="S13" s="1362"/>
    </row>
    <row r="14" spans="1:24">
      <c r="A14" s="1354"/>
      <c r="B14" s="1365" t="s">
        <v>729</v>
      </c>
      <c r="C14" s="446"/>
      <c r="D14" s="422"/>
      <c r="E14" s="422"/>
      <c r="F14" s="418"/>
      <c r="G14" s="423"/>
      <c r="H14" s="1364"/>
      <c r="I14" s="1361"/>
      <c r="J14" s="1364"/>
      <c r="K14" s="1362"/>
      <c r="L14" s="1364"/>
      <c r="M14" s="1362"/>
      <c r="N14" s="1364"/>
      <c r="O14" s="1362"/>
      <c r="P14" s="1364"/>
      <c r="Q14" s="1362"/>
      <c r="R14" s="1364"/>
      <c r="S14" s="1362"/>
    </row>
    <row r="15" spans="1:24">
      <c r="A15" s="1097"/>
      <c r="B15" s="1365" t="s">
        <v>731</v>
      </c>
      <c r="C15" s="446"/>
      <c r="D15" s="422"/>
      <c r="E15" s="422"/>
      <c r="F15" s="418"/>
      <c r="G15" s="423"/>
      <c r="H15" s="1364"/>
      <c r="I15" s="1361"/>
      <c r="J15" s="1364"/>
      <c r="K15" s="1361"/>
      <c r="L15" s="1364"/>
      <c r="M15" s="1361"/>
      <c r="N15" s="1364"/>
      <c r="O15" s="1361"/>
      <c r="P15" s="1364"/>
      <c r="Q15" s="1361"/>
      <c r="R15" s="1364"/>
      <c r="S15" s="1361"/>
    </row>
    <row r="16" spans="1:24">
      <c r="A16" s="1354"/>
      <c r="B16" s="1365" t="s">
        <v>732</v>
      </c>
      <c r="C16" s="446"/>
      <c r="D16" s="422"/>
      <c r="E16" s="422"/>
      <c r="F16" s="418"/>
      <c r="G16" s="423"/>
      <c r="H16" s="1364"/>
      <c r="I16" s="1361"/>
      <c r="J16" s="1364"/>
      <c r="K16" s="1362"/>
      <c r="L16" s="1364"/>
      <c r="M16" s="1362"/>
      <c r="N16" s="1364"/>
      <c r="O16" s="1362"/>
      <c r="P16" s="1364"/>
      <c r="Q16" s="1362"/>
      <c r="R16" s="1364"/>
      <c r="S16" s="1362"/>
    </row>
    <row r="17" spans="1:41">
      <c r="A17" s="1097"/>
      <c r="B17" s="1365" t="s">
        <v>733</v>
      </c>
      <c r="C17" s="446"/>
      <c r="D17" s="422"/>
      <c r="E17" s="422"/>
      <c r="F17" s="418"/>
      <c r="G17" s="423"/>
      <c r="H17" s="1364"/>
      <c r="I17" s="1361"/>
      <c r="J17" s="1364"/>
      <c r="K17" s="1362"/>
      <c r="L17" s="1364"/>
      <c r="M17" s="1362"/>
      <c r="N17" s="1364"/>
      <c r="O17" s="1362"/>
      <c r="P17" s="1364"/>
      <c r="Q17" s="1362"/>
      <c r="R17" s="1364"/>
      <c r="S17" s="1362"/>
    </row>
    <row r="18" spans="1:41">
      <c r="A18" s="1354"/>
      <c r="B18" s="1154" t="s">
        <v>736</v>
      </c>
      <c r="C18" s="446"/>
      <c r="D18" s="422"/>
      <c r="E18" s="422"/>
      <c r="F18" s="418"/>
      <c r="G18" s="423"/>
      <c r="H18" s="1364"/>
      <c r="I18" s="1361"/>
      <c r="J18" s="1364"/>
      <c r="K18" s="1362"/>
      <c r="L18" s="1364"/>
      <c r="M18" s="1362"/>
      <c r="N18" s="1364"/>
      <c r="O18" s="1362"/>
      <c r="P18" s="1364"/>
      <c r="Q18" s="1362"/>
      <c r="R18" s="1364"/>
      <c r="S18" s="1362"/>
    </row>
    <row r="19" spans="1:41">
      <c r="A19" s="1097"/>
      <c r="B19" s="1266" t="s">
        <v>737</v>
      </c>
      <c r="C19" s="447"/>
      <c r="D19" s="425"/>
      <c r="E19" s="425"/>
      <c r="F19" s="426"/>
      <c r="G19" s="427"/>
      <c r="H19" s="1156"/>
      <c r="I19" s="1236"/>
      <c r="J19" s="1156"/>
      <c r="K19" s="1237"/>
      <c r="L19" s="1156"/>
      <c r="M19" s="1237"/>
      <c r="N19" s="1156"/>
      <c r="O19" s="1237"/>
      <c r="P19" s="1156"/>
      <c r="Q19" s="1237"/>
      <c r="R19" s="1156"/>
      <c r="S19" s="1237"/>
    </row>
    <row r="20" spans="1:41">
      <c r="A20" s="1354"/>
      <c r="B20" s="1369"/>
      <c r="C20" s="70"/>
      <c r="D20" s="86"/>
      <c r="E20" s="86"/>
      <c r="F20" s="280"/>
      <c r="G20" s="274"/>
      <c r="H20" s="1364"/>
      <c r="I20" s="428"/>
      <c r="J20" s="1364"/>
      <c r="K20" s="428"/>
      <c r="L20" s="1364"/>
      <c r="M20" s="428"/>
      <c r="N20" s="1364"/>
      <c r="O20" s="428"/>
      <c r="P20" s="1364"/>
      <c r="Q20" s="428"/>
      <c r="R20" s="1364"/>
      <c r="S20" s="428"/>
    </row>
    <row r="21" spans="1:41" s="69" customFormat="1">
      <c r="A21" s="1097"/>
      <c r="B21" s="1105"/>
      <c r="C21" s="415"/>
      <c r="D21" s="422"/>
      <c r="E21" s="422"/>
      <c r="F21" s="429"/>
      <c r="G21" s="423"/>
      <c r="H21" s="1364"/>
      <c r="I21" s="1107"/>
      <c r="J21" s="1364"/>
      <c r="K21" s="1106"/>
      <c r="L21" s="1364"/>
      <c r="M21" s="1106"/>
      <c r="N21" s="1364"/>
      <c r="O21" s="1107"/>
      <c r="P21" s="1364"/>
      <c r="Q21" s="1107"/>
      <c r="R21" s="1364"/>
      <c r="S21" s="1106"/>
      <c r="T21"/>
      <c r="U21"/>
      <c r="V21"/>
      <c r="W21"/>
      <c r="X21"/>
      <c r="Y21"/>
      <c r="Z21"/>
      <c r="AA21"/>
      <c r="AB21"/>
      <c r="AC21"/>
      <c r="AD21"/>
      <c r="AE21"/>
      <c r="AF21"/>
      <c r="AG21"/>
      <c r="AH21"/>
      <c r="AI21"/>
      <c r="AJ21"/>
      <c r="AK21"/>
      <c r="AL21"/>
      <c r="AM21"/>
      <c r="AN21"/>
      <c r="AO21"/>
    </row>
    <row r="22" spans="1:41">
      <c r="A22" s="1354"/>
      <c r="B22" s="1159"/>
      <c r="C22" s="1373"/>
      <c r="D22" s="1319"/>
      <c r="E22" s="1357"/>
      <c r="F22" s="1320"/>
      <c r="G22" s="1321"/>
      <c r="H22" s="1364"/>
      <c r="I22" s="1362"/>
      <c r="J22" s="1364"/>
      <c r="K22" s="1362"/>
      <c r="L22" s="1364"/>
      <c r="M22" s="1362"/>
      <c r="N22" s="1364"/>
      <c r="O22" s="1362"/>
      <c r="P22" s="1364"/>
      <c r="Q22" s="1362"/>
      <c r="R22" s="1364"/>
      <c r="S22" s="1362"/>
    </row>
    <row r="23" spans="1:41">
      <c r="A23" s="1097"/>
      <c r="B23" s="1159"/>
      <c r="C23" s="415"/>
      <c r="D23" s="430"/>
      <c r="E23" s="422"/>
      <c r="F23" s="431"/>
      <c r="G23" s="1321"/>
      <c r="H23" s="1364"/>
      <c r="I23" s="1362"/>
      <c r="J23" s="1364"/>
      <c r="K23" s="1362"/>
      <c r="L23" s="1364"/>
      <c r="M23" s="1362"/>
      <c r="N23" s="1364"/>
      <c r="O23" s="1362"/>
      <c r="P23" s="1364"/>
      <c r="Q23" s="1362"/>
      <c r="R23" s="1364"/>
      <c r="S23" s="1362"/>
    </row>
    <row r="24" spans="1:41">
      <c r="A24" s="1354"/>
      <c r="B24" s="1159"/>
      <c r="C24" s="415"/>
      <c r="D24" s="430"/>
      <c r="E24" s="422"/>
      <c r="F24" s="431"/>
      <c r="G24" s="1321"/>
      <c r="H24" s="1364"/>
      <c r="I24" s="1362"/>
      <c r="J24" s="1364"/>
      <c r="K24" s="1362"/>
      <c r="L24" s="1364"/>
      <c r="M24" s="1362"/>
      <c r="N24" s="1364"/>
      <c r="O24" s="1362"/>
      <c r="P24" s="1364"/>
      <c r="Q24" s="1362"/>
      <c r="R24" s="1364"/>
      <c r="S24" s="1362"/>
    </row>
    <row r="25" spans="1:41">
      <c r="A25" s="1097"/>
      <c r="B25" s="1159"/>
      <c r="C25" s="415"/>
      <c r="D25" s="430"/>
      <c r="E25" s="422"/>
      <c r="F25" s="431"/>
      <c r="G25" s="1321"/>
      <c r="H25" s="1364"/>
      <c r="I25" s="1362"/>
      <c r="J25" s="1364"/>
      <c r="K25" s="1362"/>
      <c r="L25" s="1364"/>
      <c r="M25" s="1362"/>
      <c r="N25" s="1364"/>
      <c r="O25" s="1362"/>
      <c r="P25" s="1364"/>
      <c r="Q25" s="1362"/>
      <c r="R25" s="1364"/>
      <c r="S25" s="1362"/>
    </row>
    <row r="26" spans="1:41">
      <c r="A26" s="1354"/>
      <c r="B26" s="1159"/>
      <c r="C26" s="415"/>
      <c r="D26" s="430"/>
      <c r="E26" s="422"/>
      <c r="F26" s="431"/>
      <c r="G26" s="1321"/>
      <c r="H26" s="1364"/>
      <c r="I26" s="1362"/>
      <c r="J26" s="1364"/>
      <c r="K26" s="1362"/>
      <c r="L26" s="1364"/>
      <c r="M26" s="1362"/>
      <c r="N26" s="1364"/>
      <c r="O26" s="1362"/>
      <c r="P26" s="1364"/>
      <c r="Q26" s="1362"/>
      <c r="R26" s="1364"/>
      <c r="S26" s="1362"/>
    </row>
    <row r="27" spans="1:41">
      <c r="A27" s="1097"/>
      <c r="B27" s="1159"/>
      <c r="C27" s="415"/>
      <c r="D27" s="430"/>
      <c r="E27" s="422"/>
      <c r="F27" s="431"/>
      <c r="G27" s="1321"/>
      <c r="H27" s="1364"/>
      <c r="I27" s="1362"/>
      <c r="J27" s="1364"/>
      <c r="K27" s="1362"/>
      <c r="L27" s="1364"/>
      <c r="M27" s="1362"/>
      <c r="N27" s="1364"/>
      <c r="O27" s="1362"/>
      <c r="P27" s="1364"/>
      <c r="Q27" s="1362"/>
      <c r="R27" s="1364"/>
      <c r="S27" s="1362"/>
    </row>
    <row r="28" spans="1:41">
      <c r="A28" s="1354"/>
      <c r="B28" s="1159"/>
      <c r="C28" s="415"/>
      <c r="D28" s="430"/>
      <c r="E28" s="422"/>
      <c r="F28" s="431"/>
      <c r="G28" s="1321"/>
      <c r="H28" s="1364"/>
      <c r="I28" s="1362"/>
      <c r="J28" s="1364"/>
      <c r="K28" s="1362"/>
      <c r="L28" s="1364"/>
      <c r="M28" s="1362"/>
      <c r="N28" s="1364"/>
      <c r="O28" s="1362"/>
      <c r="P28" s="1364"/>
      <c r="Q28" s="1362"/>
      <c r="R28" s="1364"/>
      <c r="S28" s="1362"/>
    </row>
    <row r="29" spans="1:41">
      <c r="A29" s="1097"/>
      <c r="B29" s="1159"/>
      <c r="C29" s="415"/>
      <c r="D29" s="430"/>
      <c r="E29" s="422"/>
      <c r="F29" s="431"/>
      <c r="G29" s="1321"/>
      <c r="H29" s="1364"/>
      <c r="I29" s="1362"/>
      <c r="J29" s="1364"/>
      <c r="K29" s="1362"/>
      <c r="L29" s="1364"/>
      <c r="M29" s="1362"/>
      <c r="N29" s="1364"/>
      <c r="O29" s="1362"/>
      <c r="P29" s="1364"/>
      <c r="Q29" s="1362"/>
      <c r="R29" s="1364"/>
      <c r="S29" s="1362"/>
    </row>
    <row r="30" spans="1:41">
      <c r="A30" s="1354"/>
      <c r="B30" s="1159"/>
      <c r="C30" s="415"/>
      <c r="D30" s="430"/>
      <c r="E30" s="422"/>
      <c r="F30" s="431"/>
      <c r="G30" s="1321"/>
      <c r="H30" s="1364"/>
      <c r="I30" s="1362"/>
      <c r="J30" s="1364"/>
      <c r="K30" s="1362"/>
      <c r="L30" s="1364"/>
      <c r="M30" s="1362"/>
      <c r="N30" s="1364"/>
      <c r="O30" s="1362"/>
      <c r="P30" s="1364"/>
      <c r="Q30" s="1362"/>
      <c r="R30" s="1364"/>
      <c r="S30" s="1362"/>
    </row>
    <row r="31" spans="1:41">
      <c r="A31" s="1097"/>
      <c r="B31" s="1159"/>
      <c r="C31" s="415"/>
      <c r="D31" s="430"/>
      <c r="E31" s="422"/>
      <c r="F31" s="431"/>
      <c r="G31" s="1321"/>
      <c r="H31" s="1364"/>
      <c r="I31" s="1362"/>
      <c r="J31" s="1364"/>
      <c r="K31" s="1362"/>
      <c r="L31" s="1364"/>
      <c r="M31" s="1362"/>
      <c r="N31" s="1364"/>
      <c r="O31" s="1362"/>
      <c r="P31" s="1364"/>
      <c r="Q31" s="1362"/>
      <c r="R31" s="1364"/>
      <c r="S31" s="1362"/>
    </row>
    <row r="32" spans="1:41">
      <c r="A32" s="1354"/>
      <c r="B32" s="1163"/>
      <c r="C32" s="23"/>
      <c r="D32" s="430"/>
      <c r="E32" s="422"/>
      <c r="F32" s="431"/>
      <c r="G32" s="1321"/>
      <c r="H32" s="1364"/>
      <c r="I32" s="1362"/>
      <c r="J32" s="1364"/>
      <c r="K32" s="1362"/>
      <c r="L32" s="1364"/>
      <c r="M32" s="1362"/>
      <c r="N32" s="1364"/>
      <c r="O32" s="1362"/>
      <c r="P32" s="1364"/>
      <c r="Q32" s="1362"/>
      <c r="R32" s="1364"/>
      <c r="S32" s="1362"/>
    </row>
    <row r="33" spans="1:19">
      <c r="A33" s="1097"/>
      <c r="B33" s="1163"/>
      <c r="C33" s="23"/>
      <c r="D33" s="87"/>
      <c r="E33" s="86"/>
      <c r="F33" s="431"/>
      <c r="G33" s="1321"/>
      <c r="H33" s="1364"/>
      <c r="I33" s="1362"/>
      <c r="J33" s="1364"/>
      <c r="K33" s="1362"/>
      <c r="L33" s="1364"/>
      <c r="M33" s="1362"/>
      <c r="N33" s="1364"/>
      <c r="O33" s="1362"/>
      <c r="P33" s="1364"/>
      <c r="Q33" s="1362"/>
      <c r="R33" s="1364"/>
      <c r="S33" s="1362"/>
    </row>
    <row r="34" spans="1:19">
      <c r="A34" s="1354"/>
      <c r="B34" s="1163"/>
      <c r="C34" s="23"/>
      <c r="D34" s="87"/>
      <c r="E34" s="86"/>
      <c r="F34" s="431"/>
      <c r="G34" s="1321"/>
      <c r="H34" s="1364"/>
      <c r="I34" s="1362"/>
      <c r="J34" s="1364"/>
      <c r="K34" s="1362"/>
      <c r="L34" s="1364"/>
      <c r="M34" s="1362"/>
      <c r="N34" s="1364"/>
      <c r="O34" s="1362"/>
      <c r="P34" s="1364"/>
      <c r="Q34" s="1362"/>
      <c r="R34" s="1364"/>
      <c r="S34" s="1362"/>
    </row>
    <row r="35" spans="1:19">
      <c r="A35" s="1354"/>
      <c r="B35" s="1163"/>
      <c r="C35" s="23"/>
      <c r="D35" s="87"/>
      <c r="E35" s="86"/>
      <c r="F35" s="431"/>
      <c r="G35" s="1321"/>
      <c r="H35" s="1364"/>
      <c r="I35" s="1362"/>
      <c r="J35" s="1364"/>
      <c r="K35" s="1362"/>
      <c r="L35" s="1364"/>
      <c r="M35" s="1362"/>
      <c r="N35" s="1364"/>
      <c r="O35" s="1362"/>
      <c r="P35" s="1364"/>
      <c r="Q35" s="1362"/>
      <c r="R35" s="1364"/>
      <c r="S35" s="1362"/>
    </row>
    <row r="36" spans="1:19">
      <c r="A36" s="1354"/>
      <c r="B36" s="1163"/>
      <c r="C36" s="23"/>
      <c r="D36" s="87"/>
      <c r="E36" s="86"/>
      <c r="F36" s="431"/>
      <c r="G36" s="1321"/>
      <c r="H36" s="1364"/>
      <c r="I36" s="1362"/>
      <c r="J36" s="1364"/>
      <c r="K36" s="1362"/>
      <c r="L36" s="1364"/>
      <c r="M36" s="1362"/>
      <c r="N36" s="1364"/>
      <c r="O36" s="1362"/>
      <c r="P36" s="1364"/>
      <c r="Q36" s="1362"/>
      <c r="R36" s="1364"/>
      <c r="S36" s="1362"/>
    </row>
    <row r="37" spans="1:19">
      <c r="A37" s="1354"/>
      <c r="B37" s="1163"/>
      <c r="C37" s="23"/>
      <c r="D37" s="87"/>
      <c r="E37" s="86"/>
      <c r="F37" s="431"/>
      <c r="G37" s="1321"/>
      <c r="H37" s="1364"/>
      <c r="I37" s="1362"/>
      <c r="J37" s="1364"/>
      <c r="K37" s="1362"/>
      <c r="L37" s="1364"/>
      <c r="M37" s="1362"/>
      <c r="N37" s="1364"/>
      <c r="O37" s="1362"/>
      <c r="P37" s="1364"/>
      <c r="Q37" s="1362"/>
      <c r="R37" s="1364"/>
      <c r="S37" s="1362"/>
    </row>
    <row r="38" spans="1:19">
      <c r="A38" s="1354"/>
      <c r="B38" s="1163"/>
      <c r="C38" s="23"/>
      <c r="D38" s="87"/>
      <c r="E38" s="86"/>
      <c r="F38" s="431"/>
      <c r="G38" s="1321"/>
      <c r="H38" s="1364"/>
      <c r="I38" s="1362"/>
      <c r="J38" s="1364"/>
      <c r="K38" s="1362"/>
      <c r="L38" s="1364"/>
      <c r="M38" s="1362"/>
      <c r="N38" s="1364"/>
      <c r="O38" s="1362"/>
      <c r="P38" s="1364"/>
      <c r="Q38" s="1362"/>
      <c r="R38" s="1364"/>
      <c r="S38" s="1362"/>
    </row>
    <row r="39" spans="1:19">
      <c r="A39" s="1354"/>
      <c r="B39" s="1163"/>
      <c r="C39" s="23"/>
      <c r="D39" s="87"/>
      <c r="E39" s="86"/>
      <c r="F39" s="431"/>
      <c r="G39" s="1321"/>
      <c r="H39" s="1364"/>
      <c r="I39" s="1362"/>
      <c r="J39" s="1364"/>
      <c r="K39" s="1362"/>
      <c r="L39" s="1364"/>
      <c r="M39" s="1362"/>
      <c r="N39" s="1364"/>
      <c r="O39" s="1362"/>
      <c r="P39" s="1364"/>
      <c r="Q39" s="1362"/>
      <c r="R39" s="1364"/>
      <c r="S39" s="1362"/>
    </row>
    <row r="40" spans="1:19">
      <c r="A40" s="1354"/>
      <c r="B40" s="1163"/>
      <c r="C40" s="23"/>
      <c r="D40" s="87"/>
      <c r="E40" s="86"/>
      <c r="F40" s="431"/>
      <c r="G40" s="1321"/>
      <c r="H40" s="1364"/>
      <c r="I40" s="1362"/>
      <c r="J40" s="1364"/>
      <c r="K40" s="1362"/>
      <c r="L40" s="1364"/>
      <c r="M40" s="1362"/>
      <c r="N40" s="1364"/>
      <c r="O40" s="1362"/>
      <c r="P40" s="1364"/>
      <c r="Q40" s="1362"/>
      <c r="R40" s="1364"/>
      <c r="S40" s="1362"/>
    </row>
    <row r="41" spans="1:19">
      <c r="A41" s="1354"/>
      <c r="B41" s="1163"/>
      <c r="C41" s="23"/>
      <c r="D41" s="87"/>
      <c r="E41" s="86"/>
      <c r="F41" s="431"/>
      <c r="G41" s="1321"/>
      <c r="H41" s="1364"/>
      <c r="I41" s="1362"/>
      <c r="J41" s="1364"/>
      <c r="K41" s="1362"/>
      <c r="L41" s="1364"/>
      <c r="M41" s="1362"/>
      <c r="N41" s="1364"/>
      <c r="O41" s="1362"/>
      <c r="P41" s="1364"/>
      <c r="Q41" s="1362"/>
      <c r="R41" s="1364"/>
      <c r="S41" s="1362"/>
    </row>
    <row r="42" spans="1:19">
      <c r="A42" s="1354"/>
      <c r="B42" s="1163"/>
      <c r="C42" s="23"/>
      <c r="D42" s="87"/>
      <c r="E42" s="86"/>
      <c r="F42" s="431"/>
      <c r="G42" s="1321"/>
      <c r="H42" s="1364"/>
      <c r="I42" s="1362"/>
      <c r="J42" s="1364"/>
      <c r="K42" s="1362"/>
      <c r="L42" s="1364"/>
      <c r="M42" s="1362"/>
      <c r="N42" s="1364"/>
      <c r="O42" s="1362"/>
      <c r="P42" s="1364"/>
      <c r="Q42" s="1362"/>
      <c r="R42" s="1364"/>
      <c r="S42" s="1362"/>
    </row>
    <row r="43" spans="1:19">
      <c r="A43" s="1354"/>
      <c r="B43" s="1163"/>
      <c r="C43" s="23"/>
      <c r="D43" s="87"/>
      <c r="E43" s="86"/>
      <c r="F43" s="431"/>
      <c r="G43" s="1321"/>
      <c r="H43" s="1364"/>
      <c r="I43" s="1362"/>
      <c r="J43" s="1364"/>
      <c r="K43" s="1362"/>
      <c r="L43" s="1364"/>
      <c r="M43" s="1362"/>
      <c r="N43" s="1364"/>
      <c r="O43" s="1362"/>
      <c r="P43" s="1364"/>
      <c r="Q43" s="1362"/>
      <c r="R43" s="1364"/>
      <c r="S43" s="1362"/>
    </row>
    <row r="44" spans="1:19">
      <c r="A44" s="1354"/>
      <c r="B44" s="1163"/>
      <c r="C44" s="23"/>
      <c r="D44" s="87"/>
      <c r="E44" s="86"/>
      <c r="F44" s="431"/>
      <c r="G44" s="1321"/>
      <c r="H44" s="1364"/>
      <c r="I44" s="1362"/>
      <c r="J44" s="1364"/>
      <c r="K44" s="1362"/>
      <c r="L44" s="1364"/>
      <c r="M44" s="1362"/>
      <c r="N44" s="1364"/>
      <c r="O44" s="1362"/>
      <c r="P44" s="1364"/>
      <c r="Q44" s="1362"/>
      <c r="R44" s="1364"/>
      <c r="S44" s="1362"/>
    </row>
    <row r="45" spans="1:19">
      <c r="A45" s="1354"/>
      <c r="B45" s="1163"/>
      <c r="C45" s="23"/>
      <c r="D45" s="87"/>
      <c r="E45" s="86"/>
      <c r="F45" s="431"/>
      <c r="G45" s="1321"/>
      <c r="H45" s="1364"/>
      <c r="I45" s="1362"/>
      <c r="J45" s="1364"/>
      <c r="K45" s="1362"/>
      <c r="L45" s="1364"/>
      <c r="M45" s="1362"/>
      <c r="N45" s="1364"/>
      <c r="O45" s="1362"/>
      <c r="P45" s="1364"/>
      <c r="Q45" s="1362"/>
      <c r="R45" s="1364"/>
      <c r="S45" s="1362"/>
    </row>
    <row r="46" spans="1:19">
      <c r="A46" s="1354"/>
      <c r="B46" s="1163"/>
      <c r="C46" s="23"/>
      <c r="D46" s="87"/>
      <c r="E46" s="86"/>
      <c r="F46" s="431"/>
      <c r="G46" s="1321"/>
      <c r="H46" s="1364"/>
      <c r="I46" s="1362"/>
      <c r="J46" s="1364"/>
      <c r="K46" s="1362"/>
      <c r="L46" s="1364"/>
      <c r="M46" s="1362"/>
      <c r="N46" s="1364"/>
      <c r="O46" s="1362"/>
      <c r="P46" s="1364"/>
      <c r="Q46" s="1362"/>
      <c r="R46" s="1364"/>
      <c r="S46" s="1362"/>
    </row>
    <row r="47" spans="1:19">
      <c r="A47" s="1354"/>
      <c r="B47" s="1163"/>
      <c r="C47" s="23"/>
      <c r="D47" s="87"/>
      <c r="E47" s="86"/>
      <c r="F47" s="431"/>
      <c r="G47" s="1321"/>
      <c r="H47" s="1364"/>
      <c r="I47" s="1362"/>
      <c r="J47" s="1364"/>
      <c r="K47" s="1362"/>
      <c r="L47" s="1364"/>
      <c r="M47" s="1362"/>
      <c r="N47" s="1364"/>
      <c r="O47" s="1362"/>
      <c r="P47" s="1364"/>
      <c r="Q47" s="1362"/>
      <c r="R47" s="1364"/>
      <c r="S47" s="1362"/>
    </row>
    <row r="48" spans="1:19">
      <c r="A48" s="1354"/>
      <c r="B48" s="1163"/>
      <c r="C48" s="23"/>
      <c r="D48" s="87"/>
      <c r="E48" s="86"/>
      <c r="F48" s="431"/>
      <c r="G48" s="1321"/>
      <c r="H48" s="1364"/>
      <c r="I48" s="1362"/>
      <c r="J48" s="1364"/>
      <c r="K48" s="1362"/>
      <c r="L48" s="1364"/>
      <c r="M48" s="1362"/>
      <c r="N48" s="1364"/>
      <c r="O48" s="1362"/>
      <c r="P48" s="1364"/>
      <c r="Q48" s="1362"/>
      <c r="R48" s="1364"/>
      <c r="S48" s="1362"/>
    </row>
    <row r="49" spans="1:34">
      <c r="A49" s="1354"/>
      <c r="B49" s="1163"/>
      <c r="C49" s="23"/>
      <c r="D49" s="87"/>
      <c r="E49" s="86"/>
      <c r="F49" s="431"/>
      <c r="G49" s="830"/>
      <c r="H49" s="1364"/>
      <c r="I49" s="1362"/>
      <c r="J49" s="1364"/>
      <c r="K49" s="1362"/>
      <c r="L49" s="1364"/>
      <c r="M49" s="1362"/>
      <c r="N49" s="1364"/>
      <c r="O49" s="1362"/>
      <c r="P49" s="1364"/>
      <c r="Q49" s="1362"/>
      <c r="R49" s="1364"/>
      <c r="S49" s="1362"/>
    </row>
    <row r="50" spans="1:34" ht="15.75" thickBot="1">
      <c r="A50" s="1354"/>
      <c r="B50" s="1163"/>
      <c r="C50" s="23"/>
      <c r="D50" s="87"/>
      <c r="E50" s="86"/>
      <c r="F50" s="431"/>
      <c r="G50" s="830"/>
      <c r="H50" s="1364"/>
      <c r="I50" s="1362"/>
      <c r="J50" s="1364"/>
      <c r="K50" s="1362"/>
      <c r="L50" s="1364"/>
      <c r="M50" s="1362"/>
      <c r="N50" s="1364"/>
      <c r="O50" s="1362"/>
      <c r="P50" s="1364"/>
      <c r="Q50" s="1362"/>
      <c r="R50" s="1364"/>
      <c r="S50" s="1362"/>
    </row>
    <row r="51" spans="1:34" ht="15.75" thickTop="1">
      <c r="A51" s="296"/>
      <c r="B51" s="301"/>
      <c r="C51" s="297"/>
      <c r="D51" s="15"/>
      <c r="E51" s="16"/>
      <c r="F51" s="282" t="s">
        <v>753</v>
      </c>
      <c r="G51" s="272"/>
      <c r="H51" s="273"/>
      <c r="I51" s="273">
        <f>SUM(I12:I50)</f>
        <v>0</v>
      </c>
      <c r="J51" s="273"/>
      <c r="K51" s="273">
        <f>SUM(K12:K50)</f>
        <v>0</v>
      </c>
      <c r="L51" s="273"/>
      <c r="M51" s="273">
        <f>SUM(M11:M50)</f>
        <v>0</v>
      </c>
      <c r="N51" s="273"/>
      <c r="O51" s="273">
        <f>SUM(O11:O50)</f>
        <v>0</v>
      </c>
      <c r="P51" s="273"/>
      <c r="Q51" s="273">
        <f>SUM(Q12:Q50)</f>
        <v>0</v>
      </c>
      <c r="R51" s="273"/>
      <c r="S51" s="273">
        <f>SUM(S12:S50)</f>
        <v>0</v>
      </c>
    </row>
    <row r="52" spans="1:34">
      <c r="A52" s="1114"/>
      <c r="B52" s="1164"/>
      <c r="C52" s="432"/>
      <c r="D52" s="433"/>
      <c r="E52" s="434"/>
      <c r="F52" s="435" t="s">
        <v>754</v>
      </c>
      <c r="G52" s="436"/>
      <c r="H52" s="1165">
        <v>0</v>
      </c>
      <c r="I52" s="1166"/>
      <c r="J52" s="1165">
        <v>0</v>
      </c>
      <c r="K52" s="1166"/>
      <c r="L52" s="1165">
        <v>0</v>
      </c>
      <c r="M52" s="1166"/>
      <c r="N52" s="1165">
        <v>0</v>
      </c>
      <c r="O52" s="1166"/>
      <c r="P52" s="1165">
        <v>0</v>
      </c>
      <c r="Q52" s="1166"/>
      <c r="R52" s="1165">
        <v>0</v>
      </c>
      <c r="S52" s="1166"/>
    </row>
    <row r="53" spans="1:34">
      <c r="A53" s="1114"/>
      <c r="B53" s="1164"/>
      <c r="C53" s="432"/>
      <c r="D53" s="433"/>
      <c r="E53" s="434"/>
      <c r="F53" s="435" t="s">
        <v>755</v>
      </c>
      <c r="G53" s="436"/>
      <c r="H53" s="1166"/>
      <c r="I53" s="1166">
        <f>H52*$I$51</f>
        <v>0</v>
      </c>
      <c r="J53" s="1166"/>
      <c r="K53" s="1166">
        <f>J52*$K$51</f>
        <v>0</v>
      </c>
      <c r="L53" s="1166"/>
      <c r="M53" s="1166">
        <f>L52*$M$51</f>
        <v>0</v>
      </c>
      <c r="N53" s="1166"/>
      <c r="O53" s="1166">
        <f>N52*$O$51</f>
        <v>0</v>
      </c>
      <c r="P53" s="1166"/>
      <c r="Q53" s="1166">
        <f>P52*$Q$51</f>
        <v>0</v>
      </c>
      <c r="R53" s="1166"/>
      <c r="S53" s="1166">
        <f>R52*S51</f>
        <v>0</v>
      </c>
    </row>
    <row r="54" spans="1:34">
      <c r="A54" s="1114"/>
      <c r="B54" s="1164"/>
      <c r="C54" s="432"/>
      <c r="D54" s="433"/>
      <c r="E54" s="434"/>
      <c r="F54" s="435"/>
      <c r="G54" s="436"/>
      <c r="H54" s="1166"/>
      <c r="I54" s="1166"/>
      <c r="J54" s="1166"/>
      <c r="K54" s="1166"/>
      <c r="L54" s="1166"/>
      <c r="M54" s="1166"/>
      <c r="N54" s="1166"/>
      <c r="O54" s="1166"/>
      <c r="P54" s="1166"/>
      <c r="Q54" s="1166"/>
      <c r="R54" s="1166"/>
      <c r="S54" s="1166"/>
    </row>
    <row r="55" spans="1:34">
      <c r="A55" s="1114"/>
      <c r="B55" s="1164"/>
      <c r="C55" s="432"/>
      <c r="D55" s="433"/>
      <c r="E55" s="434"/>
      <c r="F55" s="435" t="s">
        <v>756</v>
      </c>
      <c r="G55" s="436"/>
      <c r="H55" s="1166"/>
      <c r="I55" s="1166">
        <f>SUM(I51:I53)</f>
        <v>0</v>
      </c>
      <c r="J55" s="1166"/>
      <c r="K55" s="1166">
        <f>SUM(K51:K53)</f>
        <v>0</v>
      </c>
      <c r="L55" s="1166"/>
      <c r="M55" s="1166">
        <f>SUM(M51:M53)</f>
        <v>0</v>
      </c>
      <c r="N55" s="1166"/>
      <c r="O55" s="1166">
        <f>SUM(O51:O53)</f>
        <v>0</v>
      </c>
      <c r="P55" s="1166"/>
      <c r="Q55" s="1166">
        <f>SUM(Q51:Q53)</f>
        <v>0</v>
      </c>
      <c r="R55" s="1166"/>
      <c r="S55" s="1166">
        <f>SUM(S51:S53)</f>
        <v>0</v>
      </c>
    </row>
    <row r="56" spans="1:34">
      <c r="A56" s="1114"/>
      <c r="B56" s="1164"/>
      <c r="C56" s="432"/>
      <c r="D56" s="433"/>
      <c r="E56" s="434"/>
      <c r="F56" s="437" t="s">
        <v>757</v>
      </c>
      <c r="G56" s="438"/>
      <c r="H56" s="1167"/>
      <c r="I56" s="1167">
        <f>I55/'Area Calculations'!$G$4</f>
        <v>0</v>
      </c>
      <c r="J56" s="1167"/>
      <c r="K56" s="1167">
        <f>K55/'Area Calculations'!$G$4</f>
        <v>0</v>
      </c>
      <c r="L56" s="1167"/>
      <c r="M56" s="1167">
        <f>M55/'Area Calculations'!$G$4</f>
        <v>0</v>
      </c>
      <c r="N56" s="1167"/>
      <c r="O56" s="1167">
        <f>O55/'Area Calculations'!$G$4</f>
        <v>0</v>
      </c>
      <c r="P56" s="1167"/>
      <c r="Q56" s="1167">
        <f>Q55/'Area Calculations'!$G$4</f>
        <v>0</v>
      </c>
      <c r="R56" s="1167"/>
      <c r="S56" s="1167">
        <f>S55/'Area Calculations'!$G$4</f>
        <v>0</v>
      </c>
    </row>
    <row r="57" spans="1:34">
      <c r="A57" s="1114"/>
      <c r="B57" s="1164"/>
      <c r="C57" s="432"/>
      <c r="D57" s="433"/>
      <c r="E57" s="434"/>
      <c r="F57" s="437" t="s">
        <v>758</v>
      </c>
      <c r="G57" s="438"/>
      <c r="H57" s="1167"/>
      <c r="I57" s="1167">
        <f>I55/'Area Calculations'!$G$9</f>
        <v>0</v>
      </c>
      <c r="J57" s="1167"/>
      <c r="K57" s="1167">
        <f>K55/'Area Calculations'!$G$9</f>
        <v>0</v>
      </c>
      <c r="L57" s="1167"/>
      <c r="M57" s="1167">
        <f>M55/'Area Calculations'!$G$9</f>
        <v>0</v>
      </c>
      <c r="N57" s="1167"/>
      <c r="O57" s="1167">
        <f>O55/'Area Calculations'!$G$9</f>
        <v>0</v>
      </c>
      <c r="P57" s="1167"/>
      <c r="Q57" s="1167">
        <f>Q55/'Area Calculations'!$G$9</f>
        <v>0</v>
      </c>
      <c r="R57" s="1167"/>
      <c r="S57" s="1167">
        <f>S55/'Area Calculations'!$G$9</f>
        <v>0</v>
      </c>
    </row>
    <row r="58" spans="1:34" ht="15.75" thickBot="1">
      <c r="A58" s="1114"/>
      <c r="B58" s="1164"/>
      <c r="C58" s="432"/>
      <c r="D58" s="433"/>
      <c r="E58" s="434"/>
      <c r="F58" s="439"/>
      <c r="G58" s="436"/>
      <c r="H58" s="1168"/>
      <c r="I58" s="1168"/>
      <c r="J58" s="1168"/>
      <c r="K58" s="1168"/>
      <c r="L58" s="1168"/>
      <c r="M58" s="1168"/>
      <c r="N58" s="1168"/>
      <c r="O58" s="1168"/>
      <c r="P58" s="1168"/>
      <c r="Q58" s="1168"/>
      <c r="R58" s="1168"/>
      <c r="S58" s="1168"/>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1331"/>
      <c r="B60" s="1105"/>
      <c r="C60" s="1373"/>
      <c r="D60" s="1357"/>
      <c r="E60" s="1357"/>
      <c r="F60" s="1357"/>
      <c r="G60" s="1333"/>
      <c r="H60" s="1335"/>
      <c r="I60" s="1223"/>
      <c r="J60" s="1223"/>
      <c r="K60" s="1223"/>
      <c r="L60" s="1223"/>
      <c r="M60" s="1223"/>
      <c r="N60" s="1223"/>
      <c r="O60" s="1223"/>
      <c r="P60" s="1223"/>
      <c r="Q60" s="1223"/>
      <c r="R60" s="1223"/>
      <c r="S60" s="1223"/>
    </row>
    <row r="61" spans="1:34">
      <c r="A61" s="1331"/>
      <c r="B61" s="1105"/>
      <c r="C61" s="1373"/>
      <c r="D61" s="1357"/>
      <c r="E61" s="1357"/>
      <c r="F61" s="1357"/>
      <c r="G61" s="1333"/>
      <c r="H61" s="1335"/>
      <c r="I61" s="1223"/>
      <c r="J61" s="1223"/>
      <c r="K61" s="1223"/>
      <c r="L61" s="1223"/>
      <c r="M61" s="1223"/>
      <c r="N61" s="1223"/>
      <c r="O61" s="1223"/>
      <c r="P61" s="1223"/>
      <c r="Q61" s="1223"/>
      <c r="R61" s="1223"/>
      <c r="S61" s="1223"/>
    </row>
    <row r="62" spans="1:34" ht="15.75" thickBot="1">
      <c r="A62" s="1331"/>
      <c r="B62" s="1105"/>
      <c r="C62" s="1373"/>
      <c r="D62" s="1357"/>
      <c r="E62" s="1357"/>
      <c r="F62" s="1357"/>
      <c r="G62" s="1333"/>
      <c r="H62" s="1335"/>
      <c r="I62" s="1223"/>
      <c r="J62" s="1223"/>
      <c r="K62" s="1223"/>
      <c r="L62" s="1223"/>
      <c r="M62" s="1223"/>
      <c r="N62" s="1223"/>
      <c r="O62" s="1223"/>
      <c r="P62" s="1223"/>
      <c r="Q62" s="1223"/>
      <c r="R62" s="1223"/>
      <c r="S62" s="1223"/>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1331"/>
      <c r="B64" s="1105"/>
      <c r="C64" s="1373"/>
      <c r="D64" s="1357"/>
      <c r="E64" s="1357"/>
      <c r="F64" s="1357"/>
      <c r="G64" s="1333"/>
      <c r="H64" s="1335"/>
      <c r="I64" s="1223"/>
      <c r="J64" s="1223"/>
      <c r="K64" s="1223"/>
      <c r="L64" s="1223"/>
      <c r="M64" s="1223"/>
      <c r="N64" s="1223"/>
      <c r="O64" s="1223"/>
      <c r="P64" s="1223"/>
      <c r="Q64" s="1223"/>
      <c r="R64" s="1223"/>
      <c r="S64" s="1223"/>
      <c r="T64"/>
      <c r="U64"/>
      <c r="V64"/>
      <c r="W64"/>
      <c r="X64"/>
      <c r="Y64"/>
      <c r="Z64"/>
      <c r="AA64"/>
      <c r="AB64"/>
      <c r="AC64"/>
      <c r="AD64"/>
      <c r="AE64"/>
      <c r="AF64"/>
      <c r="AG64"/>
      <c r="AH64"/>
    </row>
    <row r="65" spans="1:34" s="2" customFormat="1">
      <c r="A65" s="1331"/>
      <c r="B65" s="1105"/>
      <c r="C65" s="1373"/>
      <c r="D65" s="1357"/>
      <c r="E65" s="1357"/>
      <c r="F65" s="1357"/>
      <c r="G65" s="1333"/>
      <c r="H65" s="1335"/>
      <c r="I65" s="1223"/>
      <c r="J65" s="1223"/>
      <c r="K65" s="1223"/>
      <c r="L65" s="1223"/>
      <c r="M65" s="1223"/>
      <c r="N65" s="1223"/>
      <c r="O65" s="1223"/>
      <c r="P65" s="1223"/>
      <c r="Q65" s="1223"/>
      <c r="R65" s="1223"/>
      <c r="S65" s="1223"/>
      <c r="T65"/>
      <c r="U65"/>
      <c r="V65"/>
      <c r="W65"/>
      <c r="X65"/>
      <c r="Y65"/>
      <c r="Z65"/>
      <c r="AA65"/>
      <c r="AB65"/>
      <c r="AC65"/>
      <c r="AD65"/>
      <c r="AE65"/>
      <c r="AF65"/>
      <c r="AG65"/>
      <c r="AH65"/>
    </row>
    <row r="66" spans="1:34" ht="15.75" thickBot="1">
      <c r="A66" s="1331"/>
      <c r="B66" s="1105"/>
      <c r="C66" s="1373"/>
      <c r="D66" s="1357"/>
      <c r="E66" s="1357"/>
      <c r="F66" s="1357"/>
      <c r="G66" s="1333"/>
      <c r="H66" s="1335"/>
      <c r="I66" s="1223"/>
      <c r="J66" s="1223"/>
      <c r="K66" s="1223"/>
      <c r="L66" s="1223"/>
      <c r="M66" s="1223"/>
      <c r="N66" s="1223"/>
      <c r="O66" s="1223"/>
      <c r="P66" s="1223"/>
      <c r="Q66" s="1223"/>
      <c r="R66" s="1223"/>
      <c r="S66" s="1223"/>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1331"/>
      <c r="B68" s="1105"/>
      <c r="C68" s="1373"/>
      <c r="D68" s="1357"/>
      <c r="E68" s="1357"/>
      <c r="F68" s="1357"/>
      <c r="G68" s="1333"/>
      <c r="H68" s="1335"/>
      <c r="I68" s="1223"/>
      <c r="J68" s="1223"/>
      <c r="K68" s="1223"/>
      <c r="L68" s="1223"/>
      <c r="M68" s="1223"/>
      <c r="N68" s="1223"/>
      <c r="O68" s="1223"/>
      <c r="P68" s="1223"/>
      <c r="Q68" s="1223"/>
      <c r="R68" s="1223"/>
      <c r="S68" s="1223"/>
      <c r="T68"/>
      <c r="U68"/>
      <c r="V68"/>
      <c r="W68"/>
      <c r="X68"/>
      <c r="Y68"/>
      <c r="Z68"/>
      <c r="AA68"/>
      <c r="AB68"/>
      <c r="AC68"/>
      <c r="AD68"/>
      <c r="AE68"/>
      <c r="AF68"/>
      <c r="AG68"/>
      <c r="AH68"/>
    </row>
    <row r="69" spans="1:34" s="2" customFormat="1">
      <c r="A69" s="1124"/>
      <c r="B69" s="1105"/>
      <c r="C69" s="415"/>
      <c r="D69" s="422"/>
      <c r="E69" s="422"/>
      <c r="F69" s="422"/>
      <c r="G69" s="831"/>
      <c r="H69" s="440"/>
      <c r="I69" s="1173"/>
      <c r="J69" s="1173"/>
      <c r="K69" s="1173"/>
      <c r="L69" s="1173"/>
      <c r="M69" s="1173"/>
      <c r="N69" s="1173"/>
      <c r="O69" s="1173"/>
      <c r="P69" s="1173"/>
      <c r="Q69" s="1173"/>
      <c r="R69" s="1173"/>
      <c r="S69" s="1173"/>
      <c r="T69"/>
      <c r="U69"/>
      <c r="V69"/>
      <c r="W69"/>
      <c r="X69"/>
      <c r="Y69"/>
      <c r="Z69"/>
      <c r="AA69"/>
      <c r="AB69"/>
      <c r="AC69"/>
      <c r="AD69"/>
      <c r="AE69"/>
      <c r="AF69"/>
      <c r="AG69"/>
      <c r="AH69"/>
    </row>
    <row r="70" spans="1:34" s="2" customFormat="1" ht="15.75" thickBot="1">
      <c r="A70" s="1126"/>
      <c r="B70" s="1174"/>
      <c r="C70" s="415"/>
      <c r="D70" s="422"/>
      <c r="E70" s="422"/>
      <c r="F70" s="422"/>
      <c r="G70" s="831"/>
      <c r="H70" s="441"/>
      <c r="I70" s="1175"/>
      <c r="J70" s="1175"/>
      <c r="K70" s="1175"/>
      <c r="L70" s="1175"/>
      <c r="M70" s="1175"/>
      <c r="N70" s="1175"/>
      <c r="O70" s="1175"/>
      <c r="P70" s="1175"/>
      <c r="Q70" s="1175"/>
      <c r="R70" s="1175"/>
      <c r="S70" s="1175"/>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1339"/>
      <c r="B72" s="1225"/>
      <c r="C72" s="1373"/>
      <c r="D72" s="1357"/>
      <c r="E72" s="1357"/>
      <c r="F72" s="1357"/>
      <c r="G72" s="1333"/>
      <c r="H72" s="1335"/>
      <c r="I72" s="1223"/>
      <c r="J72" s="1223"/>
      <c r="K72" s="1223"/>
      <c r="L72" s="1223"/>
      <c r="M72" s="1223"/>
      <c r="N72" s="1223"/>
      <c r="O72" s="1223"/>
      <c r="P72" s="1223"/>
      <c r="Q72" s="1223"/>
      <c r="R72" s="1223"/>
      <c r="S72" s="1223"/>
      <c r="T72" s="2"/>
      <c r="U72" s="2"/>
      <c r="V72" s="2"/>
      <c r="W72" s="2"/>
      <c r="X72" s="2"/>
      <c r="Y72" s="2"/>
      <c r="Z72" s="2"/>
      <c r="AA72" s="2"/>
      <c r="AB72" s="2"/>
      <c r="AC72" s="2"/>
      <c r="AD72" s="2"/>
      <c r="AE72" s="2"/>
      <c r="AF72" s="2"/>
      <c r="AG72" s="2"/>
      <c r="AH72" s="2"/>
    </row>
    <row r="73" spans="1:34">
      <c r="A73" s="1126"/>
      <c r="B73" s="1174"/>
      <c r="C73" s="415"/>
      <c r="D73" s="422"/>
      <c r="E73" s="422"/>
      <c r="F73" s="422"/>
      <c r="G73" s="831"/>
      <c r="H73" s="442"/>
      <c r="I73" s="1178"/>
      <c r="J73" s="1178"/>
      <c r="K73" s="1178"/>
      <c r="L73" s="1178"/>
      <c r="M73" s="1178"/>
      <c r="N73" s="1178"/>
      <c r="O73" s="1178"/>
      <c r="P73" s="1178"/>
      <c r="Q73" s="1178"/>
      <c r="R73" s="1178"/>
      <c r="S73" s="1178"/>
      <c r="T73" s="2"/>
      <c r="U73" s="2"/>
      <c r="V73" s="2"/>
      <c r="W73" s="2"/>
      <c r="X73" s="2"/>
      <c r="Y73" s="2"/>
      <c r="Z73" s="2"/>
      <c r="AA73" s="2"/>
      <c r="AB73" s="2"/>
      <c r="AC73" s="2"/>
      <c r="AD73" s="2"/>
      <c r="AE73" s="2"/>
      <c r="AF73" s="2"/>
      <c r="AG73" s="2"/>
      <c r="AH73" s="2"/>
    </row>
    <row r="74" spans="1:34" ht="15.75" thickBot="1">
      <c r="A74" s="1126"/>
      <c r="B74" s="1174"/>
      <c r="C74" s="415"/>
      <c r="D74" s="422"/>
      <c r="E74" s="422"/>
      <c r="F74" s="422"/>
      <c r="G74" s="831"/>
      <c r="H74" s="442"/>
      <c r="I74" s="1178"/>
      <c r="J74" s="1178"/>
      <c r="K74" s="1178"/>
      <c r="L74" s="1178"/>
      <c r="M74" s="1178"/>
      <c r="N74" s="1178"/>
      <c r="O74" s="1178"/>
      <c r="P74" s="1178"/>
      <c r="Q74" s="1178"/>
      <c r="R74" s="1178"/>
      <c r="S74" s="1178"/>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1105" t="s">
        <v>764</v>
      </c>
      <c r="C76" s="415"/>
      <c r="D76" s="422"/>
      <c r="E76" s="422"/>
      <c r="F76" s="422"/>
      <c r="G76" s="831"/>
      <c r="H76" s="442"/>
      <c r="I76" s="1178"/>
      <c r="J76" s="1178"/>
      <c r="K76" s="1178"/>
      <c r="L76" s="1178"/>
      <c r="M76" s="1178"/>
      <c r="N76" s="1178"/>
      <c r="O76" s="1178"/>
      <c r="P76" s="1178"/>
      <c r="Q76" s="1178"/>
      <c r="R76" s="1178"/>
      <c r="S76" s="1178"/>
    </row>
    <row r="77" spans="1:34">
      <c r="A77" s="1124"/>
      <c r="B77" s="1105" t="s">
        <v>765</v>
      </c>
      <c r="C77" s="415"/>
      <c r="D77" s="422"/>
      <c r="E77" s="422"/>
      <c r="F77" s="422"/>
      <c r="G77" s="831"/>
      <c r="H77" s="442"/>
      <c r="I77" s="1178"/>
      <c r="J77" s="1178"/>
      <c r="K77" s="1178"/>
      <c r="L77" s="1178"/>
      <c r="M77" s="1178"/>
      <c r="N77" s="1178"/>
      <c r="O77" s="1178"/>
      <c r="P77" s="1178"/>
      <c r="Q77" s="1178"/>
      <c r="R77" s="1178"/>
      <c r="S77" s="1178"/>
    </row>
    <row r="78" spans="1:34">
      <c r="A78" s="1124"/>
      <c r="B78" s="1105" t="s">
        <v>766</v>
      </c>
      <c r="C78" s="415"/>
      <c r="D78" s="422"/>
      <c r="E78" s="422"/>
      <c r="F78" s="422"/>
      <c r="G78" s="831"/>
      <c r="H78" s="442"/>
      <c r="I78" s="1178"/>
      <c r="J78" s="1178"/>
      <c r="K78" s="1178"/>
      <c r="L78" s="1178"/>
      <c r="M78" s="1178"/>
      <c r="N78" s="1178"/>
      <c r="O78" s="1178"/>
      <c r="P78" s="1178"/>
      <c r="Q78" s="1178"/>
      <c r="R78" s="1178"/>
      <c r="S78" s="1178"/>
    </row>
    <row r="79" spans="1:34">
      <c r="A79" s="1124"/>
      <c r="B79" s="1105" t="s">
        <v>767</v>
      </c>
      <c r="C79" s="415"/>
      <c r="D79" s="422"/>
      <c r="E79" s="422"/>
      <c r="F79" s="422"/>
      <c r="G79" s="831"/>
      <c r="H79" s="442"/>
      <c r="I79" s="1178"/>
      <c r="J79" s="1178"/>
      <c r="K79" s="1178"/>
      <c r="L79" s="1178"/>
      <c r="M79" s="1178"/>
      <c r="N79" s="1178"/>
      <c r="O79" s="1178"/>
      <c r="P79" s="1178"/>
      <c r="Q79" s="1178"/>
      <c r="R79" s="1178"/>
      <c r="S79" s="1178"/>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1331"/>
      <c r="B82" s="1226" t="s">
        <v>769</v>
      </c>
      <c r="C82" s="1373"/>
      <c r="D82" s="1357"/>
      <c r="E82" s="1357"/>
      <c r="F82" s="1357"/>
      <c r="G82" s="1333"/>
      <c r="H82" s="1344"/>
      <c r="I82" s="1228"/>
      <c r="J82" s="1228"/>
      <c r="K82" s="1228"/>
      <c r="L82" s="1228"/>
      <c r="M82" s="1228"/>
      <c r="N82" s="1228"/>
      <c r="O82" s="1228"/>
      <c r="P82" s="1228"/>
      <c r="Q82" s="1228"/>
      <c r="R82" s="1228"/>
      <c r="S82" s="1228"/>
    </row>
    <row r="83" spans="1:19">
      <c r="A83" s="1124"/>
      <c r="B83" s="1105" t="s">
        <v>770</v>
      </c>
      <c r="C83" s="415"/>
      <c r="D83" s="422"/>
      <c r="E83" s="422"/>
      <c r="F83" s="422"/>
      <c r="G83" s="831"/>
      <c r="H83" s="445"/>
      <c r="I83" s="1182"/>
      <c r="J83" s="1182"/>
      <c r="K83" s="1182"/>
      <c r="L83" s="1182"/>
      <c r="M83" s="1182"/>
      <c r="N83" s="1182"/>
      <c r="O83" s="1182"/>
      <c r="P83" s="1182"/>
      <c r="Q83" s="1182"/>
      <c r="R83" s="1182"/>
      <c r="S83" s="1182"/>
    </row>
    <row r="84" spans="1:19" ht="15.75" thickBot="1">
      <c r="A84" s="1376"/>
      <c r="B84" s="1377" t="s">
        <v>771</v>
      </c>
      <c r="C84" s="1378"/>
      <c r="D84" s="1379"/>
      <c r="E84" s="1379"/>
      <c r="F84" s="1379"/>
      <c r="G84" s="1380"/>
      <c r="H84" s="1381"/>
      <c r="I84" s="1382"/>
      <c r="J84" s="1382"/>
      <c r="K84" s="1382"/>
      <c r="L84" s="1382"/>
      <c r="M84" s="1382"/>
      <c r="N84" s="1382"/>
      <c r="O84" s="1382"/>
      <c r="P84" s="1382"/>
      <c r="Q84" s="1382"/>
      <c r="R84" s="1382"/>
      <c r="S84" s="1382"/>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190"/>
      <c r="F87" s="2"/>
      <c r="G87" s="2"/>
      <c r="H87" s="2"/>
      <c r="I87" s="2"/>
      <c r="J87" s="2"/>
      <c r="K87" s="2"/>
      <c r="L87" s="2"/>
      <c r="M87" s="2"/>
      <c r="N87" s="2"/>
      <c r="O87" s="2"/>
      <c r="P87" s="2"/>
      <c r="Q87" s="2"/>
      <c r="R87" s="2"/>
      <c r="S87" s="2"/>
    </row>
    <row r="88" spans="1:19">
      <c r="A88" s="1142" t="s">
        <v>702</v>
      </c>
      <c r="B88" s="1190"/>
      <c r="F88" s="2"/>
      <c r="G88" s="2"/>
      <c r="H88" s="2"/>
      <c r="I88" s="2"/>
      <c r="J88" s="2"/>
      <c r="K88" s="2"/>
      <c r="L88" s="2"/>
      <c r="M88" s="2"/>
      <c r="N88" s="2"/>
      <c r="O88" s="2"/>
      <c r="P88" s="2"/>
      <c r="Q88" s="2"/>
      <c r="R88" s="2"/>
      <c r="S88" s="2"/>
    </row>
    <row r="89" spans="1:19">
      <c r="A89" s="1191" t="s">
        <v>708</v>
      </c>
      <c r="B89" s="1192"/>
      <c r="F89" s="2"/>
      <c r="G89" s="2"/>
      <c r="H89" s="2"/>
      <c r="I89" s="2"/>
      <c r="J89" s="2"/>
      <c r="K89" s="2"/>
      <c r="L89" s="2"/>
      <c r="M89" s="2"/>
      <c r="N89" s="2"/>
      <c r="O89" s="2"/>
      <c r="P89" s="2"/>
      <c r="Q89" s="2"/>
      <c r="R89" s="2"/>
      <c r="S89" s="2"/>
    </row>
    <row r="90" spans="1:19">
      <c r="A90" s="1191" t="s">
        <v>713</v>
      </c>
      <c r="B90" s="1193"/>
      <c r="F90" s="2"/>
      <c r="G90" s="2"/>
      <c r="H90" s="2"/>
      <c r="I90" s="2"/>
      <c r="J90" s="2"/>
      <c r="K90" s="2"/>
      <c r="L90" s="2"/>
      <c r="M90" s="2"/>
      <c r="N90" s="2"/>
      <c r="O90" s="2"/>
      <c r="P90" s="2"/>
      <c r="Q90" s="2"/>
      <c r="R90" s="2"/>
      <c r="S90" s="2"/>
    </row>
    <row r="91" spans="1:19" ht="15.75" thickBot="1">
      <c r="A91" s="1383" t="s">
        <v>69</v>
      </c>
      <c r="B91" s="1384"/>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5:S5"/>
    <mergeCell ref="H4:I4"/>
    <mergeCell ref="J4:K4"/>
    <mergeCell ref="L4:M4"/>
    <mergeCell ref="N4:O4"/>
    <mergeCell ref="P4:Q4"/>
    <mergeCell ref="R4:S4"/>
    <mergeCell ref="H5:I5"/>
    <mergeCell ref="J5:K5"/>
    <mergeCell ref="L5:M5"/>
    <mergeCell ref="N5:O5"/>
    <mergeCell ref="P5:Q5"/>
    <mergeCell ref="R7:S7"/>
    <mergeCell ref="H6:I6"/>
    <mergeCell ref="J6:K6"/>
    <mergeCell ref="L6:M6"/>
    <mergeCell ref="N6:O6"/>
    <mergeCell ref="P6:Q6"/>
    <mergeCell ref="R6:S6"/>
    <mergeCell ref="H7:I7"/>
    <mergeCell ref="J7:K7"/>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s>
  <conditionalFormatting sqref="H11:H18 J11:J18 L11:L18 N11:N18 P11:P18 R11:R18">
    <cfRule type="cellIs" dxfId="553" priority="13" operator="equal">
      <formula>"X"</formula>
    </cfRule>
    <cfRule type="cellIs" dxfId="552" priority="14" operator="equal">
      <formula>"I"</formula>
    </cfRule>
  </conditionalFormatting>
  <conditionalFormatting sqref="H20:H50">
    <cfRule type="cellIs" dxfId="551" priority="1" operator="equal">
      <formula>"X"</formula>
    </cfRule>
    <cfRule type="cellIs" dxfId="550" priority="2" operator="equal">
      <formula>"I"</formula>
    </cfRule>
  </conditionalFormatting>
  <conditionalFormatting sqref="J20:J50">
    <cfRule type="cellIs" dxfId="549" priority="3" operator="equal">
      <formula>"X"</formula>
    </cfRule>
    <cfRule type="cellIs" dxfId="548" priority="4" operator="equal">
      <formula>"I"</formula>
    </cfRule>
  </conditionalFormatting>
  <conditionalFormatting sqref="L20:L50">
    <cfRule type="cellIs" dxfId="547" priority="5" operator="equal">
      <formula>"X"</formula>
    </cfRule>
    <cfRule type="cellIs" dxfId="546" priority="6" operator="equal">
      <formula>"I"</formula>
    </cfRule>
  </conditionalFormatting>
  <conditionalFormatting sqref="N20:N50">
    <cfRule type="cellIs" dxfId="545" priority="7" operator="equal">
      <formula>"X"</formula>
    </cfRule>
    <cfRule type="cellIs" dxfId="544" priority="8" operator="equal">
      <formula>"I"</formula>
    </cfRule>
  </conditionalFormatting>
  <conditionalFormatting sqref="P20:P50">
    <cfRule type="cellIs" dxfId="543" priority="9" operator="equal">
      <formula>"X"</formula>
    </cfRule>
    <cfRule type="cellIs" dxfId="542" priority="10" operator="equal">
      <formula>"I"</formula>
    </cfRule>
  </conditionalFormatting>
  <conditionalFormatting sqref="R20:R50">
    <cfRule type="cellIs" dxfId="541" priority="11" operator="equal">
      <formula>"X"</formula>
    </cfRule>
    <cfRule type="cellIs" dxfId="540" priority="12" operator="equal">
      <formula>"I"</formula>
    </cfRule>
  </conditionalFormatting>
  <hyperlinks>
    <hyperlink ref="B4" location="'Cost Summary'!A1" display="BACK TO SUMMARY SHEET" xr:uid="{D77A0BA9-822F-446D-85CA-CA8C7BBE98C4}"/>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C7E3-BEC4-4C8D-8E0D-0DCC00A7DBE3}">
  <sheetPr>
    <tabColor rgb="FFFFC000"/>
  </sheetPr>
  <dimension ref="A1:AO97"/>
  <sheetViews>
    <sheetView zoomScale="90" zoomScaleNormal="90" workbookViewId="0">
      <pane xSplit="2" ySplit="10" topLeftCell="C19" activePane="bottomRight" state="frozen"/>
      <selection pane="topRight" activeCell="C1" sqref="C1"/>
      <selection pane="bottomLeft" activeCell="A20" sqref="A20"/>
      <selection pane="bottomRight" activeCell="B41" sqref="B41"/>
    </sheetView>
  </sheetViews>
  <sheetFormatPr defaultRowHeight="15"/>
  <cols>
    <col min="1" max="1" width="11" customWidth="1"/>
    <col min="2" max="2" width="70.7109375" style="1" customWidth="1"/>
    <col min="3" max="4" width="12.7109375" style="2" customWidth="1"/>
    <col min="5" max="5" width="7.7109375" style="2" customWidth="1"/>
    <col min="6" max="6" width="18" style="281" bestFit="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23" t="s">
        <v>688</v>
      </c>
      <c r="M4" s="2324"/>
      <c r="N4" s="2319" t="s">
        <v>689</v>
      </c>
      <c r="O4" s="2320"/>
      <c r="P4" s="2319" t="s">
        <v>690</v>
      </c>
      <c r="Q4" s="2320"/>
      <c r="R4" s="2319" t="s">
        <v>691</v>
      </c>
      <c r="S4" s="2320"/>
      <c r="X4" s="261"/>
    </row>
    <row r="5" spans="1:24" ht="15.75" thickTop="1">
      <c r="A5" s="292" t="s">
        <v>692</v>
      </c>
      <c r="B5" s="299" t="str">
        <f>'Area Calculations'!B4</f>
        <v>ERAU Residential Hall &amp; Garage Building</v>
      </c>
      <c r="C5" s="294"/>
      <c r="D5" s="263"/>
      <c r="E5" s="264"/>
      <c r="F5" s="279"/>
      <c r="G5" s="271" t="s">
        <v>693</v>
      </c>
      <c r="H5" s="2313" t="s">
        <v>1127</v>
      </c>
      <c r="I5" s="2314"/>
      <c r="J5" s="2313" t="s">
        <v>1128</v>
      </c>
      <c r="K5" s="2314"/>
      <c r="L5" s="2313" t="s">
        <v>1129</v>
      </c>
      <c r="M5" s="2314"/>
      <c r="N5" s="2333"/>
      <c r="O5" s="2334"/>
      <c r="P5" s="2313"/>
      <c r="Q5" s="2314"/>
      <c r="R5" s="2313" t="s">
        <v>1130</v>
      </c>
      <c r="S5" s="2314"/>
      <c r="X5" s="261"/>
    </row>
    <row r="6" spans="1:24">
      <c r="A6" s="1082" t="s">
        <v>700</v>
      </c>
      <c r="B6" s="1196" t="s">
        <v>303</v>
      </c>
      <c r="C6" s="415"/>
      <c r="D6" s="416"/>
      <c r="E6" s="417"/>
      <c r="F6" s="418"/>
      <c r="G6" s="419" t="s">
        <v>702</v>
      </c>
      <c r="H6" s="2313" t="s">
        <v>1131</v>
      </c>
      <c r="I6" s="2314"/>
      <c r="J6" s="2313" t="s">
        <v>1132</v>
      </c>
      <c r="K6" s="2314"/>
      <c r="L6" s="2313" t="s">
        <v>1133</v>
      </c>
      <c r="M6" s="2314"/>
      <c r="N6" s="2313"/>
      <c r="O6" s="2314"/>
      <c r="P6" s="2313"/>
      <c r="Q6" s="2314"/>
      <c r="R6" s="2313"/>
      <c r="S6" s="2314"/>
      <c r="X6" s="261"/>
    </row>
    <row r="7" spans="1:24">
      <c r="A7" s="1082" t="s">
        <v>706</v>
      </c>
      <c r="B7" s="1197" t="s">
        <v>1134</v>
      </c>
      <c r="C7" s="415"/>
      <c r="D7" s="416"/>
      <c r="E7" s="417"/>
      <c r="F7" s="418"/>
      <c r="G7" s="829" t="s">
        <v>708</v>
      </c>
      <c r="H7" s="2313" t="s">
        <v>1135</v>
      </c>
      <c r="I7" s="2314"/>
      <c r="J7" s="2313" t="s">
        <v>1136</v>
      </c>
      <c r="K7" s="2314"/>
      <c r="L7" s="2313" t="s">
        <v>1137</v>
      </c>
      <c r="M7" s="2314"/>
      <c r="N7" s="2313"/>
      <c r="O7" s="2314"/>
      <c r="P7" s="2313"/>
      <c r="Q7" s="2314"/>
      <c r="R7" s="2313"/>
      <c r="S7" s="2314"/>
      <c r="X7" s="261"/>
    </row>
    <row r="8" spans="1:24">
      <c r="A8" s="1082" t="s">
        <v>712</v>
      </c>
      <c r="B8" s="1198"/>
      <c r="C8" s="415"/>
      <c r="D8" s="416"/>
      <c r="E8" s="417"/>
      <c r="F8" s="418"/>
      <c r="G8" s="829" t="s">
        <v>713</v>
      </c>
      <c r="H8" s="2327" t="s">
        <v>1138</v>
      </c>
      <c r="I8" s="2346"/>
      <c r="J8" s="2327" t="s">
        <v>1139</v>
      </c>
      <c r="K8" s="2346"/>
      <c r="L8" s="2327" t="s">
        <v>1140</v>
      </c>
      <c r="M8" s="2346"/>
      <c r="N8" s="2343"/>
      <c r="O8" s="2344"/>
      <c r="P8" s="2327"/>
      <c r="Q8" s="2346"/>
      <c r="R8" s="2327"/>
      <c r="S8" s="2346"/>
      <c r="X8" s="261"/>
    </row>
    <row r="9" spans="1:24" ht="15.75" thickBot="1">
      <c r="A9" s="420"/>
      <c r="B9" s="421"/>
      <c r="C9" s="23"/>
      <c r="D9" s="265"/>
      <c r="E9" s="266"/>
      <c r="F9" s="283"/>
      <c r="G9" s="284" t="s">
        <v>717</v>
      </c>
      <c r="H9" s="2317">
        <f>I60</f>
        <v>305860</v>
      </c>
      <c r="I9" s="2318"/>
      <c r="J9" s="2317">
        <f>K60</f>
        <v>311418.3</v>
      </c>
      <c r="K9" s="2318"/>
      <c r="L9" s="2317">
        <f>M60</f>
        <v>331487.47140000004</v>
      </c>
      <c r="M9" s="2318"/>
      <c r="N9" s="2330"/>
      <c r="O9" s="2330"/>
      <c r="P9" s="2317">
        <f>Q60</f>
        <v>0</v>
      </c>
      <c r="Q9" s="2318"/>
      <c r="R9" s="2317">
        <f>S60</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c r="O10" s="290"/>
      <c r="P10" s="290" t="s">
        <v>723</v>
      </c>
      <c r="Q10" s="290" t="s">
        <v>724</v>
      </c>
      <c r="R10" s="290" t="s">
        <v>723</v>
      </c>
      <c r="S10" s="291" t="s">
        <v>724</v>
      </c>
      <c r="X10" s="268"/>
    </row>
    <row r="11" spans="1:24" ht="15.75">
      <c r="A11" s="1354"/>
      <c r="B11" s="1283" t="s">
        <v>725</v>
      </c>
      <c r="C11" s="1261"/>
      <c r="D11" s="1357"/>
      <c r="E11" s="1357"/>
      <c r="F11" s="1358"/>
      <c r="G11" s="1359"/>
      <c r="H11" s="1286"/>
      <c r="I11" s="1361"/>
      <c r="J11" s="1286"/>
      <c r="K11" s="285"/>
      <c r="L11" s="1286"/>
      <c r="M11" s="1362"/>
      <c r="N11" s="1286"/>
      <c r="O11" s="1362"/>
      <c r="P11" s="1286"/>
      <c r="Q11" s="1362"/>
      <c r="R11" s="1286"/>
      <c r="S11" s="1362"/>
    </row>
    <row r="12" spans="1:24">
      <c r="A12" s="1354"/>
      <c r="B12" s="1263" t="s">
        <v>726</v>
      </c>
      <c r="C12" s="446"/>
      <c r="D12" s="422"/>
      <c r="E12" s="422"/>
      <c r="F12" s="418"/>
      <c r="G12" s="423"/>
      <c r="H12" s="1264" t="s">
        <v>727</v>
      </c>
      <c r="I12" s="1361"/>
      <c r="J12" s="1264" t="s">
        <v>727</v>
      </c>
      <c r="K12" s="1362"/>
      <c r="L12" s="1264" t="s">
        <v>727</v>
      </c>
      <c r="M12" s="1362"/>
      <c r="N12" s="1264"/>
      <c r="O12" s="1362"/>
      <c r="P12" s="1264"/>
      <c r="Q12" s="1362"/>
      <c r="R12" s="1264"/>
      <c r="S12" s="1362"/>
    </row>
    <row r="13" spans="1:24">
      <c r="A13" s="1097"/>
      <c r="B13" s="1263" t="s">
        <v>728</v>
      </c>
      <c r="C13" s="446"/>
      <c r="D13" s="422"/>
      <c r="E13" s="422"/>
      <c r="F13" s="418"/>
      <c r="G13" s="423"/>
      <c r="H13" s="1264" t="s">
        <v>727</v>
      </c>
      <c r="I13" s="1361"/>
      <c r="J13" s="1264" t="s">
        <v>727</v>
      </c>
      <c r="K13" s="1362"/>
      <c r="L13" s="1264" t="s">
        <v>727</v>
      </c>
      <c r="M13" s="1362"/>
      <c r="N13" s="1264"/>
      <c r="O13" s="1362"/>
      <c r="P13" s="1264"/>
      <c r="Q13" s="1362"/>
      <c r="R13" s="1264"/>
      <c r="S13" s="1362"/>
    </row>
    <row r="14" spans="1:24">
      <c r="A14" s="1354"/>
      <c r="B14" s="1265" t="s">
        <v>729</v>
      </c>
      <c r="C14" s="446"/>
      <c r="D14" s="422"/>
      <c r="E14" s="422"/>
      <c r="F14" s="418"/>
      <c r="G14" s="423"/>
      <c r="H14" s="1264" t="s">
        <v>730</v>
      </c>
      <c r="I14" s="1361"/>
      <c r="J14" s="1264" t="s">
        <v>730</v>
      </c>
      <c r="K14" s="1362"/>
      <c r="L14" s="1264" t="s">
        <v>730</v>
      </c>
      <c r="M14" s="1385" t="s">
        <v>837</v>
      </c>
      <c r="N14" s="1264"/>
      <c r="O14" s="1362"/>
      <c r="P14" s="1264"/>
      <c r="Q14" s="1362"/>
      <c r="R14" s="1264"/>
      <c r="S14" s="1362"/>
    </row>
    <row r="15" spans="1:24">
      <c r="A15" s="1097"/>
      <c r="B15" s="1265" t="s">
        <v>731</v>
      </c>
      <c r="C15" s="446"/>
      <c r="D15" s="422"/>
      <c r="E15" s="422"/>
      <c r="F15" s="418"/>
      <c r="G15" s="423"/>
      <c r="H15" s="1264" t="s">
        <v>727</v>
      </c>
      <c r="I15" s="1361"/>
      <c r="J15" s="1264" t="s">
        <v>727</v>
      </c>
      <c r="K15" s="1361"/>
      <c r="L15" s="1264" t="s">
        <v>727</v>
      </c>
      <c r="M15" s="1361"/>
      <c r="N15" s="1264"/>
      <c r="O15" s="1361"/>
      <c r="P15" s="1264"/>
      <c r="Q15" s="1361"/>
      <c r="R15" s="1264"/>
      <c r="S15" s="1361"/>
    </row>
    <row r="16" spans="1:24">
      <c r="A16" s="1354"/>
      <c r="B16" s="1265" t="s">
        <v>732</v>
      </c>
      <c r="C16" s="446"/>
      <c r="D16" s="422"/>
      <c r="E16" s="422"/>
      <c r="F16" s="418"/>
      <c r="G16" s="423"/>
      <c r="H16" s="1264" t="s">
        <v>727</v>
      </c>
      <c r="I16" s="1361"/>
      <c r="J16" s="1264" t="s">
        <v>727</v>
      </c>
      <c r="K16" s="1362"/>
      <c r="L16" s="1264" t="s">
        <v>727</v>
      </c>
      <c r="M16" s="1362"/>
      <c r="N16" s="1264"/>
      <c r="O16" s="1362"/>
      <c r="P16" s="1264"/>
      <c r="Q16" s="1362"/>
      <c r="R16" s="1264"/>
      <c r="S16" s="1362"/>
    </row>
    <row r="17" spans="1:41">
      <c r="A17" s="1097"/>
      <c r="B17" s="1265" t="s">
        <v>733</v>
      </c>
      <c r="C17" s="446"/>
      <c r="D17" s="422"/>
      <c r="E17" s="422"/>
      <c r="F17" s="418"/>
      <c r="G17" s="423"/>
      <c r="H17" s="1264" t="s">
        <v>727</v>
      </c>
      <c r="I17" s="1361"/>
      <c r="J17" s="1264" t="s">
        <v>727</v>
      </c>
      <c r="K17" s="1362"/>
      <c r="L17" s="1264" t="s">
        <v>727</v>
      </c>
      <c r="M17" s="1362"/>
      <c r="N17" s="1264"/>
      <c r="O17" s="1362"/>
      <c r="P17" s="1264"/>
      <c r="Q17" s="1362"/>
      <c r="R17" s="1264"/>
      <c r="S17" s="1362"/>
    </row>
    <row r="18" spans="1:41">
      <c r="A18" s="1354"/>
      <c r="B18" s="534" t="s">
        <v>734</v>
      </c>
      <c r="C18" s="446"/>
      <c r="D18" s="422"/>
      <c r="E18" s="422"/>
      <c r="F18" s="418"/>
      <c r="G18" s="423"/>
      <c r="H18" s="1264" t="s">
        <v>730</v>
      </c>
      <c r="I18" s="1361" t="s">
        <v>917</v>
      </c>
      <c r="J18" s="1264" t="s">
        <v>730</v>
      </c>
      <c r="K18" s="1362"/>
      <c r="L18" s="1264" t="s">
        <v>730</v>
      </c>
      <c r="M18" s="1362"/>
      <c r="N18" s="1264"/>
      <c r="O18" s="1362"/>
      <c r="P18" s="1264"/>
      <c r="Q18" s="1362"/>
      <c r="R18" s="1264"/>
      <c r="S18" s="1362"/>
    </row>
    <row r="19" spans="1:41">
      <c r="A19" s="1354"/>
      <c r="B19" s="1154" t="s">
        <v>736</v>
      </c>
      <c r="C19" s="446"/>
      <c r="D19" s="422"/>
      <c r="E19" s="422"/>
      <c r="F19" s="418"/>
      <c r="G19" s="423"/>
      <c r="H19" s="1264"/>
      <c r="I19" s="1361"/>
      <c r="J19" s="1264"/>
      <c r="K19" s="1362"/>
      <c r="L19" s="1264"/>
      <c r="M19" s="1362"/>
      <c r="N19" s="1264"/>
      <c r="O19" s="1362"/>
      <c r="P19" s="1264"/>
      <c r="Q19" s="1362"/>
      <c r="R19" s="1264"/>
      <c r="S19" s="1362"/>
    </row>
    <row r="20" spans="1:41">
      <c r="A20" s="1097"/>
      <c r="B20" s="1366" t="s">
        <v>737</v>
      </c>
      <c r="C20" s="447"/>
      <c r="D20" s="425"/>
      <c r="E20" s="425"/>
      <c r="F20" s="426"/>
      <c r="G20" s="427"/>
      <c r="H20" s="1156"/>
      <c r="I20" s="1367"/>
      <c r="J20" s="1156"/>
      <c r="K20" s="1368"/>
      <c r="L20" s="1156"/>
      <c r="M20" s="1368"/>
      <c r="N20" s="1156"/>
      <c r="O20" s="1368"/>
      <c r="P20" s="1156"/>
      <c r="Q20" s="1368"/>
      <c r="R20" s="1156"/>
      <c r="S20" s="1368"/>
    </row>
    <row r="21" spans="1:41">
      <c r="A21" s="1354"/>
      <c r="B21" s="1369"/>
      <c r="C21" s="70"/>
      <c r="D21" s="86"/>
      <c r="E21" s="86"/>
      <c r="F21" s="280"/>
      <c r="G21" s="274"/>
      <c r="H21" s="1264"/>
      <c r="I21" s="428"/>
      <c r="J21" s="1264"/>
      <c r="K21" s="428"/>
      <c r="L21" s="1264"/>
      <c r="M21" s="428"/>
      <c r="N21" s="1264"/>
      <c r="O21" s="428"/>
      <c r="P21" s="1264"/>
      <c r="Q21" s="428"/>
      <c r="R21" s="1264"/>
      <c r="S21" s="428"/>
    </row>
    <row r="22" spans="1:41" s="69" customFormat="1">
      <c r="A22" s="1097"/>
      <c r="B22" s="1386" t="s">
        <v>1141</v>
      </c>
      <c r="C22" s="415"/>
      <c r="D22" s="422"/>
      <c r="E22" s="422"/>
      <c r="F22" s="429"/>
      <c r="G22" s="423"/>
      <c r="H22" s="1273" t="s">
        <v>1035</v>
      </c>
      <c r="I22" s="1107"/>
      <c r="J22" s="1273" t="s">
        <v>1035</v>
      </c>
      <c r="K22" s="1106"/>
      <c r="L22" s="1264" t="s">
        <v>727</v>
      </c>
      <c r="M22" s="1106"/>
      <c r="N22" s="1387"/>
      <c r="O22" s="1388"/>
      <c r="P22" s="1264"/>
      <c r="Q22" s="1107"/>
      <c r="R22" s="1264"/>
      <c r="S22" s="1106"/>
      <c r="T22"/>
      <c r="U22"/>
      <c r="V22"/>
      <c r="W22"/>
      <c r="X22"/>
      <c r="Y22"/>
      <c r="Z22"/>
      <c r="AA22"/>
      <c r="AB22"/>
      <c r="AC22"/>
      <c r="AD22"/>
      <c r="AE22"/>
      <c r="AF22"/>
      <c r="AG22"/>
      <c r="AH22"/>
      <c r="AI22"/>
      <c r="AJ22"/>
      <c r="AK22"/>
      <c r="AL22"/>
      <c r="AM22"/>
      <c r="AN22"/>
      <c r="AO22"/>
    </row>
    <row r="23" spans="1:41">
      <c r="A23" s="1097"/>
      <c r="B23" s="1317" t="s">
        <v>1142</v>
      </c>
      <c r="C23" s="465" t="s">
        <v>1143</v>
      </c>
      <c r="D23" s="422"/>
      <c r="E23" s="422"/>
      <c r="F23" s="429"/>
      <c r="G23" s="1359"/>
      <c r="H23" s="1273" t="s">
        <v>1035</v>
      </c>
      <c r="I23" s="1389"/>
      <c r="J23" s="1273" t="s">
        <v>1035</v>
      </c>
      <c r="K23" s="1362"/>
      <c r="L23" s="1264" t="s">
        <v>727</v>
      </c>
      <c r="M23" s="1362"/>
      <c r="N23" s="1387"/>
      <c r="O23" s="1390"/>
      <c r="P23" s="1264"/>
      <c r="Q23" s="1389"/>
      <c r="R23" s="1264"/>
      <c r="S23" s="1362"/>
    </row>
    <row r="24" spans="1:41">
      <c r="A24" s="1097"/>
      <c r="B24" s="1391" t="s">
        <v>1144</v>
      </c>
      <c r="C24" s="465" t="s">
        <v>1145</v>
      </c>
      <c r="D24" s="422"/>
      <c r="E24" s="422"/>
      <c r="F24" s="429"/>
      <c r="G24" s="1359"/>
      <c r="H24" s="1273" t="s">
        <v>1035</v>
      </c>
      <c r="I24" s="1389"/>
      <c r="J24" s="1273" t="s">
        <v>1035</v>
      </c>
      <c r="K24" s="1362"/>
      <c r="L24" s="1264" t="s">
        <v>727</v>
      </c>
      <c r="M24" s="1362"/>
      <c r="N24" s="1387"/>
      <c r="O24" s="1390"/>
      <c r="P24" s="1264"/>
      <c r="Q24" s="1389"/>
      <c r="R24" s="1264"/>
      <c r="S24" s="1362"/>
    </row>
    <row r="25" spans="1:41">
      <c r="A25" s="1097"/>
      <c r="B25" s="1391" t="s">
        <v>1146</v>
      </c>
      <c r="C25" s="465" t="s">
        <v>1147</v>
      </c>
      <c r="D25" s="422"/>
      <c r="E25" s="422"/>
      <c r="F25" s="429"/>
      <c r="G25" s="1359"/>
      <c r="H25" s="1273" t="s">
        <v>1035</v>
      </c>
      <c r="I25" s="1392">
        <f>$M$25</f>
        <v>32160</v>
      </c>
      <c r="J25" s="1273" t="s">
        <v>1035</v>
      </c>
      <c r="K25" s="1371">
        <f>M25</f>
        <v>32160</v>
      </c>
      <c r="L25" s="1264" t="s">
        <v>727</v>
      </c>
      <c r="M25" s="1362">
        <v>32160</v>
      </c>
      <c r="N25" s="1387"/>
      <c r="O25" s="1390"/>
      <c r="P25" s="1264"/>
      <c r="Q25" s="1389"/>
      <c r="R25" s="1264"/>
      <c r="S25" s="1362"/>
    </row>
    <row r="26" spans="1:41">
      <c r="A26" s="1097"/>
      <c r="B26" s="1391" t="s">
        <v>1148</v>
      </c>
      <c r="C26" s="465" t="s">
        <v>1149</v>
      </c>
      <c r="D26" s="422"/>
      <c r="E26" s="422"/>
      <c r="F26" s="429"/>
      <c r="G26" s="1359"/>
      <c r="H26" s="1273" t="s">
        <v>1035</v>
      </c>
      <c r="I26" s="1389"/>
      <c r="J26" s="1273" t="s">
        <v>1035</v>
      </c>
      <c r="K26" s="1362"/>
      <c r="L26" s="1264" t="s">
        <v>727</v>
      </c>
      <c r="M26" s="1362"/>
      <c r="N26" s="1387"/>
      <c r="O26" s="1390"/>
      <c r="P26" s="1264"/>
      <c r="Q26" s="1389"/>
      <c r="R26" s="1264"/>
      <c r="S26" s="1362"/>
    </row>
    <row r="27" spans="1:41">
      <c r="A27" s="1097"/>
      <c r="B27" s="1391" t="s">
        <v>1150</v>
      </c>
      <c r="C27" s="465" t="s">
        <v>1151</v>
      </c>
      <c r="D27" s="422"/>
      <c r="E27" s="422"/>
      <c r="F27" s="429"/>
      <c r="G27" s="1359"/>
      <c r="H27" s="1273" t="s">
        <v>1035</v>
      </c>
      <c r="I27" s="1389"/>
      <c r="J27" s="1273" t="s">
        <v>1035</v>
      </c>
      <c r="K27" s="1362"/>
      <c r="L27" s="1264" t="s">
        <v>727</v>
      </c>
      <c r="M27" s="1362"/>
      <c r="N27" s="1387"/>
      <c r="O27" s="1390"/>
      <c r="P27" s="1264"/>
      <c r="Q27" s="1389"/>
      <c r="R27" s="1264"/>
      <c r="S27" s="1362"/>
    </row>
    <row r="28" spans="1:41" ht="15.75" customHeight="1">
      <c r="A28" s="1097"/>
      <c r="B28" s="1393" t="s">
        <v>1152</v>
      </c>
      <c r="C28" s="533" t="s">
        <v>1153</v>
      </c>
      <c r="D28" s="422"/>
      <c r="E28" s="422"/>
      <c r="F28" s="429"/>
      <c r="G28" s="1359"/>
      <c r="H28" s="1273" t="s">
        <v>1035</v>
      </c>
      <c r="I28" s="1392">
        <f>$M$28</f>
        <v>24640</v>
      </c>
      <c r="J28" s="1273" t="s">
        <v>1035</v>
      </c>
      <c r="K28" s="1392">
        <f>M28</f>
        <v>24640</v>
      </c>
      <c r="L28" s="1264" t="s">
        <v>727</v>
      </c>
      <c r="M28" s="1362">
        <v>24640</v>
      </c>
      <c r="N28" s="1387"/>
      <c r="O28" s="1390"/>
      <c r="P28" s="1264"/>
      <c r="Q28" s="1389"/>
      <c r="R28" s="1264"/>
      <c r="S28" s="1362"/>
    </row>
    <row r="29" spans="1:41">
      <c r="A29" s="1097"/>
      <c r="B29" s="1318" t="s">
        <v>1154</v>
      </c>
      <c r="C29" s="457"/>
      <c r="D29" s="422"/>
      <c r="E29" s="422"/>
      <c r="F29" s="429"/>
      <c r="G29" s="1359"/>
      <c r="H29" s="1273" t="s">
        <v>1035</v>
      </c>
      <c r="I29" s="1389"/>
      <c r="J29" s="1273" t="s">
        <v>1035</v>
      </c>
      <c r="K29" s="1362"/>
      <c r="L29" s="1264" t="s">
        <v>727</v>
      </c>
      <c r="M29" s="1362"/>
      <c r="N29" s="1387"/>
      <c r="O29" s="1390"/>
      <c r="P29" s="1264"/>
      <c r="Q29" s="1389"/>
      <c r="R29" s="1264"/>
      <c r="S29" s="1362"/>
    </row>
    <row r="30" spans="1:41">
      <c r="A30" s="1097"/>
      <c r="B30" s="1318" t="s">
        <v>1155</v>
      </c>
      <c r="C30" s="457"/>
      <c r="D30" s="422"/>
      <c r="E30" s="422"/>
      <c r="F30" s="429"/>
      <c r="G30" s="1359"/>
      <c r="H30" s="1273" t="s">
        <v>1035</v>
      </c>
      <c r="I30" s="1389"/>
      <c r="J30" s="1273" t="s">
        <v>1035</v>
      </c>
      <c r="K30" s="1362"/>
      <c r="L30" s="1264" t="s">
        <v>727</v>
      </c>
      <c r="M30" s="1362"/>
      <c r="N30" s="1387"/>
      <c r="O30" s="1390"/>
      <c r="P30" s="1264"/>
      <c r="Q30" s="1389"/>
      <c r="R30" s="1264"/>
      <c r="S30" s="1362"/>
    </row>
    <row r="31" spans="1:41">
      <c r="A31" s="1097"/>
      <c r="B31" s="1318" t="s">
        <v>1156</v>
      </c>
      <c r="C31" s="457"/>
      <c r="D31" s="422"/>
      <c r="E31" s="422"/>
      <c r="F31" s="429"/>
      <c r="G31" s="1359"/>
      <c r="H31" s="1273" t="s">
        <v>1035</v>
      </c>
      <c r="I31" s="1389"/>
      <c r="J31" s="1273" t="s">
        <v>1035</v>
      </c>
      <c r="K31" s="1362"/>
      <c r="L31" s="1264" t="s">
        <v>727</v>
      </c>
      <c r="M31" s="1362"/>
      <c r="N31" s="1387"/>
      <c r="O31" s="1390"/>
      <c r="P31" s="1264"/>
      <c r="Q31" s="1389"/>
      <c r="R31" s="1264"/>
      <c r="S31" s="1362"/>
    </row>
    <row r="32" spans="1:41">
      <c r="A32" s="1097"/>
      <c r="B32" s="1318" t="s">
        <v>1157</v>
      </c>
      <c r="C32" s="457"/>
      <c r="D32" s="422"/>
      <c r="E32" s="422"/>
      <c r="F32" s="429"/>
      <c r="G32" s="1359"/>
      <c r="H32" s="1273" t="s">
        <v>1035</v>
      </c>
      <c r="I32" s="1389"/>
      <c r="J32" s="1273" t="s">
        <v>1035</v>
      </c>
      <c r="K32" s="1362"/>
      <c r="L32" s="1264" t="s">
        <v>727</v>
      </c>
      <c r="M32" s="1362"/>
      <c r="N32" s="1387"/>
      <c r="O32" s="1390"/>
      <c r="P32" s="1264"/>
      <c r="Q32" s="1389"/>
      <c r="R32" s="1264"/>
      <c r="S32" s="1362"/>
    </row>
    <row r="33" spans="1:19">
      <c r="A33" s="1097"/>
      <c r="B33" s="1317" t="s">
        <v>1158</v>
      </c>
      <c r="C33" s="457" t="s">
        <v>1159</v>
      </c>
      <c r="D33" s="422"/>
      <c r="E33" s="422"/>
      <c r="F33" s="429"/>
      <c r="G33" s="1359"/>
      <c r="H33" s="1273" t="s">
        <v>1035</v>
      </c>
      <c r="I33" s="1389"/>
      <c r="J33" s="1273" t="s">
        <v>1035</v>
      </c>
      <c r="K33" s="1362"/>
      <c r="L33" s="1264" t="s">
        <v>727</v>
      </c>
      <c r="M33" s="1362"/>
      <c r="N33" s="1387"/>
      <c r="O33" s="1390"/>
      <c r="P33" s="1264"/>
      <c r="Q33" s="1389"/>
      <c r="R33" s="1264"/>
      <c r="S33" s="1362"/>
    </row>
    <row r="34" spans="1:19">
      <c r="A34" s="1097"/>
      <c r="B34" s="1314" t="s">
        <v>1160</v>
      </c>
      <c r="C34" s="415"/>
      <c r="D34" s="422"/>
      <c r="E34" s="422"/>
      <c r="F34" s="429"/>
      <c r="G34" s="1359"/>
      <c r="H34" s="1273" t="s">
        <v>1035</v>
      </c>
      <c r="I34" s="1389"/>
      <c r="J34" s="1273" t="s">
        <v>1035</v>
      </c>
      <c r="K34" s="1362"/>
      <c r="L34" s="1264" t="s">
        <v>727</v>
      </c>
      <c r="M34" s="1362"/>
      <c r="N34" s="1387"/>
      <c r="O34" s="1390"/>
      <c r="P34" s="1264"/>
      <c r="Q34" s="1389"/>
      <c r="R34" s="1264"/>
      <c r="S34" s="1362"/>
    </row>
    <row r="35" spans="1:19">
      <c r="A35" s="1097"/>
      <c r="B35" s="1314" t="s">
        <v>1161</v>
      </c>
      <c r="C35" s="415"/>
      <c r="D35" s="422"/>
      <c r="E35" s="422"/>
      <c r="F35" s="429"/>
      <c r="G35" s="1359"/>
      <c r="H35" s="1273" t="s">
        <v>1035</v>
      </c>
      <c r="I35" s="1392">
        <f>$K$35</f>
        <v>122860</v>
      </c>
      <c r="J35" s="1273" t="s">
        <v>1035</v>
      </c>
      <c r="K35" s="1392">
        <f>M35</f>
        <v>122860</v>
      </c>
      <c r="L35" s="1264" t="s">
        <v>727</v>
      </c>
      <c r="M35" s="1362">
        <f>74220+48640</f>
        <v>122860</v>
      </c>
      <c r="N35" s="1387"/>
      <c r="O35" s="1390"/>
      <c r="P35" s="1264"/>
      <c r="Q35" s="1389"/>
      <c r="R35" s="1264"/>
      <c r="S35" s="1362"/>
    </row>
    <row r="36" spans="1:19">
      <c r="A36" s="1097"/>
      <c r="B36" s="1314" t="s">
        <v>1162</v>
      </c>
      <c r="C36" s="415"/>
      <c r="D36" s="422"/>
      <c r="E36" s="422"/>
      <c r="F36" s="429"/>
      <c r="G36" s="1359"/>
      <c r="H36" s="1273" t="s">
        <v>1035</v>
      </c>
      <c r="I36" s="1389"/>
      <c r="J36" s="1273" t="s">
        <v>1035</v>
      </c>
      <c r="K36" s="1362"/>
      <c r="L36" s="1264" t="s">
        <v>727</v>
      </c>
      <c r="M36" s="1362"/>
      <c r="N36" s="1387"/>
      <c r="O36" s="1390"/>
      <c r="P36" s="1264"/>
      <c r="Q36" s="1389"/>
      <c r="R36" s="1264"/>
      <c r="S36" s="1362"/>
    </row>
    <row r="37" spans="1:19">
      <c r="A37" s="1097"/>
      <c r="B37" s="1393" t="s">
        <v>1163</v>
      </c>
      <c r="C37" s="465" t="s">
        <v>1164</v>
      </c>
      <c r="D37" s="430"/>
      <c r="E37" s="422"/>
      <c r="F37" s="431"/>
      <c r="G37" s="1321"/>
      <c r="H37" s="1264" t="s">
        <v>727</v>
      </c>
      <c r="I37" s="1362">
        <f>19400+300</f>
        <v>19700</v>
      </c>
      <c r="J37" s="1264" t="s">
        <v>727</v>
      </c>
      <c r="K37" s="1362">
        <v>31758.3</v>
      </c>
      <c r="L37" s="1264" t="s">
        <v>727</v>
      </c>
      <c r="M37" s="1362">
        <f>28395.04+21783.24</f>
        <v>50178.28</v>
      </c>
      <c r="N37" s="1387"/>
      <c r="O37" s="1394"/>
      <c r="P37" s="1264"/>
      <c r="Q37" s="1362"/>
      <c r="R37" s="1264"/>
      <c r="S37" s="1362"/>
    </row>
    <row r="38" spans="1:19">
      <c r="A38" s="1354"/>
      <c r="B38" s="1318" t="s">
        <v>1165</v>
      </c>
      <c r="C38" s="465" t="s">
        <v>1166</v>
      </c>
      <c r="D38" s="430"/>
      <c r="E38" s="422"/>
      <c r="F38" s="431"/>
      <c r="G38" s="1321"/>
      <c r="H38" s="1264" t="s">
        <v>727</v>
      </c>
      <c r="I38" s="1362"/>
      <c r="J38" s="1264" t="s">
        <v>727</v>
      </c>
      <c r="K38" s="1362"/>
      <c r="L38" s="1264" t="s">
        <v>727</v>
      </c>
      <c r="M38" s="1362"/>
      <c r="N38" s="1264"/>
      <c r="O38" s="1362"/>
      <c r="P38" s="1264"/>
      <c r="Q38" s="1362"/>
      <c r="R38" s="1264"/>
      <c r="S38" s="1362"/>
    </row>
    <row r="39" spans="1:19">
      <c r="A39" s="1354"/>
      <c r="B39" s="1318" t="s">
        <v>1167</v>
      </c>
      <c r="C39" s="465" t="s">
        <v>1166</v>
      </c>
      <c r="D39" s="430"/>
      <c r="E39" s="422"/>
      <c r="F39" s="431"/>
      <c r="G39" s="1321"/>
      <c r="H39" s="1264" t="s">
        <v>727</v>
      </c>
      <c r="I39" s="1362"/>
      <c r="J39" s="1264" t="s">
        <v>727</v>
      </c>
      <c r="K39" s="1362"/>
      <c r="L39" s="1264" t="s">
        <v>727</v>
      </c>
      <c r="M39" s="1362"/>
      <c r="N39" s="1264"/>
      <c r="O39" s="1362"/>
      <c r="P39" s="1264"/>
      <c r="Q39" s="1362"/>
      <c r="R39" s="1264"/>
      <c r="S39" s="1362"/>
    </row>
    <row r="40" spans="1:19">
      <c r="A40" s="1354"/>
      <c r="B40" s="1318" t="s">
        <v>1168</v>
      </c>
      <c r="C40" s="465" t="s">
        <v>1166</v>
      </c>
      <c r="D40" s="430"/>
      <c r="E40" s="422"/>
      <c r="F40" s="431"/>
      <c r="G40" s="1321"/>
      <c r="H40" s="1264" t="s">
        <v>727</v>
      </c>
      <c r="I40" s="1362"/>
      <c r="J40" s="1264" t="s">
        <v>727</v>
      </c>
      <c r="K40" s="1362"/>
      <c r="L40" s="1264" t="s">
        <v>727</v>
      </c>
      <c r="M40" s="1362"/>
      <c r="N40" s="1264"/>
      <c r="O40" s="1362"/>
      <c r="P40" s="1264"/>
      <c r="Q40" s="1362"/>
      <c r="R40" s="1264"/>
      <c r="S40" s="1362"/>
    </row>
    <row r="41" spans="1:19">
      <c r="A41" s="1354"/>
      <c r="B41" s="1318" t="s">
        <v>1169</v>
      </c>
      <c r="C41" s="465" t="s">
        <v>1166</v>
      </c>
      <c r="D41" s="430"/>
      <c r="E41" s="422"/>
      <c r="F41" s="431"/>
      <c r="G41" s="1321"/>
      <c r="H41" s="1264" t="s">
        <v>727</v>
      </c>
      <c r="I41" s="1362"/>
      <c r="J41" s="1264" t="s">
        <v>727</v>
      </c>
      <c r="K41" s="1362"/>
      <c r="L41" s="1264" t="s">
        <v>727</v>
      </c>
      <c r="M41" s="1362"/>
      <c r="N41" s="1264"/>
      <c r="O41" s="1362"/>
      <c r="P41" s="1264"/>
      <c r="Q41" s="1362"/>
      <c r="R41" s="1264"/>
      <c r="S41" s="1362"/>
    </row>
    <row r="42" spans="1:19">
      <c r="A42" s="1354"/>
      <c r="B42" s="1318"/>
      <c r="C42" s="465"/>
      <c r="D42" s="430"/>
      <c r="E42" s="422"/>
      <c r="F42" s="431"/>
      <c r="G42" s="1321"/>
      <c r="H42" s="1264"/>
      <c r="I42" s="1362"/>
      <c r="J42" s="1264"/>
      <c r="K42" s="1362"/>
      <c r="L42" s="1264"/>
      <c r="M42" s="1362"/>
      <c r="N42" s="1264"/>
      <c r="O42" s="1362"/>
      <c r="P42" s="1264"/>
      <c r="Q42" s="1362"/>
      <c r="R42" s="1264"/>
      <c r="S42" s="1362"/>
    </row>
    <row r="43" spans="1:19">
      <c r="A43" s="1354"/>
      <c r="B43" s="1393" t="s">
        <v>1170</v>
      </c>
      <c r="C43" s="457" t="s">
        <v>1171</v>
      </c>
      <c r="D43" s="430"/>
      <c r="E43" s="422"/>
      <c r="F43" s="431"/>
      <c r="G43" s="1321"/>
      <c r="H43" s="1264" t="s">
        <v>727</v>
      </c>
      <c r="I43" s="1362">
        <f>6500</f>
        <v>6500</v>
      </c>
      <c r="J43" s="1264" t="s">
        <v>727</v>
      </c>
      <c r="K43" s="1362"/>
      <c r="L43" s="1264" t="s">
        <v>727</v>
      </c>
      <c r="M43" s="1362"/>
      <c r="N43" s="1264"/>
      <c r="O43" s="1362"/>
      <c r="P43" s="1264"/>
      <c r="Q43" s="1362"/>
      <c r="R43" s="1264"/>
      <c r="S43" s="1362"/>
    </row>
    <row r="44" spans="1:19">
      <c r="A44" s="1354"/>
      <c r="B44" s="1318" t="s">
        <v>1172</v>
      </c>
      <c r="C44" s="457" t="s">
        <v>1173</v>
      </c>
      <c r="D44" s="430"/>
      <c r="E44" s="422"/>
      <c r="F44" s="431"/>
      <c r="G44" s="1321"/>
      <c r="H44" s="1264" t="s">
        <v>727</v>
      </c>
      <c r="I44" s="1362"/>
      <c r="J44" s="1264" t="s">
        <v>727</v>
      </c>
      <c r="K44" s="1362"/>
      <c r="L44" s="1264" t="s">
        <v>727</v>
      </c>
      <c r="M44" s="1362"/>
      <c r="N44" s="1264"/>
      <c r="O44" s="1362"/>
      <c r="P44" s="1264"/>
      <c r="Q44" s="1362"/>
      <c r="R44" s="1264"/>
      <c r="S44" s="1362"/>
    </row>
    <row r="45" spans="1:19">
      <c r="A45" s="1354"/>
      <c r="B45" s="1318" t="s">
        <v>1169</v>
      </c>
      <c r="C45" s="457" t="s">
        <v>1173</v>
      </c>
      <c r="D45" s="430"/>
      <c r="E45" s="422"/>
      <c r="F45" s="431"/>
      <c r="G45" s="1321"/>
      <c r="H45" s="1264" t="s">
        <v>727</v>
      </c>
      <c r="I45" s="1362"/>
      <c r="J45" s="1264" t="s">
        <v>727</v>
      </c>
      <c r="K45" s="1362"/>
      <c r="L45" s="1264" t="s">
        <v>727</v>
      </c>
      <c r="M45" s="1362"/>
      <c r="N45" s="1264"/>
      <c r="O45" s="1362"/>
      <c r="P45" s="1264"/>
      <c r="Q45" s="1362"/>
      <c r="R45" s="1264"/>
      <c r="S45" s="1362"/>
    </row>
    <row r="46" spans="1:19">
      <c r="A46" s="1097"/>
      <c r="B46" s="1159"/>
      <c r="C46" s="457"/>
      <c r="D46" s="430"/>
      <c r="E46" s="422"/>
      <c r="F46" s="431"/>
      <c r="G46" s="1321"/>
      <c r="H46" s="1264"/>
      <c r="I46" s="1362"/>
      <c r="J46" s="1264"/>
      <c r="K46" s="1362"/>
      <c r="L46" s="1264"/>
      <c r="M46" s="1362"/>
      <c r="N46" s="1264"/>
      <c r="O46" s="1362"/>
      <c r="P46" s="1264"/>
      <c r="Q46" s="1362"/>
      <c r="R46" s="1264"/>
      <c r="S46" s="1362"/>
    </row>
    <row r="47" spans="1:19">
      <c r="A47" s="1354"/>
      <c r="B47" s="1393" t="s">
        <v>1174</v>
      </c>
      <c r="C47" s="457"/>
      <c r="D47" s="430"/>
      <c r="E47" s="422"/>
      <c r="F47" s="431"/>
      <c r="G47" s="1321"/>
      <c r="H47" s="1264" t="s">
        <v>727</v>
      </c>
      <c r="I47" s="1362"/>
      <c r="J47" s="1264" t="s">
        <v>727</v>
      </c>
      <c r="K47" s="1362"/>
      <c r="L47" s="1264" t="s">
        <v>727</v>
      </c>
      <c r="M47" s="1362"/>
      <c r="N47" s="1264"/>
      <c r="O47" s="1362"/>
      <c r="P47" s="1264"/>
      <c r="Q47" s="1362"/>
      <c r="R47" s="1264"/>
      <c r="S47" s="1362"/>
    </row>
    <row r="48" spans="1:19">
      <c r="A48" s="1354"/>
      <c r="B48" s="1159" t="s">
        <v>1175</v>
      </c>
      <c r="C48" s="457"/>
      <c r="D48" s="430"/>
      <c r="E48" s="422"/>
      <c r="F48" s="431"/>
      <c r="G48" s="1321"/>
      <c r="H48" s="1264" t="s">
        <v>727</v>
      </c>
      <c r="I48" s="1362"/>
      <c r="J48" s="1264" t="s">
        <v>727</v>
      </c>
      <c r="K48" s="1362"/>
      <c r="L48" s="1264" t="s">
        <v>727</v>
      </c>
      <c r="M48" s="1362"/>
      <c r="N48" s="1264"/>
      <c r="O48" s="1362"/>
      <c r="P48" s="1264"/>
      <c r="Q48" s="1362"/>
      <c r="R48" s="1264"/>
      <c r="S48" s="1362"/>
    </row>
    <row r="49" spans="1:19" ht="25.5">
      <c r="A49" s="1354"/>
      <c r="B49" s="1159" t="s">
        <v>1176</v>
      </c>
      <c r="C49" s="457"/>
      <c r="D49" s="430"/>
      <c r="E49" s="422"/>
      <c r="F49" s="431"/>
      <c r="G49" s="1321"/>
      <c r="H49" s="1264" t="s">
        <v>727</v>
      </c>
      <c r="I49" s="1362"/>
      <c r="J49" s="1264" t="s">
        <v>727</v>
      </c>
      <c r="K49" s="1362"/>
      <c r="L49" s="1264" t="s">
        <v>727</v>
      </c>
      <c r="M49" s="1362"/>
      <c r="N49" s="1264"/>
      <c r="O49" s="1362"/>
      <c r="P49" s="1264"/>
      <c r="Q49" s="1362"/>
      <c r="R49" s="1264"/>
      <c r="S49" s="1362"/>
    </row>
    <row r="50" spans="1:19">
      <c r="A50" s="1354"/>
      <c r="B50" s="1159" t="s">
        <v>1177</v>
      </c>
      <c r="C50" s="457"/>
      <c r="D50" s="430"/>
      <c r="E50" s="422"/>
      <c r="F50" s="431"/>
      <c r="G50" s="1321"/>
      <c r="H50" s="1264" t="s">
        <v>727</v>
      </c>
      <c r="I50" s="1362"/>
      <c r="J50" s="1264" t="s">
        <v>727</v>
      </c>
      <c r="K50" s="1362"/>
      <c r="L50" s="1264" t="s">
        <v>727</v>
      </c>
      <c r="M50" s="1362"/>
      <c r="N50" s="1264"/>
      <c r="O50" s="1362"/>
      <c r="P50" s="1264"/>
      <c r="Q50" s="1362"/>
      <c r="R50" s="1264"/>
      <c r="S50" s="1362"/>
    </row>
    <row r="51" spans="1:19">
      <c r="A51" s="1354"/>
      <c r="B51" s="1159" t="s">
        <v>1178</v>
      </c>
      <c r="C51" s="457"/>
      <c r="D51" s="430"/>
      <c r="E51" s="422"/>
      <c r="F51" s="431"/>
      <c r="G51" s="1321"/>
      <c r="H51" s="1264" t="s">
        <v>727</v>
      </c>
      <c r="I51" s="1362"/>
      <c r="J51" s="1264" t="s">
        <v>727</v>
      </c>
      <c r="K51" s="1362"/>
      <c r="L51" s="1264" t="s">
        <v>727</v>
      </c>
      <c r="M51" s="1362"/>
      <c r="N51" s="1264"/>
      <c r="O51" s="1362"/>
      <c r="P51" s="1264"/>
      <c r="Q51" s="1362"/>
      <c r="R51" s="1264"/>
      <c r="S51" s="1362"/>
    </row>
    <row r="52" spans="1:19">
      <c r="A52" s="1354"/>
      <c r="B52" s="1159" t="s">
        <v>1179</v>
      </c>
      <c r="C52" s="457"/>
      <c r="D52" s="430"/>
      <c r="E52" s="422"/>
      <c r="F52" s="431"/>
      <c r="G52" s="1321"/>
      <c r="H52" s="1264" t="s">
        <v>727</v>
      </c>
      <c r="I52" s="1362"/>
      <c r="J52" s="1264" t="s">
        <v>727</v>
      </c>
      <c r="K52" s="1362"/>
      <c r="L52" s="1264" t="s">
        <v>727</v>
      </c>
      <c r="M52" s="1362"/>
      <c r="N52" s="1264"/>
      <c r="O52" s="1362"/>
      <c r="P52" s="1264"/>
      <c r="Q52" s="1362"/>
      <c r="R52" s="1264"/>
      <c r="S52" s="1362"/>
    </row>
    <row r="53" spans="1:19">
      <c r="A53" s="1354"/>
      <c r="B53" s="1159"/>
      <c r="C53" s="457"/>
      <c r="D53" s="430"/>
      <c r="E53" s="422"/>
      <c r="F53" s="431"/>
      <c r="G53" s="1321"/>
      <c r="H53" s="1264"/>
      <c r="I53" s="1362"/>
      <c r="J53" s="1264"/>
      <c r="K53" s="1362"/>
      <c r="L53" s="1264"/>
      <c r="M53" s="1362"/>
      <c r="N53" s="1264"/>
      <c r="O53" s="1362"/>
      <c r="P53" s="1264"/>
      <c r="Q53" s="1362"/>
      <c r="R53" s="1264"/>
      <c r="S53" s="1362"/>
    </row>
    <row r="54" spans="1:19">
      <c r="A54" s="1354"/>
      <c r="B54" s="1163" t="s">
        <v>1180</v>
      </c>
      <c r="C54" s="23"/>
      <c r="D54" s="509">
        <v>1</v>
      </c>
      <c r="E54" s="86" t="s">
        <v>1181</v>
      </c>
      <c r="F54" s="431">
        <v>100000</v>
      </c>
      <c r="G54" s="830">
        <f>F54*D54</f>
        <v>100000</v>
      </c>
      <c r="H54" s="1273" t="s">
        <v>1035</v>
      </c>
      <c r="I54" s="1371">
        <f>$G$54</f>
        <v>100000</v>
      </c>
      <c r="J54" s="1273" t="s">
        <v>1035</v>
      </c>
      <c r="K54" s="1371">
        <f>$G$54</f>
        <v>100000</v>
      </c>
      <c r="L54" s="1273" t="s">
        <v>1035</v>
      </c>
      <c r="M54" s="1371">
        <f>$G$54</f>
        <v>100000</v>
      </c>
      <c r="N54" s="1264"/>
      <c r="O54" s="1362"/>
      <c r="P54" s="1264"/>
      <c r="Q54" s="1362"/>
      <c r="R54" s="1264"/>
      <c r="S54" s="1362"/>
    </row>
    <row r="55" spans="1:19" ht="15.75" thickBot="1">
      <c r="A55" s="1354"/>
      <c r="B55" s="1163"/>
      <c r="C55" s="23"/>
      <c r="D55" s="87"/>
      <c r="E55" s="86"/>
      <c r="F55" s="431"/>
      <c r="G55" s="830"/>
      <c r="H55" s="1264"/>
      <c r="I55" s="1362"/>
      <c r="J55" s="1264"/>
      <c r="K55" s="1362"/>
      <c r="L55" s="1264"/>
      <c r="M55" s="1362"/>
      <c r="N55" s="1264"/>
      <c r="O55" s="1362"/>
      <c r="P55" s="1264"/>
      <c r="Q55" s="1362"/>
      <c r="R55" s="1264"/>
      <c r="S55" s="1362"/>
    </row>
    <row r="56" spans="1:19" ht="15.75" thickTop="1">
      <c r="A56" s="296"/>
      <c r="B56" s="301"/>
      <c r="C56" s="297"/>
      <c r="D56" s="15"/>
      <c r="E56" s="16"/>
      <c r="F56" s="282" t="s">
        <v>753</v>
      </c>
      <c r="G56" s="272"/>
      <c r="H56" s="273"/>
      <c r="I56" s="273">
        <f>SUM(I12:I55)</f>
        <v>305860</v>
      </c>
      <c r="J56" s="273"/>
      <c r="K56" s="273">
        <f>SUM(K12:K55)</f>
        <v>311418.3</v>
      </c>
      <c r="L56" s="273"/>
      <c r="M56" s="273">
        <f>SUM(M11:M55)</f>
        <v>329838.28000000003</v>
      </c>
      <c r="N56" s="273"/>
      <c r="O56" s="273">
        <f>SUM(O11:O55)</f>
        <v>0</v>
      </c>
      <c r="P56" s="273"/>
      <c r="Q56" s="273">
        <f>SUM(Q12:Q55)</f>
        <v>0</v>
      </c>
      <c r="R56" s="273"/>
      <c r="S56" s="273">
        <f>SUM(S12:S55)</f>
        <v>0</v>
      </c>
    </row>
    <row r="57" spans="1:19">
      <c r="A57" s="1114"/>
      <c r="B57" s="1164"/>
      <c r="C57" s="432"/>
      <c r="D57" s="433"/>
      <c r="E57" s="434"/>
      <c r="F57" s="435" t="s">
        <v>754</v>
      </c>
      <c r="G57" s="436"/>
      <c r="H57" s="1165">
        <v>0</v>
      </c>
      <c r="I57" s="1166"/>
      <c r="J57" s="1165">
        <v>0</v>
      </c>
      <c r="K57" s="1166"/>
      <c r="L57" s="1395">
        <v>5.0000000000000001E-3</v>
      </c>
      <c r="M57" s="1166"/>
      <c r="N57" s="1165">
        <v>0</v>
      </c>
      <c r="O57" s="1166"/>
      <c r="P57" s="1165">
        <v>0</v>
      </c>
      <c r="Q57" s="1166"/>
      <c r="R57" s="1165">
        <v>0</v>
      </c>
      <c r="S57" s="1166"/>
    </row>
    <row r="58" spans="1:19">
      <c r="A58" s="1114"/>
      <c r="B58" s="1164"/>
      <c r="C58" s="432"/>
      <c r="D58" s="433"/>
      <c r="E58" s="434"/>
      <c r="F58" s="435" t="s">
        <v>755</v>
      </c>
      <c r="G58" s="436"/>
      <c r="H58" s="1166"/>
      <c r="I58" s="1166">
        <f>H57*$I$56</f>
        <v>0</v>
      </c>
      <c r="J58" s="1166"/>
      <c r="K58" s="1166">
        <f>J57*$K$56</f>
        <v>0</v>
      </c>
      <c r="L58" s="1166"/>
      <c r="M58" s="1166">
        <f>L57*$M$56</f>
        <v>1649.1914000000002</v>
      </c>
      <c r="N58" s="1166"/>
      <c r="O58" s="1166">
        <f>N57*$O$56</f>
        <v>0</v>
      </c>
      <c r="P58" s="1166"/>
      <c r="Q58" s="1166">
        <f>P57*$Q$56</f>
        <v>0</v>
      </c>
      <c r="R58" s="1166"/>
      <c r="S58" s="1166">
        <f>R57*S56</f>
        <v>0</v>
      </c>
    </row>
    <row r="59" spans="1:19">
      <c r="A59" s="1114"/>
      <c r="B59" s="1164"/>
      <c r="C59" s="432"/>
      <c r="D59" s="433"/>
      <c r="E59" s="434"/>
      <c r="F59" s="435"/>
      <c r="G59" s="436"/>
      <c r="H59" s="1166"/>
      <c r="I59" s="1166"/>
      <c r="J59" s="1166"/>
      <c r="K59" s="1166"/>
      <c r="L59" s="1166"/>
      <c r="M59" s="1166"/>
      <c r="N59" s="1166"/>
      <c r="O59" s="1166"/>
      <c r="P59" s="1166"/>
      <c r="Q59" s="1166"/>
      <c r="R59" s="1166"/>
      <c r="S59" s="1166"/>
    </row>
    <row r="60" spans="1:19">
      <c r="A60" s="1114"/>
      <c r="B60" s="1164"/>
      <c r="C60" s="432"/>
      <c r="D60" s="433"/>
      <c r="E60" s="434"/>
      <c r="F60" s="435" t="s">
        <v>756</v>
      </c>
      <c r="G60" s="436"/>
      <c r="H60" s="1166"/>
      <c r="I60" s="1166">
        <f>SUM(I56:I59)</f>
        <v>305860</v>
      </c>
      <c r="J60" s="1166"/>
      <c r="K60" s="1166">
        <f>SUM(K56:K58)</f>
        <v>311418.3</v>
      </c>
      <c r="L60" s="1166"/>
      <c r="M60" s="1166">
        <f>SUM(M56:M58)</f>
        <v>331487.47140000004</v>
      </c>
      <c r="N60" s="1166"/>
      <c r="O60" s="1166">
        <f>SUM(O56:O58)</f>
        <v>0</v>
      </c>
      <c r="P60" s="1166"/>
      <c r="Q60" s="1166">
        <f>SUM(Q56:Q58)</f>
        <v>0</v>
      </c>
      <c r="R60" s="1166"/>
      <c r="S60" s="1166">
        <f>SUM(S56:S58)</f>
        <v>0</v>
      </c>
    </row>
    <row r="61" spans="1:19">
      <c r="A61" s="1114"/>
      <c r="B61" s="1164"/>
      <c r="C61" s="432"/>
      <c r="D61" s="433"/>
      <c r="E61" s="434"/>
      <c r="F61" s="437" t="s">
        <v>757</v>
      </c>
      <c r="G61" s="438"/>
      <c r="H61" s="1167"/>
      <c r="I61" s="1167">
        <f>I60/'Area Calculations'!$G$4</f>
        <v>0.52856325702524609</v>
      </c>
      <c r="J61" s="1167"/>
      <c r="K61" s="1167">
        <f>K60/'Area Calculations'!$G$4</f>
        <v>0.538168675031927</v>
      </c>
      <c r="L61" s="1167"/>
      <c r="M61" s="1167">
        <f>M60/'Area Calculations'!$G$4</f>
        <v>0.57285064260199814</v>
      </c>
      <c r="N61" s="1167"/>
      <c r="O61" s="1167">
        <f>O60/'Area Calculations'!$G$4</f>
        <v>0</v>
      </c>
      <c r="P61" s="1167"/>
      <c r="Q61" s="1167">
        <f>Q60/'Area Calculations'!$G$4</f>
        <v>0</v>
      </c>
      <c r="R61" s="1167"/>
      <c r="S61" s="1167">
        <f>S60/'Area Calculations'!$G$4</f>
        <v>0</v>
      </c>
    </row>
    <row r="62" spans="1:19">
      <c r="A62" s="1114"/>
      <c r="B62" s="1164"/>
      <c r="C62" s="432"/>
      <c r="D62" s="433"/>
      <c r="E62" s="434"/>
      <c r="F62" s="437" t="s">
        <v>758</v>
      </c>
      <c r="G62" s="438"/>
      <c r="H62" s="1167"/>
      <c r="I62" s="1167">
        <f>I60/'Area Calculations'!$G$9</f>
        <v>2858.5046728971961</v>
      </c>
      <c r="J62" s="1167"/>
      <c r="K62" s="1167">
        <f>K60/'Area Calculations'!$G$9</f>
        <v>2910.4514018691589</v>
      </c>
      <c r="L62" s="1167"/>
      <c r="M62" s="1167">
        <f>M60/'Area Calculations'!$G$9</f>
        <v>3098.0137514018697</v>
      </c>
      <c r="N62" s="1167"/>
      <c r="O62" s="1167">
        <f>O60/'Area Calculations'!$G$9</f>
        <v>0</v>
      </c>
      <c r="P62" s="1167"/>
      <c r="Q62" s="1167">
        <f>Q60/'Area Calculations'!$G$9</f>
        <v>0</v>
      </c>
      <c r="R62" s="1167"/>
      <c r="S62" s="1167">
        <f>S60/'Area Calculations'!$G$9</f>
        <v>0</v>
      </c>
    </row>
    <row r="63" spans="1:19" ht="15.75" thickBot="1">
      <c r="A63" s="1114"/>
      <c r="B63" s="1164"/>
      <c r="C63" s="432"/>
      <c r="D63" s="433"/>
      <c r="E63" s="434"/>
      <c r="F63" s="439"/>
      <c r="G63" s="436"/>
      <c r="H63" s="1168"/>
      <c r="I63" s="1168"/>
      <c r="J63" s="1168"/>
      <c r="K63" s="1168"/>
      <c r="L63" s="1168"/>
      <c r="M63" s="1168"/>
      <c r="N63" s="1168"/>
      <c r="O63" s="1168"/>
      <c r="P63" s="1168"/>
      <c r="Q63" s="1168"/>
      <c r="R63" s="1168"/>
      <c r="S63" s="1168"/>
    </row>
    <row r="64" spans="1:19" ht="16.5" thickTop="1" thickBot="1">
      <c r="A64" s="2331" t="s">
        <v>759</v>
      </c>
      <c r="B64" s="2332"/>
      <c r="C64" s="298"/>
      <c r="D64" s="12"/>
      <c r="E64" s="12"/>
      <c r="F64" s="12"/>
      <c r="G64" s="26"/>
      <c r="H64" s="24"/>
      <c r="I64" s="20"/>
      <c r="J64" s="20"/>
      <c r="K64" s="20"/>
      <c r="L64" s="20"/>
      <c r="M64" s="20"/>
      <c r="N64" s="20"/>
      <c r="O64" s="20"/>
      <c r="P64" s="20"/>
      <c r="Q64" s="20"/>
      <c r="R64" s="20"/>
      <c r="S64" s="20"/>
    </row>
    <row r="65" spans="1:34" ht="15.75" thickTop="1">
      <c r="A65" s="1331"/>
      <c r="B65" s="1105"/>
      <c r="C65" s="1396"/>
      <c r="D65" s="1357"/>
      <c r="E65" s="1357"/>
      <c r="F65" s="1357"/>
      <c r="G65" s="1333"/>
      <c r="H65" s="1335"/>
      <c r="I65" s="1223"/>
      <c r="J65" s="1223"/>
      <c r="K65" s="1223"/>
      <c r="L65" s="1223"/>
      <c r="M65" s="1223"/>
      <c r="N65" s="1223"/>
      <c r="O65" s="1223"/>
      <c r="P65" s="1223"/>
      <c r="Q65" s="1223"/>
      <c r="R65" s="1223"/>
      <c r="S65" s="1223"/>
    </row>
    <row r="66" spans="1:34">
      <c r="A66" s="1331"/>
      <c r="B66" s="1105"/>
      <c r="C66" s="1396"/>
      <c r="D66" s="1357"/>
      <c r="E66" s="1357"/>
      <c r="F66" s="1357"/>
      <c r="G66" s="1333"/>
      <c r="H66" s="1335"/>
      <c r="I66" s="1223"/>
      <c r="J66" s="1223"/>
      <c r="K66" s="1223"/>
      <c r="L66" s="1223"/>
      <c r="M66" s="1223"/>
      <c r="N66" s="1223"/>
      <c r="O66" s="1223"/>
      <c r="P66" s="1223"/>
      <c r="Q66" s="1223"/>
      <c r="R66" s="1223"/>
      <c r="S66" s="1223"/>
    </row>
    <row r="67" spans="1:34" ht="15.75" thickBot="1">
      <c r="A67" s="1331"/>
      <c r="B67" s="1105"/>
      <c r="C67" s="1396"/>
      <c r="D67" s="1357"/>
      <c r="E67" s="1357"/>
      <c r="F67" s="1357"/>
      <c r="G67" s="1333"/>
      <c r="H67" s="1335"/>
      <c r="I67" s="1223"/>
      <c r="J67" s="1223"/>
      <c r="K67" s="1223"/>
      <c r="L67" s="1223"/>
      <c r="M67" s="1223"/>
      <c r="N67" s="1223"/>
      <c r="O67" s="1223"/>
      <c r="P67" s="1223"/>
      <c r="Q67" s="1223"/>
      <c r="R67" s="1223"/>
      <c r="S67" s="1223"/>
    </row>
    <row r="68" spans="1:34" s="2" customFormat="1" ht="16.5" thickTop="1" thickBot="1">
      <c r="A68" s="2331" t="s">
        <v>760</v>
      </c>
      <c r="B68" s="2332"/>
      <c r="C68" s="298"/>
      <c r="D68" s="12"/>
      <c r="E68" s="12"/>
      <c r="F68" s="12"/>
      <c r="G68" s="26"/>
      <c r="H68" s="24"/>
      <c r="I68" s="20"/>
      <c r="J68" s="20"/>
      <c r="K68" s="20"/>
      <c r="L68" s="20"/>
      <c r="M68" s="20"/>
      <c r="N68" s="20"/>
      <c r="O68" s="20"/>
      <c r="P68" s="20"/>
      <c r="Q68" s="20"/>
      <c r="R68" s="20"/>
      <c r="S68" s="20"/>
      <c r="T68"/>
      <c r="U68"/>
      <c r="V68"/>
      <c r="W68"/>
      <c r="X68"/>
      <c r="Y68"/>
      <c r="Z68"/>
      <c r="AA68"/>
      <c r="AB68"/>
      <c r="AC68"/>
      <c r="AD68"/>
      <c r="AE68"/>
      <c r="AF68"/>
      <c r="AG68"/>
      <c r="AH68"/>
    </row>
    <row r="69" spans="1:34" s="2" customFormat="1" ht="15.75" thickTop="1">
      <c r="A69" s="1331"/>
      <c r="B69" s="1105"/>
      <c r="C69" s="1396"/>
      <c r="D69" s="1357"/>
      <c r="E69" s="1357"/>
      <c r="F69" s="1357"/>
      <c r="G69" s="1333"/>
      <c r="H69" s="1335"/>
      <c r="I69" s="1223"/>
      <c r="J69" s="1223"/>
      <c r="K69" s="1223"/>
      <c r="L69" s="1223"/>
      <c r="M69" s="1223"/>
      <c r="N69" s="1223"/>
      <c r="O69" s="1223"/>
      <c r="P69" s="1223"/>
      <c r="Q69" s="1223"/>
      <c r="R69" s="1223"/>
      <c r="S69" s="1223"/>
      <c r="T69"/>
      <c r="U69"/>
      <c r="V69"/>
      <c r="W69"/>
      <c r="X69"/>
      <c r="Y69"/>
      <c r="Z69"/>
      <c r="AA69"/>
      <c r="AB69"/>
      <c r="AC69"/>
      <c r="AD69"/>
      <c r="AE69"/>
      <c r="AF69"/>
      <c r="AG69"/>
      <c r="AH69"/>
    </row>
    <row r="70" spans="1:34" s="2" customFormat="1">
      <c r="A70" s="1331"/>
      <c r="B70" s="1105"/>
      <c r="C70" s="1396"/>
      <c r="D70" s="1357"/>
      <c r="E70" s="1357"/>
      <c r="F70" s="1357"/>
      <c r="G70" s="1333"/>
      <c r="H70" s="1335"/>
      <c r="I70" s="1223"/>
      <c r="J70" s="1223"/>
      <c r="K70" s="1223"/>
      <c r="L70" s="1223"/>
      <c r="M70" s="1223"/>
      <c r="N70" s="1223"/>
      <c r="O70" s="1223"/>
      <c r="P70" s="1223"/>
      <c r="Q70" s="1223"/>
      <c r="R70" s="1223"/>
      <c r="S70" s="1223"/>
      <c r="T70"/>
      <c r="U70"/>
      <c r="V70"/>
      <c r="W70"/>
      <c r="X70"/>
      <c r="Y70"/>
      <c r="Z70"/>
      <c r="AA70"/>
      <c r="AB70"/>
      <c r="AC70"/>
      <c r="AD70"/>
      <c r="AE70"/>
      <c r="AF70"/>
      <c r="AG70"/>
      <c r="AH70"/>
    </row>
    <row r="71" spans="1:34" ht="15.75" thickBot="1">
      <c r="A71" s="1331"/>
      <c r="B71" s="1105"/>
      <c r="C71" s="1396"/>
      <c r="D71" s="1357"/>
      <c r="E71" s="1357"/>
      <c r="F71" s="1357"/>
      <c r="G71" s="1333"/>
      <c r="H71" s="1335"/>
      <c r="I71" s="1223"/>
      <c r="J71" s="1223"/>
      <c r="K71" s="1223"/>
      <c r="L71" s="1223"/>
      <c r="M71" s="1223"/>
      <c r="N71" s="1223"/>
      <c r="O71" s="1223"/>
      <c r="P71" s="1223"/>
      <c r="Q71" s="1223"/>
      <c r="R71" s="1223"/>
      <c r="S71" s="1223"/>
    </row>
    <row r="72" spans="1:34" s="2" customFormat="1" ht="16.5" thickTop="1" thickBot="1">
      <c r="A72" s="2331" t="s">
        <v>761</v>
      </c>
      <c r="B72" s="2332"/>
      <c r="C72" s="298"/>
      <c r="D72" s="12"/>
      <c r="E72" s="12"/>
      <c r="F72" s="12"/>
      <c r="G72" s="26"/>
      <c r="H72" s="24"/>
      <c r="I72" s="20"/>
      <c r="J72" s="20"/>
      <c r="K72" s="20"/>
      <c r="L72" s="20"/>
      <c r="M72" s="20"/>
      <c r="N72" s="20"/>
      <c r="O72" s="20"/>
      <c r="P72" s="20"/>
      <c r="Q72" s="20"/>
      <c r="R72" s="20"/>
      <c r="S72" s="20"/>
      <c r="T72"/>
      <c r="U72"/>
      <c r="V72"/>
      <c r="W72"/>
      <c r="X72"/>
      <c r="Y72"/>
      <c r="Z72"/>
      <c r="AA72"/>
      <c r="AB72"/>
      <c r="AC72"/>
      <c r="AD72"/>
      <c r="AE72"/>
      <c r="AF72"/>
      <c r="AG72"/>
      <c r="AH72"/>
    </row>
    <row r="73" spans="1:34" s="2" customFormat="1" ht="15.75" thickTop="1">
      <c r="A73" s="1331"/>
      <c r="B73" s="1105"/>
      <c r="C73" s="1396"/>
      <c r="D73" s="1357"/>
      <c r="E73" s="1357"/>
      <c r="F73" s="1357"/>
      <c r="G73" s="1333"/>
      <c r="H73" s="1335"/>
      <c r="I73" s="1223"/>
      <c r="J73" s="1223"/>
      <c r="K73" s="1223"/>
      <c r="L73" s="1223"/>
      <c r="M73" s="1223"/>
      <c r="N73" s="1223"/>
      <c r="O73" s="1223"/>
      <c r="P73" s="1223"/>
      <c r="Q73" s="1223"/>
      <c r="R73" s="1223"/>
      <c r="S73" s="1223"/>
      <c r="T73"/>
      <c r="U73"/>
      <c r="V73"/>
      <c r="W73"/>
      <c r="X73"/>
      <c r="Y73"/>
      <c r="Z73"/>
      <c r="AA73"/>
      <c r="AB73"/>
      <c r="AC73"/>
      <c r="AD73"/>
      <c r="AE73"/>
      <c r="AF73"/>
      <c r="AG73"/>
      <c r="AH73"/>
    </row>
    <row r="74" spans="1:34" s="2" customFormat="1">
      <c r="A74" s="1124"/>
      <c r="B74" s="1105"/>
      <c r="C74" s="415"/>
      <c r="D74" s="422"/>
      <c r="E74" s="422"/>
      <c r="F74" s="422"/>
      <c r="G74" s="831"/>
      <c r="H74" s="440"/>
      <c r="I74" s="1173"/>
      <c r="J74" s="1173"/>
      <c r="K74" s="1173"/>
      <c r="L74" s="1173"/>
      <c r="M74" s="1173"/>
      <c r="N74" s="1173"/>
      <c r="O74" s="1173"/>
      <c r="P74" s="1173"/>
      <c r="Q74" s="1173"/>
      <c r="R74" s="1173"/>
      <c r="S74" s="1173"/>
      <c r="T74"/>
      <c r="U74"/>
      <c r="V74"/>
      <c r="W74"/>
      <c r="X74"/>
      <c r="Y74"/>
      <c r="Z74"/>
      <c r="AA74"/>
      <c r="AB74"/>
      <c r="AC74"/>
      <c r="AD74"/>
      <c r="AE74"/>
      <c r="AF74"/>
      <c r="AG74"/>
      <c r="AH74"/>
    </row>
    <row r="75" spans="1:34" s="2" customFormat="1" ht="15.75" thickBot="1">
      <c r="A75" s="1126"/>
      <c r="B75" s="1174"/>
      <c r="C75" s="415"/>
      <c r="D75" s="422"/>
      <c r="E75" s="422"/>
      <c r="F75" s="422"/>
      <c r="G75" s="831"/>
      <c r="H75" s="441"/>
      <c r="I75" s="1175"/>
      <c r="J75" s="1175"/>
      <c r="K75" s="1175"/>
      <c r="L75" s="1175"/>
      <c r="M75" s="1175"/>
      <c r="N75" s="1175"/>
      <c r="O75" s="1175"/>
      <c r="P75" s="1175"/>
      <c r="Q75" s="1175"/>
      <c r="R75" s="1175"/>
      <c r="S75" s="1175"/>
    </row>
    <row r="76" spans="1:34" s="2" customFormat="1" ht="16.5" thickTop="1" thickBot="1">
      <c r="A76" s="2331" t="s">
        <v>762</v>
      </c>
      <c r="B76" s="2332"/>
      <c r="C76" s="298"/>
      <c r="D76" s="12"/>
      <c r="E76" s="12"/>
      <c r="F76" s="12"/>
      <c r="G76" s="26"/>
      <c r="H76" s="24"/>
      <c r="I76" s="20"/>
      <c r="J76" s="20"/>
      <c r="K76" s="20"/>
      <c r="L76" s="20"/>
      <c r="M76" s="20"/>
      <c r="N76" s="20"/>
      <c r="O76" s="20"/>
      <c r="P76" s="20"/>
      <c r="Q76" s="20"/>
      <c r="R76" s="20"/>
      <c r="S76" s="20"/>
      <c r="T76"/>
      <c r="U76"/>
      <c r="V76"/>
      <c r="W76"/>
      <c r="X76"/>
      <c r="Y76"/>
      <c r="Z76"/>
      <c r="AA76"/>
      <c r="AB76"/>
      <c r="AC76"/>
      <c r="AD76"/>
      <c r="AE76"/>
      <c r="AF76"/>
      <c r="AG76"/>
      <c r="AH76"/>
    </row>
    <row r="77" spans="1:34" ht="15.75" thickTop="1">
      <c r="A77" s="1339"/>
      <c r="B77" s="1225"/>
      <c r="C77" s="1396"/>
      <c r="D77" s="1357"/>
      <c r="E77" s="1357"/>
      <c r="F77" s="1357"/>
      <c r="G77" s="1333"/>
      <c r="H77" s="1335"/>
      <c r="I77" s="1223"/>
      <c r="J77" s="1223"/>
      <c r="K77" s="1223"/>
      <c r="L77" s="1223"/>
      <c r="M77" s="1223"/>
      <c r="N77" s="1223"/>
      <c r="O77" s="1223"/>
      <c r="P77" s="1223"/>
      <c r="Q77" s="1223"/>
      <c r="R77" s="1223"/>
      <c r="S77" s="1223"/>
      <c r="T77" s="2"/>
      <c r="U77" s="2"/>
      <c r="V77" s="2"/>
      <c r="W77" s="2"/>
      <c r="X77" s="2"/>
      <c r="Y77" s="2"/>
      <c r="Z77" s="2"/>
      <c r="AA77" s="2"/>
      <c r="AB77" s="2"/>
      <c r="AC77" s="2"/>
      <c r="AD77" s="2"/>
      <c r="AE77" s="2"/>
      <c r="AF77" s="2"/>
      <c r="AG77" s="2"/>
      <c r="AH77" s="2"/>
    </row>
    <row r="78" spans="1:34">
      <c r="A78" s="1126"/>
      <c r="B78" s="1174"/>
      <c r="C78" s="415"/>
      <c r="D78" s="422"/>
      <c r="E78" s="422"/>
      <c r="F78" s="422"/>
      <c r="G78" s="831"/>
      <c r="H78" s="442"/>
      <c r="I78" s="1178"/>
      <c r="J78" s="1178"/>
      <c r="K78" s="1178"/>
      <c r="L78" s="1178"/>
      <c r="M78" s="1178"/>
      <c r="N78" s="1178"/>
      <c r="O78" s="1178"/>
      <c r="P78" s="1178"/>
      <c r="Q78" s="1178"/>
      <c r="R78" s="1178"/>
      <c r="S78" s="1178"/>
      <c r="T78" s="2"/>
      <c r="U78" s="2"/>
      <c r="V78" s="2"/>
      <c r="W78" s="2"/>
      <c r="X78" s="2"/>
      <c r="Y78" s="2"/>
      <c r="Z78" s="2"/>
      <c r="AA78" s="2"/>
      <c r="AB78" s="2"/>
      <c r="AC78" s="2"/>
      <c r="AD78" s="2"/>
      <c r="AE78" s="2"/>
      <c r="AF78" s="2"/>
      <c r="AG78" s="2"/>
      <c r="AH78" s="2"/>
    </row>
    <row r="79" spans="1:34" ht="15.75" thickBot="1">
      <c r="A79" s="1126"/>
      <c r="B79" s="1174"/>
      <c r="C79" s="415"/>
      <c r="D79" s="422"/>
      <c r="E79" s="422"/>
      <c r="F79" s="422"/>
      <c r="G79" s="831"/>
      <c r="H79" s="442"/>
      <c r="I79" s="1178"/>
      <c r="J79" s="1178"/>
      <c r="K79" s="1178"/>
      <c r="L79" s="1178"/>
      <c r="M79" s="1178"/>
      <c r="N79" s="1178"/>
      <c r="O79" s="1178"/>
      <c r="P79" s="1178"/>
      <c r="Q79" s="1178"/>
      <c r="R79" s="1178"/>
      <c r="S79" s="1178"/>
      <c r="T79" s="2"/>
      <c r="U79" s="2"/>
      <c r="V79" s="2"/>
      <c r="W79" s="2"/>
      <c r="X79" s="2"/>
      <c r="Y79" s="2"/>
      <c r="Z79" s="2"/>
      <c r="AA79" s="2"/>
      <c r="AB79" s="2"/>
      <c r="AC79" s="2"/>
      <c r="AD79" s="2"/>
      <c r="AE79" s="2"/>
      <c r="AF79" s="2"/>
      <c r="AG79" s="2"/>
      <c r="AH79" s="2"/>
    </row>
    <row r="80" spans="1:34" ht="16.5" thickTop="1" thickBot="1">
      <c r="A80" s="2331" t="s">
        <v>763</v>
      </c>
      <c r="B80" s="2332"/>
      <c r="C80" s="298"/>
      <c r="D80" s="12"/>
      <c r="E80" s="12"/>
      <c r="F80" s="12"/>
      <c r="G80" s="26"/>
      <c r="H80" s="24"/>
      <c r="I80" s="20"/>
      <c r="J80" s="20"/>
      <c r="K80" s="20"/>
      <c r="L80" s="20"/>
      <c r="M80" s="20"/>
      <c r="N80" s="20"/>
      <c r="O80" s="20"/>
      <c r="P80" s="20"/>
      <c r="Q80" s="20"/>
      <c r="R80" s="20"/>
      <c r="S80" s="20"/>
    </row>
    <row r="81" spans="1:19" ht="15.75" thickTop="1">
      <c r="A81" s="1124"/>
      <c r="B81" s="1105" t="s">
        <v>764</v>
      </c>
      <c r="C81" s="415"/>
      <c r="D81" s="422"/>
      <c r="E81" s="422"/>
      <c r="F81" s="422"/>
      <c r="G81" s="831"/>
      <c r="H81" s="442"/>
      <c r="I81" s="1178"/>
      <c r="J81" s="1178"/>
      <c r="K81" s="1178"/>
      <c r="L81" s="1178"/>
      <c r="M81" s="1178"/>
      <c r="N81" s="1178"/>
      <c r="O81" s="1178"/>
      <c r="P81" s="1178"/>
      <c r="Q81" s="1178"/>
      <c r="R81" s="1178"/>
      <c r="S81" s="1178"/>
    </row>
    <row r="82" spans="1:19">
      <c r="A82" s="1124"/>
      <c r="B82" s="1105" t="s">
        <v>765</v>
      </c>
      <c r="C82" s="415"/>
      <c r="D82" s="422"/>
      <c r="E82" s="422"/>
      <c r="F82" s="422"/>
      <c r="G82" s="831"/>
      <c r="H82" s="442"/>
      <c r="I82" s="1178"/>
      <c r="J82" s="1178"/>
      <c r="K82" s="1178"/>
      <c r="L82" s="1178"/>
      <c r="M82" s="1178"/>
      <c r="N82" s="1178"/>
      <c r="O82" s="1178"/>
      <c r="P82" s="1178"/>
      <c r="Q82" s="1178"/>
      <c r="R82" s="1178"/>
      <c r="S82" s="1178"/>
    </row>
    <row r="83" spans="1:19">
      <c r="A83" s="1124"/>
      <c r="B83" s="1105" t="s">
        <v>766</v>
      </c>
      <c r="C83" s="415"/>
      <c r="D83" s="422"/>
      <c r="E83" s="422"/>
      <c r="F83" s="422"/>
      <c r="G83" s="831"/>
      <c r="H83" s="442"/>
      <c r="I83" s="1178"/>
      <c r="J83" s="1178"/>
      <c r="K83" s="1178"/>
      <c r="L83" s="1178"/>
      <c r="M83" s="1178"/>
      <c r="N83" s="1178"/>
      <c r="O83" s="1178"/>
      <c r="P83" s="1178"/>
      <c r="Q83" s="1178"/>
      <c r="R83" s="1178"/>
      <c r="S83" s="1178"/>
    </row>
    <row r="84" spans="1:19">
      <c r="A84" s="1124"/>
      <c r="B84" s="1105" t="s">
        <v>767</v>
      </c>
      <c r="C84" s="415"/>
      <c r="D84" s="422"/>
      <c r="E84" s="422"/>
      <c r="F84" s="422"/>
      <c r="G84" s="831"/>
      <c r="H84" s="442"/>
      <c r="I84" s="1178"/>
      <c r="J84" s="1178"/>
      <c r="K84" s="1178"/>
      <c r="L84" s="1178"/>
      <c r="M84" s="1178"/>
      <c r="N84" s="1178"/>
      <c r="O84" s="1178"/>
      <c r="P84" s="1178"/>
      <c r="Q84" s="1178"/>
      <c r="R84" s="1178"/>
      <c r="S84" s="1178"/>
    </row>
    <row r="85" spans="1:19" ht="15.75" thickBot="1">
      <c r="A85" s="443"/>
      <c r="B85" s="421"/>
      <c r="C85" s="23"/>
      <c r="D85" s="86"/>
      <c r="E85" s="86"/>
      <c r="F85" s="86"/>
      <c r="G85" s="27"/>
      <c r="H85" s="25"/>
      <c r="I85" s="444"/>
      <c r="J85" s="444"/>
      <c r="K85" s="444"/>
      <c r="L85" s="444"/>
      <c r="M85" s="444"/>
      <c r="N85" s="444"/>
      <c r="O85" s="444"/>
      <c r="P85" s="444"/>
      <c r="Q85" s="444"/>
      <c r="R85" s="444"/>
      <c r="S85" s="444"/>
    </row>
    <row r="86" spans="1:19" ht="16.5" thickTop="1" thickBot="1">
      <c r="A86" s="72" t="s">
        <v>768</v>
      </c>
      <c r="B86" s="73"/>
      <c r="C86" s="298"/>
      <c r="D86" s="12"/>
      <c r="E86" s="12"/>
      <c r="F86" s="12"/>
      <c r="G86" s="26"/>
      <c r="H86" s="24"/>
      <c r="I86" s="20"/>
      <c r="J86" s="20"/>
      <c r="K86" s="20"/>
      <c r="L86" s="20"/>
      <c r="M86" s="20"/>
      <c r="N86" s="20"/>
      <c r="O86" s="20"/>
      <c r="P86" s="20"/>
      <c r="Q86" s="20"/>
      <c r="R86" s="20"/>
      <c r="S86" s="20"/>
    </row>
    <row r="87" spans="1:19" ht="15.75" thickTop="1">
      <c r="A87" s="1331"/>
      <c r="B87" s="1226" t="s">
        <v>769</v>
      </c>
      <c r="C87" s="1396"/>
      <c r="D87" s="1357"/>
      <c r="E87" s="1357"/>
      <c r="F87" s="1357"/>
      <c r="G87" s="1333"/>
      <c r="H87" s="1344"/>
      <c r="I87" s="1228"/>
      <c r="J87" s="1228"/>
      <c r="K87" s="1228"/>
      <c r="L87" s="1228"/>
      <c r="M87" s="1228"/>
      <c r="N87" s="1228"/>
      <c r="O87" s="1228"/>
      <c r="P87" s="1228"/>
      <c r="Q87" s="1228"/>
      <c r="R87" s="1228"/>
      <c r="S87" s="1228"/>
    </row>
    <row r="88" spans="1:19">
      <c r="A88" s="1124"/>
      <c r="B88" s="1105" t="s">
        <v>770</v>
      </c>
      <c r="C88" s="415"/>
      <c r="D88" s="422"/>
      <c r="E88" s="422"/>
      <c r="F88" s="422"/>
      <c r="G88" s="831"/>
      <c r="H88" s="445"/>
      <c r="I88" s="1182"/>
      <c r="J88" s="1182"/>
      <c r="K88" s="1182"/>
      <c r="L88" s="1182"/>
      <c r="M88" s="1182"/>
      <c r="N88" s="1182"/>
      <c r="O88" s="1182"/>
      <c r="P88" s="1182"/>
      <c r="Q88" s="1182"/>
      <c r="R88" s="1182"/>
      <c r="S88" s="1182"/>
    </row>
    <row r="89" spans="1:19" ht="15.75" thickBot="1">
      <c r="A89" s="1376"/>
      <c r="B89" s="1377" t="s">
        <v>771</v>
      </c>
      <c r="C89" s="1378"/>
      <c r="D89" s="1379"/>
      <c r="E89" s="1379"/>
      <c r="F89" s="1379"/>
      <c r="G89" s="1380"/>
      <c r="H89" s="1381"/>
      <c r="I89" s="1382"/>
      <c r="J89" s="1382"/>
      <c r="K89" s="1382"/>
      <c r="L89" s="1382"/>
      <c r="M89" s="1382"/>
      <c r="N89" s="1382"/>
      <c r="O89" s="1382"/>
      <c r="P89" s="1382"/>
      <c r="Q89" s="1382"/>
      <c r="R89" s="1382"/>
      <c r="S89" s="1382"/>
    </row>
    <row r="90" spans="1:19" ht="16.5" thickTop="1" thickBot="1">
      <c r="F90" s="2"/>
      <c r="G90" s="2"/>
      <c r="H90" s="2"/>
      <c r="I90" s="2"/>
      <c r="J90" s="2"/>
      <c r="K90" s="2"/>
      <c r="L90" s="2"/>
      <c r="M90" s="2"/>
      <c r="N90" s="2"/>
      <c r="O90" s="2"/>
      <c r="P90" s="2"/>
      <c r="Q90" s="2"/>
      <c r="R90" s="2"/>
      <c r="S90" s="2"/>
    </row>
    <row r="91" spans="1:19" ht="16.5" thickTop="1" thickBot="1">
      <c r="A91" s="37" t="s">
        <v>772</v>
      </c>
      <c r="B91" s="39"/>
      <c r="F91" s="2"/>
      <c r="G91" s="2"/>
      <c r="H91" s="2"/>
      <c r="I91" s="2"/>
      <c r="J91" s="2"/>
      <c r="K91" s="2"/>
      <c r="L91" s="2"/>
      <c r="M91" s="2"/>
      <c r="N91" s="2"/>
      <c r="O91" s="2"/>
      <c r="P91" s="2"/>
      <c r="Q91" s="2"/>
      <c r="R91" s="2"/>
      <c r="S91" s="2"/>
    </row>
    <row r="92" spans="1:19" ht="15.75" thickTop="1">
      <c r="A92" s="38" t="s">
        <v>693</v>
      </c>
      <c r="B92" s="1277" t="str">
        <f>L5</f>
        <v>Catapult Construction</v>
      </c>
      <c r="F92" s="2"/>
      <c r="G92" s="2"/>
      <c r="H92" s="2"/>
      <c r="I92" s="2"/>
      <c r="J92" s="2"/>
      <c r="K92" s="2"/>
      <c r="L92" s="2"/>
      <c r="M92" s="2"/>
      <c r="N92" s="2"/>
      <c r="O92" s="2"/>
      <c r="P92" s="2"/>
      <c r="Q92" s="2"/>
      <c r="R92" s="2"/>
      <c r="S92" s="2"/>
    </row>
    <row r="93" spans="1:19">
      <c r="A93" s="1142" t="s">
        <v>702</v>
      </c>
      <c r="B93" s="1277" t="str">
        <f>L6</f>
        <v>Mary Gwen</v>
      </c>
      <c r="F93" s="2"/>
      <c r="G93" s="2"/>
      <c r="H93" s="2"/>
      <c r="I93" s="2"/>
      <c r="J93" s="2"/>
      <c r="K93" s="2"/>
      <c r="L93" s="2"/>
      <c r="M93" s="2"/>
      <c r="N93" s="2"/>
      <c r="O93" s="2"/>
      <c r="P93" s="2"/>
      <c r="Q93" s="2"/>
      <c r="R93" s="2"/>
      <c r="S93" s="2"/>
    </row>
    <row r="94" spans="1:19">
      <c r="A94" s="1191" t="s">
        <v>708</v>
      </c>
      <c r="B94" s="1192" t="str">
        <f>L7</f>
        <v>312-722-1211</v>
      </c>
      <c r="F94" s="2"/>
      <c r="G94" s="2"/>
      <c r="H94" s="2"/>
      <c r="I94" s="2"/>
      <c r="J94" s="2"/>
      <c r="K94" s="2"/>
      <c r="L94" s="2"/>
      <c r="M94" s="2"/>
      <c r="N94" s="2"/>
      <c r="O94" s="2"/>
      <c r="P94" s="2"/>
      <c r="Q94" s="2"/>
      <c r="R94" s="2"/>
      <c r="S94" s="2"/>
    </row>
    <row r="95" spans="1:19">
      <c r="A95" s="1191" t="s">
        <v>713</v>
      </c>
      <c r="B95" s="1278" t="str">
        <f>L8</f>
        <v>marygwen@mgcontractresources.com</v>
      </c>
      <c r="F95" s="2"/>
      <c r="G95" s="2"/>
      <c r="H95" s="2"/>
      <c r="I95" s="2"/>
      <c r="J95" s="2"/>
      <c r="K95" s="2"/>
      <c r="L95" s="2"/>
      <c r="M95" s="2"/>
      <c r="N95" s="2"/>
      <c r="O95" s="2"/>
      <c r="P95" s="2"/>
      <c r="Q95" s="2"/>
      <c r="R95" s="2"/>
      <c r="S95" s="2"/>
    </row>
    <row r="96" spans="1:19" ht="15.75" thickBot="1">
      <c r="A96" s="1383" t="s">
        <v>69</v>
      </c>
      <c r="B96" s="1397">
        <f>L9</f>
        <v>331487.47140000004</v>
      </c>
      <c r="F96" s="2"/>
      <c r="G96" s="2"/>
      <c r="H96" s="2"/>
      <c r="I96" s="2"/>
      <c r="J96" s="2"/>
      <c r="K96" s="2"/>
      <c r="L96" s="2"/>
      <c r="M96" s="2"/>
      <c r="N96" s="2"/>
      <c r="O96" s="2"/>
      <c r="P96" s="2"/>
      <c r="Q96" s="2"/>
      <c r="R96" s="2"/>
      <c r="S96" s="2"/>
    </row>
    <row r="97" ht="15.75" thickTop="1"/>
  </sheetData>
  <mergeCells count="41">
    <mergeCell ref="A64:B64"/>
    <mergeCell ref="A68:B68"/>
    <mergeCell ref="A72:B72"/>
    <mergeCell ref="A76:B76"/>
    <mergeCell ref="A80:B80"/>
    <mergeCell ref="R5:S5"/>
    <mergeCell ref="H4:I4"/>
    <mergeCell ref="J4:K4"/>
    <mergeCell ref="L4:M4"/>
    <mergeCell ref="N4:O4"/>
    <mergeCell ref="P4:Q4"/>
    <mergeCell ref="R4:S4"/>
    <mergeCell ref="H5:I5"/>
    <mergeCell ref="J5:K5"/>
    <mergeCell ref="L5:M5"/>
    <mergeCell ref="N5:O5"/>
    <mergeCell ref="P5:Q5"/>
    <mergeCell ref="R7:S7"/>
    <mergeCell ref="H6:I6"/>
    <mergeCell ref="J6:K6"/>
    <mergeCell ref="L6:M6"/>
    <mergeCell ref="N6:O6"/>
    <mergeCell ref="P6:Q6"/>
    <mergeCell ref="R6:S6"/>
    <mergeCell ref="H7:I7"/>
    <mergeCell ref="J7:K7"/>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s>
  <conditionalFormatting sqref="H11:H19 H21:H55 J21:J55 L21:L55 N21:N55 P21:P55 R21:R55">
    <cfRule type="cellIs" dxfId="539" priority="5" operator="equal">
      <formula>"X"</formula>
    </cfRule>
    <cfRule type="cellIs" dxfId="538" priority="6" operator="equal">
      <formula>"I"</formula>
    </cfRule>
  </conditionalFormatting>
  <conditionalFormatting sqref="J11:J19">
    <cfRule type="cellIs" dxfId="537" priority="3" operator="equal">
      <formula>"X"</formula>
    </cfRule>
    <cfRule type="cellIs" dxfId="536" priority="4" operator="equal">
      <formula>"I"</formula>
    </cfRule>
  </conditionalFormatting>
  <conditionalFormatting sqref="L11:L19">
    <cfRule type="cellIs" dxfId="535" priority="1" operator="equal">
      <formula>"X"</formula>
    </cfRule>
    <cfRule type="cellIs" dxfId="534" priority="2" operator="equal">
      <formula>"I"</formula>
    </cfRule>
  </conditionalFormatting>
  <conditionalFormatting sqref="N11:N19 P11:P19 R11:R19">
    <cfRule type="cellIs" dxfId="533" priority="19" operator="equal">
      <formula>"X"</formula>
    </cfRule>
    <cfRule type="cellIs" dxfId="532" priority="20" operator="equal">
      <formula>"I"</formula>
    </cfRule>
  </conditionalFormatting>
  <hyperlinks>
    <hyperlink ref="B4" location="'Cost Summary'!A1" display="BACK TO SUMMARY SHEET" xr:uid="{569109D0-E072-4E66-B9DC-F9521295769E}"/>
    <hyperlink ref="H8:I8" r:id="rId1" display="hanna@asterakb.com" xr:uid="{75F62379-B998-428B-B44F-B219CE41CE3D}"/>
    <hyperlink ref="J8:K8" r:id="rId2" display="Michael@nationalkb.com&gt; " xr:uid="{E11E587F-9DA9-46F6-BCC9-255BF7CF3A33}"/>
    <hyperlink ref="L8:M8" r:id="rId3" display="marygwen@mgcontractresources.com" xr:uid="{01414C72-60BA-475C-A61C-1B9C5749B60E}"/>
  </hyperlinks>
  <pageMargins left="0.7" right="0.7" top="0.75" bottom="0.75" header="0.3" footer="0.3"/>
  <pageSetup orientation="portrait"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DD5E-4A05-46FA-A452-7EB01116F710}">
  <dimension ref="A1:AO92"/>
  <sheetViews>
    <sheetView zoomScale="90" zoomScaleNormal="90" workbookViewId="0">
      <pane xSplit="2" ySplit="10" topLeftCell="I56" activePane="bottomRight" state="frozen"/>
      <selection pane="topRight" activeCell="C1" sqref="C1"/>
      <selection pane="bottomLeft" activeCell="A11" sqref="A11"/>
      <selection pane="bottomRight" activeCell="I56" sqref="I56"/>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1182</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1196" t="s">
        <v>1183</v>
      </c>
      <c r="C6" s="415"/>
      <c r="D6" s="416"/>
      <c r="E6" s="417"/>
      <c r="F6" s="418"/>
      <c r="G6" s="419" t="s">
        <v>702</v>
      </c>
      <c r="H6" s="2325"/>
      <c r="I6" s="2326"/>
      <c r="J6" s="2325"/>
      <c r="K6" s="2326"/>
      <c r="L6" s="2325"/>
      <c r="M6" s="2326"/>
      <c r="N6" s="2325"/>
      <c r="O6" s="2326"/>
      <c r="P6" s="2313"/>
      <c r="Q6" s="2314"/>
      <c r="R6" s="2313"/>
      <c r="S6" s="2314"/>
      <c r="X6" s="261"/>
    </row>
    <row r="7" spans="1:24">
      <c r="A7" s="1082" t="s">
        <v>706</v>
      </c>
      <c r="B7" s="1197" t="s">
        <v>1184</v>
      </c>
      <c r="C7" s="415"/>
      <c r="D7" s="416"/>
      <c r="E7" s="417"/>
      <c r="F7" s="418"/>
      <c r="G7" s="829" t="s">
        <v>708</v>
      </c>
      <c r="H7" s="2325"/>
      <c r="I7" s="2326"/>
      <c r="J7" s="2325"/>
      <c r="K7" s="2326"/>
      <c r="L7" s="2325"/>
      <c r="M7" s="2326"/>
      <c r="N7" s="2325"/>
      <c r="O7" s="2326"/>
      <c r="P7" s="2313"/>
      <c r="Q7" s="2314"/>
      <c r="R7" s="2313"/>
      <c r="S7" s="2314"/>
      <c r="X7" s="261"/>
    </row>
    <row r="8" spans="1:24">
      <c r="A8" s="1082" t="s">
        <v>712</v>
      </c>
      <c r="B8" s="1198"/>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0</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354"/>
      <c r="B11" s="1283" t="s">
        <v>725</v>
      </c>
      <c r="C11" s="1398"/>
      <c r="D11" s="1357"/>
      <c r="E11" s="1357"/>
      <c r="F11" s="1358"/>
      <c r="G11" s="1359"/>
      <c r="H11" s="1286"/>
      <c r="I11" s="1361"/>
      <c r="J11" s="1286"/>
      <c r="K11" s="285"/>
      <c r="L11" s="1286"/>
      <c r="M11" s="1362"/>
      <c r="N11" s="1286"/>
      <c r="O11" s="1362"/>
      <c r="P11" s="1286"/>
      <c r="Q11" s="1362"/>
      <c r="R11" s="1286"/>
      <c r="S11" s="1362"/>
    </row>
    <row r="12" spans="1:24">
      <c r="A12" s="1354"/>
      <c r="B12" s="1263" t="s">
        <v>726</v>
      </c>
      <c r="C12" s="446"/>
      <c r="D12" s="422"/>
      <c r="E12" s="422"/>
      <c r="F12" s="418"/>
      <c r="G12" s="423"/>
      <c r="H12" s="1264"/>
      <c r="I12" s="1361"/>
      <c r="J12" s="1264"/>
      <c r="K12" s="1362"/>
      <c r="L12" s="1264"/>
      <c r="M12" s="1362"/>
      <c r="N12" s="1264"/>
      <c r="O12" s="1362"/>
      <c r="P12" s="1264"/>
      <c r="Q12" s="1362"/>
      <c r="R12" s="1264"/>
      <c r="S12" s="1362"/>
    </row>
    <row r="13" spans="1:24">
      <c r="A13" s="1097"/>
      <c r="B13" s="1263" t="s">
        <v>728</v>
      </c>
      <c r="C13" s="446"/>
      <c r="D13" s="422"/>
      <c r="E13" s="422"/>
      <c r="F13" s="418"/>
      <c r="G13" s="423"/>
      <c r="H13" s="1264"/>
      <c r="I13" s="1361"/>
      <c r="J13" s="1264"/>
      <c r="K13" s="1362"/>
      <c r="L13" s="1264"/>
      <c r="M13" s="1362"/>
      <c r="N13" s="1264"/>
      <c r="O13" s="1362"/>
      <c r="P13" s="1264"/>
      <c r="Q13" s="1362"/>
      <c r="R13" s="1264"/>
      <c r="S13" s="1362"/>
    </row>
    <row r="14" spans="1:24">
      <c r="A14" s="1354"/>
      <c r="B14" s="1265" t="s">
        <v>729</v>
      </c>
      <c r="C14" s="446"/>
      <c r="D14" s="422"/>
      <c r="E14" s="422"/>
      <c r="F14" s="418"/>
      <c r="G14" s="423"/>
      <c r="H14" s="1264"/>
      <c r="I14" s="1361"/>
      <c r="J14" s="1264"/>
      <c r="K14" s="1362"/>
      <c r="L14" s="1264"/>
      <c r="M14" s="1362"/>
      <c r="N14" s="1264"/>
      <c r="O14" s="1362"/>
      <c r="P14" s="1264"/>
      <c r="Q14" s="1362"/>
      <c r="R14" s="1264"/>
      <c r="S14" s="1362"/>
    </row>
    <row r="15" spans="1:24">
      <c r="A15" s="1097"/>
      <c r="B15" s="1265" t="s">
        <v>731</v>
      </c>
      <c r="C15" s="446"/>
      <c r="D15" s="422"/>
      <c r="E15" s="422"/>
      <c r="F15" s="418"/>
      <c r="G15" s="423"/>
      <c r="H15" s="1264"/>
      <c r="I15" s="1361"/>
      <c r="J15" s="1264"/>
      <c r="K15" s="1361"/>
      <c r="L15" s="1264"/>
      <c r="M15" s="1361"/>
      <c r="N15" s="1264"/>
      <c r="O15" s="1361"/>
      <c r="P15" s="1264"/>
      <c r="Q15" s="1361"/>
      <c r="R15" s="1264"/>
      <c r="S15" s="1361"/>
    </row>
    <row r="16" spans="1:24">
      <c r="A16" s="1354"/>
      <c r="B16" s="1265" t="s">
        <v>732</v>
      </c>
      <c r="C16" s="446"/>
      <c r="D16" s="422"/>
      <c r="E16" s="422"/>
      <c r="F16" s="418"/>
      <c r="G16" s="423"/>
      <c r="H16" s="1264"/>
      <c r="I16" s="1361"/>
      <c r="J16" s="1264"/>
      <c r="K16" s="1362"/>
      <c r="L16" s="1264"/>
      <c r="M16" s="1362"/>
      <c r="N16" s="1264"/>
      <c r="O16" s="1362"/>
      <c r="P16" s="1264"/>
      <c r="Q16" s="1362"/>
      <c r="R16" s="1264"/>
      <c r="S16" s="1362"/>
    </row>
    <row r="17" spans="1:41">
      <c r="A17" s="1097"/>
      <c r="B17" s="1265" t="s">
        <v>733</v>
      </c>
      <c r="C17" s="446"/>
      <c r="D17" s="422"/>
      <c r="E17" s="422"/>
      <c r="F17" s="418"/>
      <c r="G17" s="423"/>
      <c r="H17" s="1264"/>
      <c r="I17" s="1361"/>
      <c r="J17" s="1264"/>
      <c r="K17" s="1362"/>
      <c r="L17" s="1264"/>
      <c r="M17" s="1362"/>
      <c r="N17" s="1264"/>
      <c r="O17" s="1362"/>
      <c r="P17" s="1264"/>
      <c r="Q17" s="1362"/>
      <c r="R17" s="1264"/>
      <c r="S17" s="1362"/>
    </row>
    <row r="18" spans="1:41">
      <c r="A18" s="1354"/>
      <c r="B18" s="1154" t="s">
        <v>736</v>
      </c>
      <c r="C18" s="446"/>
      <c r="D18" s="422"/>
      <c r="E18" s="422"/>
      <c r="F18" s="418"/>
      <c r="G18" s="423"/>
      <c r="H18" s="1264"/>
      <c r="I18" s="1361"/>
      <c r="J18" s="1264"/>
      <c r="K18" s="1362"/>
      <c r="L18" s="1264"/>
      <c r="M18" s="1362"/>
      <c r="N18" s="1264"/>
      <c r="O18" s="1362"/>
      <c r="P18" s="1264"/>
      <c r="Q18" s="1362"/>
      <c r="R18" s="1264"/>
      <c r="S18" s="1362"/>
    </row>
    <row r="19" spans="1:41">
      <c r="A19" s="1097"/>
      <c r="B19" s="1399" t="s">
        <v>737</v>
      </c>
      <c r="C19" s="447"/>
      <c r="D19" s="425"/>
      <c r="E19" s="425"/>
      <c r="F19" s="426"/>
      <c r="G19" s="427"/>
      <c r="H19" s="1156"/>
      <c r="I19" s="1367"/>
      <c r="J19" s="1156"/>
      <c r="K19" s="1368"/>
      <c r="L19" s="1156"/>
      <c r="M19" s="1368"/>
      <c r="N19" s="1156"/>
      <c r="O19" s="1368"/>
      <c r="P19" s="1156"/>
      <c r="Q19" s="1368"/>
      <c r="R19" s="1156"/>
      <c r="S19" s="1368"/>
    </row>
    <row r="20" spans="1:41">
      <c r="A20" s="1354"/>
      <c r="B20" s="1369"/>
      <c r="C20" s="70"/>
      <c r="D20" s="86"/>
      <c r="E20" s="86"/>
      <c r="F20" s="280"/>
      <c r="G20" s="274"/>
      <c r="H20" s="1264"/>
      <c r="I20" s="428"/>
      <c r="J20" s="1264"/>
      <c r="K20" s="428"/>
      <c r="L20" s="1264"/>
      <c r="M20" s="428"/>
      <c r="N20" s="1264"/>
      <c r="O20" s="428"/>
      <c r="P20" s="1264"/>
      <c r="Q20" s="428"/>
      <c r="R20" s="1264"/>
      <c r="S20" s="428"/>
    </row>
    <row r="21" spans="1:41" s="69" customFormat="1">
      <c r="A21" s="1097"/>
      <c r="B21" s="1105"/>
      <c r="C21" s="415"/>
      <c r="D21" s="422"/>
      <c r="E21" s="422"/>
      <c r="F21" s="429"/>
      <c r="G21" s="423"/>
      <c r="H21" s="1264"/>
      <c r="I21" s="1107"/>
      <c r="J21" s="1264"/>
      <c r="K21" s="1106"/>
      <c r="L21" s="1264"/>
      <c r="M21" s="1106"/>
      <c r="N21" s="1264"/>
      <c r="O21" s="1107"/>
      <c r="P21" s="1264"/>
      <c r="Q21" s="1107"/>
      <c r="R21" s="1264"/>
      <c r="S21" s="1106"/>
      <c r="T21"/>
      <c r="U21"/>
      <c r="V21"/>
      <c r="W21"/>
      <c r="X21"/>
      <c r="Y21"/>
      <c r="Z21"/>
      <c r="AA21"/>
      <c r="AB21"/>
      <c r="AC21"/>
      <c r="AD21"/>
      <c r="AE21"/>
      <c r="AF21"/>
      <c r="AG21"/>
      <c r="AH21"/>
      <c r="AI21"/>
      <c r="AJ21"/>
      <c r="AK21"/>
      <c r="AL21"/>
      <c r="AM21"/>
      <c r="AN21"/>
      <c r="AO21"/>
    </row>
    <row r="22" spans="1:41">
      <c r="A22" s="1354"/>
      <c r="B22" s="1159"/>
      <c r="C22" s="1396"/>
      <c r="D22" s="1400"/>
      <c r="E22" s="1357"/>
      <c r="F22" s="1401"/>
      <c r="G22" s="1402"/>
      <c r="H22" s="1264"/>
      <c r="I22" s="1362"/>
      <c r="J22" s="1264"/>
      <c r="K22" s="1362"/>
      <c r="L22" s="1264"/>
      <c r="M22" s="1362"/>
      <c r="N22" s="1264"/>
      <c r="O22" s="1362"/>
      <c r="P22" s="1264"/>
      <c r="Q22" s="1362"/>
      <c r="R22" s="1264"/>
      <c r="S22" s="1362"/>
    </row>
    <row r="23" spans="1:41">
      <c r="A23" s="1097"/>
      <c r="B23" s="1159"/>
      <c r="C23" s="415"/>
      <c r="D23" s="430"/>
      <c r="E23" s="422"/>
      <c r="F23" s="431"/>
      <c r="G23" s="1402"/>
      <c r="H23" s="1264"/>
      <c r="I23" s="1362"/>
      <c r="J23" s="1264"/>
      <c r="K23" s="1362"/>
      <c r="L23" s="1264"/>
      <c r="M23" s="1362"/>
      <c r="N23" s="1264"/>
      <c r="O23" s="1362"/>
      <c r="P23" s="1264"/>
      <c r="Q23" s="1362"/>
      <c r="R23" s="1264"/>
      <c r="S23" s="1362"/>
    </row>
    <row r="24" spans="1:41">
      <c r="A24" s="1354"/>
      <c r="B24" s="1159"/>
      <c r="C24" s="415"/>
      <c r="D24" s="430"/>
      <c r="E24" s="422"/>
      <c r="F24" s="431"/>
      <c r="G24" s="1402"/>
      <c r="H24" s="1264"/>
      <c r="I24" s="1362"/>
      <c r="J24" s="1264"/>
      <c r="K24" s="1362"/>
      <c r="L24" s="1264"/>
      <c r="M24" s="1362"/>
      <c r="N24" s="1264"/>
      <c r="O24" s="1362"/>
      <c r="P24" s="1264"/>
      <c r="Q24" s="1362"/>
      <c r="R24" s="1264"/>
      <c r="S24" s="1362"/>
    </row>
    <row r="25" spans="1:41">
      <c r="A25" s="1097"/>
      <c r="B25" s="1159"/>
      <c r="C25" s="415"/>
      <c r="D25" s="430"/>
      <c r="E25" s="422"/>
      <c r="F25" s="431"/>
      <c r="G25" s="1402"/>
      <c r="H25" s="1264"/>
      <c r="I25" s="1362"/>
      <c r="J25" s="1264"/>
      <c r="K25" s="1362"/>
      <c r="L25" s="1264"/>
      <c r="M25" s="1362"/>
      <c r="N25" s="1264"/>
      <c r="O25" s="1362"/>
      <c r="P25" s="1264"/>
      <c r="Q25" s="1362"/>
      <c r="R25" s="1264"/>
      <c r="S25" s="1362"/>
    </row>
    <row r="26" spans="1:41">
      <c r="A26" s="1354"/>
      <c r="B26" s="1159"/>
      <c r="C26" s="415"/>
      <c r="D26" s="430"/>
      <c r="E26" s="422"/>
      <c r="F26" s="431"/>
      <c r="G26" s="1402"/>
      <c r="H26" s="1264"/>
      <c r="I26" s="1362"/>
      <c r="J26" s="1264"/>
      <c r="K26" s="1362"/>
      <c r="L26" s="1264"/>
      <c r="M26" s="1362"/>
      <c r="N26" s="1264"/>
      <c r="O26" s="1362"/>
      <c r="P26" s="1264"/>
      <c r="Q26" s="1362"/>
      <c r="R26" s="1264"/>
      <c r="S26" s="1362"/>
    </row>
    <row r="27" spans="1:41">
      <c r="A27" s="1097"/>
      <c r="B27" s="1159"/>
      <c r="C27" s="415"/>
      <c r="D27" s="430"/>
      <c r="E27" s="422"/>
      <c r="F27" s="431"/>
      <c r="G27" s="1402"/>
      <c r="H27" s="1264"/>
      <c r="I27" s="1362"/>
      <c r="J27" s="1264"/>
      <c r="K27" s="1362"/>
      <c r="L27" s="1264"/>
      <c r="M27" s="1362"/>
      <c r="N27" s="1264"/>
      <c r="O27" s="1362"/>
      <c r="P27" s="1264"/>
      <c r="Q27" s="1362"/>
      <c r="R27" s="1264"/>
      <c r="S27" s="1362"/>
    </row>
    <row r="28" spans="1:41">
      <c r="A28" s="1354"/>
      <c r="B28" s="1159"/>
      <c r="C28" s="415"/>
      <c r="D28" s="430"/>
      <c r="E28" s="422"/>
      <c r="F28" s="431"/>
      <c r="G28" s="1402"/>
      <c r="H28" s="1264"/>
      <c r="I28" s="1362"/>
      <c r="J28" s="1264"/>
      <c r="K28" s="1362"/>
      <c r="L28" s="1264"/>
      <c r="M28" s="1362"/>
      <c r="N28" s="1264"/>
      <c r="O28" s="1362"/>
      <c r="P28" s="1264"/>
      <c r="Q28" s="1362"/>
      <c r="R28" s="1264"/>
      <c r="S28" s="1362"/>
    </row>
    <row r="29" spans="1:41">
      <c r="A29" s="1097"/>
      <c r="B29" s="1159"/>
      <c r="C29" s="415"/>
      <c r="D29" s="430"/>
      <c r="E29" s="422"/>
      <c r="F29" s="431"/>
      <c r="G29" s="1402"/>
      <c r="H29" s="1264"/>
      <c r="I29" s="1362"/>
      <c r="J29" s="1264"/>
      <c r="K29" s="1362"/>
      <c r="L29" s="1264"/>
      <c r="M29" s="1362"/>
      <c r="N29" s="1264"/>
      <c r="O29" s="1362"/>
      <c r="P29" s="1264"/>
      <c r="Q29" s="1362"/>
      <c r="R29" s="1264"/>
      <c r="S29" s="1362"/>
    </row>
    <row r="30" spans="1:41">
      <c r="A30" s="1354"/>
      <c r="B30" s="1159"/>
      <c r="C30" s="415"/>
      <c r="D30" s="430"/>
      <c r="E30" s="422"/>
      <c r="F30" s="431"/>
      <c r="G30" s="1402"/>
      <c r="H30" s="1264"/>
      <c r="I30" s="1362"/>
      <c r="J30" s="1264"/>
      <c r="K30" s="1362"/>
      <c r="L30" s="1264"/>
      <c r="M30" s="1362"/>
      <c r="N30" s="1264"/>
      <c r="O30" s="1362"/>
      <c r="P30" s="1264"/>
      <c r="Q30" s="1362"/>
      <c r="R30" s="1264"/>
      <c r="S30" s="1362"/>
    </row>
    <row r="31" spans="1:41">
      <c r="A31" s="1097"/>
      <c r="B31" s="1159"/>
      <c r="C31" s="415"/>
      <c r="D31" s="430"/>
      <c r="E31" s="422"/>
      <c r="F31" s="431"/>
      <c r="G31" s="1402"/>
      <c r="H31" s="1264"/>
      <c r="I31" s="1362"/>
      <c r="J31" s="1264"/>
      <c r="K31" s="1362"/>
      <c r="L31" s="1264"/>
      <c r="M31" s="1362"/>
      <c r="N31" s="1264"/>
      <c r="O31" s="1362"/>
      <c r="P31" s="1264"/>
      <c r="Q31" s="1362"/>
      <c r="R31" s="1264"/>
      <c r="S31" s="1362"/>
    </row>
    <row r="32" spans="1:41">
      <c r="A32" s="1354"/>
      <c r="B32" s="1163"/>
      <c r="C32" s="23"/>
      <c r="D32" s="430"/>
      <c r="E32" s="422"/>
      <c r="F32" s="431"/>
      <c r="G32" s="1402"/>
      <c r="H32" s="1264"/>
      <c r="I32" s="1362"/>
      <c r="J32" s="1264"/>
      <c r="K32" s="1362"/>
      <c r="L32" s="1264"/>
      <c r="M32" s="1362"/>
      <c r="N32" s="1264"/>
      <c r="O32" s="1362"/>
      <c r="P32" s="1264"/>
      <c r="Q32" s="1362"/>
      <c r="R32" s="1264"/>
      <c r="S32" s="1362"/>
    </row>
    <row r="33" spans="1:19">
      <c r="A33" s="1097"/>
      <c r="B33" s="1163"/>
      <c r="C33" s="23"/>
      <c r="D33" s="87"/>
      <c r="E33" s="86"/>
      <c r="F33" s="431"/>
      <c r="G33" s="1402"/>
      <c r="H33" s="1264"/>
      <c r="I33" s="1362"/>
      <c r="J33" s="1264"/>
      <c r="K33" s="1362"/>
      <c r="L33" s="1264"/>
      <c r="M33" s="1362"/>
      <c r="N33" s="1264"/>
      <c r="O33" s="1362"/>
      <c r="P33" s="1264"/>
      <c r="Q33" s="1362"/>
      <c r="R33" s="1264"/>
      <c r="S33" s="1362"/>
    </row>
    <row r="34" spans="1:19">
      <c r="A34" s="1354"/>
      <c r="B34" s="1163"/>
      <c r="C34" s="23"/>
      <c r="D34" s="87"/>
      <c r="E34" s="86"/>
      <c r="F34" s="431"/>
      <c r="G34" s="1402"/>
      <c r="H34" s="1264"/>
      <c r="I34" s="1362"/>
      <c r="J34" s="1264"/>
      <c r="K34" s="1362"/>
      <c r="L34" s="1264"/>
      <c r="M34" s="1362"/>
      <c r="N34" s="1264"/>
      <c r="O34" s="1362"/>
      <c r="P34" s="1264"/>
      <c r="Q34" s="1362"/>
      <c r="R34" s="1264"/>
      <c r="S34" s="1362"/>
    </row>
    <row r="35" spans="1:19">
      <c r="A35" s="1354"/>
      <c r="B35" s="1163"/>
      <c r="C35" s="23"/>
      <c r="D35" s="87"/>
      <c r="E35" s="86"/>
      <c r="F35" s="431"/>
      <c r="G35" s="1402"/>
      <c r="H35" s="1264"/>
      <c r="I35" s="1362"/>
      <c r="J35" s="1264"/>
      <c r="K35" s="1362"/>
      <c r="L35" s="1264"/>
      <c r="M35" s="1362"/>
      <c r="N35" s="1264"/>
      <c r="O35" s="1362"/>
      <c r="P35" s="1264"/>
      <c r="Q35" s="1362"/>
      <c r="R35" s="1264"/>
      <c r="S35" s="1362"/>
    </row>
    <row r="36" spans="1:19">
      <c r="A36" s="1354"/>
      <c r="B36" s="1163"/>
      <c r="C36" s="23"/>
      <c r="D36" s="87"/>
      <c r="E36" s="86"/>
      <c r="F36" s="431"/>
      <c r="G36" s="1402"/>
      <c r="H36" s="1264"/>
      <c r="I36" s="1362"/>
      <c r="J36" s="1264"/>
      <c r="K36" s="1362"/>
      <c r="L36" s="1264"/>
      <c r="M36" s="1362"/>
      <c r="N36" s="1264"/>
      <c r="O36" s="1362"/>
      <c r="P36" s="1264"/>
      <c r="Q36" s="1362"/>
      <c r="R36" s="1264"/>
      <c r="S36" s="1362"/>
    </row>
    <row r="37" spans="1:19">
      <c r="A37" s="1354"/>
      <c r="B37" s="1163"/>
      <c r="C37" s="23"/>
      <c r="D37" s="87"/>
      <c r="E37" s="86"/>
      <c r="F37" s="431"/>
      <c r="G37" s="1402"/>
      <c r="H37" s="1264"/>
      <c r="I37" s="1362"/>
      <c r="J37" s="1264"/>
      <c r="K37" s="1362"/>
      <c r="L37" s="1264"/>
      <c r="M37" s="1362"/>
      <c r="N37" s="1264"/>
      <c r="O37" s="1362"/>
      <c r="P37" s="1264"/>
      <c r="Q37" s="1362"/>
      <c r="R37" s="1264"/>
      <c r="S37" s="1362"/>
    </row>
    <row r="38" spans="1:19">
      <c r="A38" s="1354"/>
      <c r="B38" s="1163"/>
      <c r="C38" s="23"/>
      <c r="D38" s="87"/>
      <c r="E38" s="86"/>
      <c r="F38" s="431"/>
      <c r="G38" s="1402"/>
      <c r="H38" s="1264"/>
      <c r="I38" s="1362"/>
      <c r="J38" s="1264"/>
      <c r="K38" s="1362"/>
      <c r="L38" s="1264"/>
      <c r="M38" s="1362"/>
      <c r="N38" s="1264"/>
      <c r="O38" s="1362"/>
      <c r="P38" s="1264"/>
      <c r="Q38" s="1362"/>
      <c r="R38" s="1264"/>
      <c r="S38" s="1362"/>
    </row>
    <row r="39" spans="1:19">
      <c r="A39" s="1354"/>
      <c r="B39" s="1163"/>
      <c r="C39" s="23"/>
      <c r="D39" s="87"/>
      <c r="E39" s="86"/>
      <c r="F39" s="431"/>
      <c r="G39" s="1402"/>
      <c r="H39" s="1264"/>
      <c r="I39" s="1362"/>
      <c r="J39" s="1264"/>
      <c r="K39" s="1362"/>
      <c r="L39" s="1264"/>
      <c r="M39" s="1362"/>
      <c r="N39" s="1264"/>
      <c r="O39" s="1362"/>
      <c r="P39" s="1264"/>
      <c r="Q39" s="1362"/>
      <c r="R39" s="1264"/>
      <c r="S39" s="1362"/>
    </row>
    <row r="40" spans="1:19">
      <c r="A40" s="1354"/>
      <c r="B40" s="1163"/>
      <c r="C40" s="23"/>
      <c r="D40" s="87"/>
      <c r="E40" s="86"/>
      <c r="F40" s="431"/>
      <c r="G40" s="1402"/>
      <c r="H40" s="1264"/>
      <c r="I40" s="1362"/>
      <c r="J40" s="1264"/>
      <c r="K40" s="1362"/>
      <c r="L40" s="1264"/>
      <c r="M40" s="1362"/>
      <c r="N40" s="1264"/>
      <c r="O40" s="1362"/>
      <c r="P40" s="1264"/>
      <c r="Q40" s="1362"/>
      <c r="R40" s="1264"/>
      <c r="S40" s="1362"/>
    </row>
    <row r="41" spans="1:19">
      <c r="A41" s="1354"/>
      <c r="B41" s="1163"/>
      <c r="C41" s="23"/>
      <c r="D41" s="87"/>
      <c r="E41" s="86"/>
      <c r="F41" s="431"/>
      <c r="G41" s="1402"/>
      <c r="H41" s="1264"/>
      <c r="I41" s="1362"/>
      <c r="J41" s="1264"/>
      <c r="K41" s="1362"/>
      <c r="L41" s="1264"/>
      <c r="M41" s="1362"/>
      <c r="N41" s="1264"/>
      <c r="O41" s="1362"/>
      <c r="P41" s="1264"/>
      <c r="Q41" s="1362"/>
      <c r="R41" s="1264"/>
      <c r="S41" s="1362"/>
    </row>
    <row r="42" spans="1:19">
      <c r="A42" s="1354"/>
      <c r="B42" s="1163"/>
      <c r="C42" s="23"/>
      <c r="D42" s="87"/>
      <c r="E42" s="86"/>
      <c r="F42" s="431"/>
      <c r="G42" s="1402"/>
      <c r="H42" s="1264"/>
      <c r="I42" s="1362"/>
      <c r="J42" s="1264"/>
      <c r="K42" s="1362"/>
      <c r="L42" s="1264"/>
      <c r="M42" s="1362"/>
      <c r="N42" s="1264"/>
      <c r="O42" s="1362"/>
      <c r="P42" s="1264"/>
      <c r="Q42" s="1362"/>
      <c r="R42" s="1264"/>
      <c r="S42" s="1362"/>
    </row>
    <row r="43" spans="1:19">
      <c r="A43" s="1354"/>
      <c r="B43" s="1163"/>
      <c r="C43" s="23"/>
      <c r="D43" s="87"/>
      <c r="E43" s="86"/>
      <c r="F43" s="431"/>
      <c r="G43" s="1402"/>
      <c r="H43" s="1264"/>
      <c r="I43" s="1362"/>
      <c r="J43" s="1264"/>
      <c r="K43" s="1362"/>
      <c r="L43" s="1264"/>
      <c r="M43" s="1362"/>
      <c r="N43" s="1264"/>
      <c r="O43" s="1362"/>
      <c r="P43" s="1264"/>
      <c r="Q43" s="1362"/>
      <c r="R43" s="1264"/>
      <c r="S43" s="1362"/>
    </row>
    <row r="44" spans="1:19">
      <c r="A44" s="1354"/>
      <c r="B44" s="1163"/>
      <c r="C44" s="23"/>
      <c r="D44" s="87"/>
      <c r="E44" s="86"/>
      <c r="F44" s="431"/>
      <c r="G44" s="1402"/>
      <c r="H44" s="1264"/>
      <c r="I44" s="1362"/>
      <c r="J44" s="1264"/>
      <c r="K44" s="1362"/>
      <c r="L44" s="1264"/>
      <c r="M44" s="1362"/>
      <c r="N44" s="1264"/>
      <c r="O44" s="1362"/>
      <c r="P44" s="1264"/>
      <c r="Q44" s="1362"/>
      <c r="R44" s="1264"/>
      <c r="S44" s="1362"/>
    </row>
    <row r="45" spans="1:19">
      <c r="A45" s="1354"/>
      <c r="B45" s="1163"/>
      <c r="C45" s="23"/>
      <c r="D45" s="87"/>
      <c r="E45" s="86"/>
      <c r="F45" s="431"/>
      <c r="G45" s="1402"/>
      <c r="H45" s="1264"/>
      <c r="I45" s="1362"/>
      <c r="J45" s="1264"/>
      <c r="K45" s="1362"/>
      <c r="L45" s="1264"/>
      <c r="M45" s="1362"/>
      <c r="N45" s="1264"/>
      <c r="O45" s="1362"/>
      <c r="P45" s="1264"/>
      <c r="Q45" s="1362"/>
      <c r="R45" s="1264"/>
      <c r="S45" s="1362"/>
    </row>
    <row r="46" spans="1:19">
      <c r="A46" s="1354"/>
      <c r="B46" s="1163"/>
      <c r="C46" s="23"/>
      <c r="D46" s="87"/>
      <c r="E46" s="86"/>
      <c r="F46" s="431"/>
      <c r="G46" s="1402"/>
      <c r="H46" s="1264"/>
      <c r="I46" s="1362"/>
      <c r="J46" s="1264"/>
      <c r="K46" s="1362"/>
      <c r="L46" s="1264"/>
      <c r="M46" s="1362"/>
      <c r="N46" s="1264"/>
      <c r="O46" s="1362"/>
      <c r="P46" s="1264"/>
      <c r="Q46" s="1362"/>
      <c r="R46" s="1264"/>
      <c r="S46" s="1362"/>
    </row>
    <row r="47" spans="1:19">
      <c r="A47" s="1354"/>
      <c r="B47" s="1163"/>
      <c r="C47" s="23"/>
      <c r="D47" s="87"/>
      <c r="E47" s="86"/>
      <c r="F47" s="431"/>
      <c r="G47" s="1402"/>
      <c r="H47" s="1264"/>
      <c r="I47" s="1362"/>
      <c r="J47" s="1264"/>
      <c r="K47" s="1362"/>
      <c r="L47" s="1264"/>
      <c r="M47" s="1362"/>
      <c r="N47" s="1264"/>
      <c r="O47" s="1362"/>
      <c r="P47" s="1264"/>
      <c r="Q47" s="1362"/>
      <c r="R47" s="1264"/>
      <c r="S47" s="1362"/>
    </row>
    <row r="48" spans="1:19">
      <c r="A48" s="1354"/>
      <c r="B48" s="1163"/>
      <c r="C48" s="23"/>
      <c r="D48" s="87"/>
      <c r="E48" s="86"/>
      <c r="F48" s="431"/>
      <c r="G48" s="1402"/>
      <c r="H48" s="1264"/>
      <c r="I48" s="1362"/>
      <c r="J48" s="1264"/>
      <c r="K48" s="1362"/>
      <c r="L48" s="1264"/>
      <c r="M48" s="1362"/>
      <c r="N48" s="1264"/>
      <c r="O48" s="1362"/>
      <c r="P48" s="1264"/>
      <c r="Q48" s="1362"/>
      <c r="R48" s="1264"/>
      <c r="S48" s="1362"/>
    </row>
    <row r="49" spans="1:34">
      <c r="A49" s="1354"/>
      <c r="B49" s="1163"/>
      <c r="C49" s="23"/>
      <c r="D49" s="87"/>
      <c r="E49" s="86"/>
      <c r="F49" s="431"/>
      <c r="G49" s="830"/>
      <c r="H49" s="1264"/>
      <c r="I49" s="1362"/>
      <c r="J49" s="1264"/>
      <c r="K49" s="1362"/>
      <c r="L49" s="1264"/>
      <c r="M49" s="1362"/>
      <c r="N49" s="1264"/>
      <c r="O49" s="1362"/>
      <c r="P49" s="1264"/>
      <c r="Q49" s="1362"/>
      <c r="R49" s="1264"/>
      <c r="S49" s="1362"/>
    </row>
    <row r="50" spans="1:34" ht="15.75" thickBot="1">
      <c r="A50" s="1354"/>
      <c r="B50" s="1163"/>
      <c r="C50" s="23"/>
      <c r="D50" s="87"/>
      <c r="E50" s="86"/>
      <c r="F50" s="431"/>
      <c r="G50" s="830"/>
      <c r="H50" s="1264"/>
      <c r="I50" s="1362"/>
      <c r="J50" s="1264"/>
      <c r="K50" s="1362"/>
      <c r="L50" s="1264"/>
      <c r="M50" s="1362"/>
      <c r="N50" s="1264"/>
      <c r="O50" s="1362"/>
      <c r="P50" s="1264"/>
      <c r="Q50" s="1362"/>
      <c r="R50" s="1264"/>
      <c r="S50" s="1362"/>
    </row>
    <row r="51" spans="1:34" ht="15.75" thickTop="1">
      <c r="A51" s="296"/>
      <c r="B51" s="301"/>
      <c r="C51" s="297"/>
      <c r="D51" s="15"/>
      <c r="E51" s="16"/>
      <c r="F51" s="282" t="s">
        <v>753</v>
      </c>
      <c r="G51" s="272"/>
      <c r="H51" s="273"/>
      <c r="I51" s="273">
        <f>SUM(I12:I50)</f>
        <v>0</v>
      </c>
      <c r="J51" s="273"/>
      <c r="K51" s="273">
        <f>SUM(K12:K50)</f>
        <v>0</v>
      </c>
      <c r="L51" s="273"/>
      <c r="M51" s="273">
        <f>SUM(M12:M50)</f>
        <v>0</v>
      </c>
      <c r="N51" s="273"/>
      <c r="O51" s="273">
        <f>SUM(O12:O50)</f>
        <v>0</v>
      </c>
      <c r="P51" s="273"/>
      <c r="Q51" s="273">
        <f>SUM(Q12:Q50)</f>
        <v>0</v>
      </c>
      <c r="R51" s="273"/>
      <c r="S51" s="273">
        <f>SUM(S13:S50)</f>
        <v>0</v>
      </c>
    </row>
    <row r="52" spans="1:34">
      <c r="A52" s="1114"/>
      <c r="B52" s="1164"/>
      <c r="C52" s="432"/>
      <c r="D52" s="433"/>
      <c r="E52" s="434"/>
      <c r="F52" s="435" t="s">
        <v>754</v>
      </c>
      <c r="G52" s="436"/>
      <c r="H52" s="1165">
        <v>0</v>
      </c>
      <c r="I52" s="1166"/>
      <c r="J52" s="1165">
        <v>0</v>
      </c>
      <c r="K52" s="1166"/>
      <c r="L52" s="1165">
        <v>0</v>
      </c>
      <c r="M52" s="1166"/>
      <c r="N52" s="1165">
        <v>0</v>
      </c>
      <c r="O52" s="1166"/>
      <c r="P52" s="1165">
        <v>0</v>
      </c>
      <c r="Q52" s="1166"/>
      <c r="R52" s="1165">
        <v>0</v>
      </c>
      <c r="S52" s="1166"/>
    </row>
    <row r="53" spans="1:34">
      <c r="A53" s="1114"/>
      <c r="B53" s="1164"/>
      <c r="C53" s="432"/>
      <c r="D53" s="433"/>
      <c r="E53" s="434"/>
      <c r="F53" s="435" t="s">
        <v>755</v>
      </c>
      <c r="G53" s="436"/>
      <c r="H53" s="1166"/>
      <c r="I53" s="1166">
        <f>H52*I51</f>
        <v>0</v>
      </c>
      <c r="J53" s="1166"/>
      <c r="K53" s="1166">
        <f>J52*K51</f>
        <v>0</v>
      </c>
      <c r="L53" s="1166"/>
      <c r="M53" s="1166">
        <f>L52*M51</f>
        <v>0</v>
      </c>
      <c r="N53" s="1166"/>
      <c r="O53" s="1166">
        <f>N52*O51</f>
        <v>0</v>
      </c>
      <c r="P53" s="1166"/>
      <c r="Q53" s="1166">
        <f>P52*Q51</f>
        <v>0</v>
      </c>
      <c r="R53" s="1166"/>
      <c r="S53" s="1166">
        <f>R52*S51</f>
        <v>0</v>
      </c>
    </row>
    <row r="54" spans="1:34">
      <c r="A54" s="1114"/>
      <c r="B54" s="1164"/>
      <c r="C54" s="432"/>
      <c r="D54" s="433"/>
      <c r="E54" s="434"/>
      <c r="F54" s="435"/>
      <c r="G54" s="436"/>
      <c r="H54" s="1166"/>
      <c r="I54" s="1166"/>
      <c r="J54" s="1166"/>
      <c r="K54" s="1166"/>
      <c r="L54" s="1166"/>
      <c r="M54" s="1166"/>
      <c r="N54" s="1166"/>
      <c r="O54" s="1166"/>
      <c r="P54" s="1166"/>
      <c r="Q54" s="1166"/>
      <c r="R54" s="1166"/>
      <c r="S54" s="1166"/>
    </row>
    <row r="55" spans="1:34">
      <c r="A55" s="1114"/>
      <c r="B55" s="1164"/>
      <c r="C55" s="432"/>
      <c r="D55" s="433"/>
      <c r="E55" s="434"/>
      <c r="F55" s="435" t="s">
        <v>756</v>
      </c>
      <c r="G55" s="436"/>
      <c r="H55" s="1166"/>
      <c r="I55" s="1166">
        <f>SUM(I51:I54)</f>
        <v>0</v>
      </c>
      <c r="J55" s="1166"/>
      <c r="K55" s="1166">
        <f>SUM(K51:K54)</f>
        <v>0</v>
      </c>
      <c r="L55" s="1166"/>
      <c r="M55" s="1166">
        <f>SUM(M51:M54)</f>
        <v>0</v>
      </c>
      <c r="N55" s="1166"/>
      <c r="O55" s="1166">
        <f>SUM(O51:O54)</f>
        <v>0</v>
      </c>
      <c r="P55" s="1166"/>
      <c r="Q55" s="1166">
        <f>SUM(Q51:Q54)</f>
        <v>0</v>
      </c>
      <c r="R55" s="1166"/>
      <c r="S55" s="1166">
        <f>SUM(S51:S54)</f>
        <v>0</v>
      </c>
    </row>
    <row r="56" spans="1:34">
      <c r="A56" s="1114"/>
      <c r="B56" s="1164"/>
      <c r="C56" s="432"/>
      <c r="D56" s="433"/>
      <c r="E56" s="434"/>
      <c r="F56" s="437" t="s">
        <v>757</v>
      </c>
      <c r="G56" s="438"/>
      <c r="H56" s="1167"/>
      <c r="I56" s="1167">
        <f>I55/'Area Calculations'!$G$4</f>
        <v>0</v>
      </c>
      <c r="J56" s="1167"/>
      <c r="K56" s="1167">
        <f>K55/'Area Calculations'!$G$4</f>
        <v>0</v>
      </c>
      <c r="L56" s="1167"/>
      <c r="M56" s="1167">
        <f>M55/'Area Calculations'!$G$4</f>
        <v>0</v>
      </c>
      <c r="N56" s="1167"/>
      <c r="O56" s="1167">
        <f>O55/'Area Calculations'!$G$4</f>
        <v>0</v>
      </c>
      <c r="P56" s="1167"/>
      <c r="Q56" s="1167">
        <f>Q55/'Area Calculations'!$G$4</f>
        <v>0</v>
      </c>
      <c r="R56" s="1167"/>
      <c r="S56" s="1167">
        <f>S55/'Area Calculations'!$G$4</f>
        <v>0</v>
      </c>
    </row>
    <row r="57" spans="1:34">
      <c r="A57" s="1114"/>
      <c r="B57" s="1164"/>
      <c r="C57" s="432"/>
      <c r="D57" s="433"/>
      <c r="E57" s="434"/>
      <c r="F57" s="437" t="s">
        <v>758</v>
      </c>
      <c r="G57" s="438"/>
      <c r="H57" s="1167"/>
      <c r="I57" s="1167">
        <f>I55/'Area Calculations'!$G$9</f>
        <v>0</v>
      </c>
      <c r="J57" s="1167"/>
      <c r="K57" s="1167">
        <f>K55/'Area Calculations'!$G$9</f>
        <v>0</v>
      </c>
      <c r="L57" s="1167"/>
      <c r="M57" s="1167">
        <f>M55/'Area Calculations'!$G$9</f>
        <v>0</v>
      </c>
      <c r="N57" s="1167"/>
      <c r="O57" s="1167">
        <f>O55/'Area Calculations'!$G$9</f>
        <v>0</v>
      </c>
      <c r="P57" s="1167"/>
      <c r="Q57" s="1167">
        <f>Q55/'Area Calculations'!$G$9</f>
        <v>0</v>
      </c>
      <c r="R57" s="1167"/>
      <c r="S57" s="1167">
        <f>S55/'Area Calculations'!$G$9</f>
        <v>0</v>
      </c>
    </row>
    <row r="58" spans="1:34" ht="15.75" thickBot="1">
      <c r="A58" s="1114"/>
      <c r="B58" s="1164"/>
      <c r="C58" s="432"/>
      <c r="D58" s="433"/>
      <c r="E58" s="434"/>
      <c r="F58" s="439"/>
      <c r="G58" s="436"/>
      <c r="H58" s="1168"/>
      <c r="I58" s="1168"/>
      <c r="J58" s="1168"/>
      <c r="K58" s="1168"/>
      <c r="L58" s="1168"/>
      <c r="M58" s="1168"/>
      <c r="N58" s="1168"/>
      <c r="O58" s="1168"/>
      <c r="P58" s="1168"/>
      <c r="Q58" s="1168"/>
      <c r="R58" s="1168"/>
      <c r="S58" s="1168"/>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1403"/>
      <c r="B60" s="1105"/>
      <c r="C60" s="1396"/>
      <c r="D60" s="1357"/>
      <c r="E60" s="1357"/>
      <c r="F60" s="1357"/>
      <c r="G60" s="1404"/>
      <c r="H60" s="1405"/>
      <c r="I60" s="1406"/>
      <c r="J60" s="1406"/>
      <c r="K60" s="1406"/>
      <c r="L60" s="1406"/>
      <c r="M60" s="1406"/>
      <c r="N60" s="1406"/>
      <c r="O60" s="1406"/>
      <c r="P60" s="1406"/>
      <c r="Q60" s="1406"/>
      <c r="R60" s="1406"/>
      <c r="S60" s="1406"/>
    </row>
    <row r="61" spans="1:34">
      <c r="A61" s="1403"/>
      <c r="B61" s="1105"/>
      <c r="C61" s="1396"/>
      <c r="D61" s="1357"/>
      <c r="E61" s="1357"/>
      <c r="F61" s="1357"/>
      <c r="G61" s="1404"/>
      <c r="H61" s="1405"/>
      <c r="I61" s="1406"/>
      <c r="J61" s="1406"/>
      <c r="K61" s="1406"/>
      <c r="L61" s="1406"/>
      <c r="M61" s="1406"/>
      <c r="N61" s="1406"/>
      <c r="O61" s="1406"/>
      <c r="P61" s="1406"/>
      <c r="Q61" s="1406"/>
      <c r="R61" s="1406"/>
      <c r="S61" s="1406"/>
    </row>
    <row r="62" spans="1:34" ht="15.75" thickBot="1">
      <c r="A62" s="1403"/>
      <c r="B62" s="1105"/>
      <c r="C62" s="1396"/>
      <c r="D62" s="1357"/>
      <c r="E62" s="1357"/>
      <c r="F62" s="1357"/>
      <c r="G62" s="1404"/>
      <c r="H62" s="1405"/>
      <c r="I62" s="1406"/>
      <c r="J62" s="1406"/>
      <c r="K62" s="1406"/>
      <c r="L62" s="1406"/>
      <c r="M62" s="1406"/>
      <c r="N62" s="1406"/>
      <c r="O62" s="1406"/>
      <c r="P62" s="1406"/>
      <c r="Q62" s="1406"/>
      <c r="R62" s="1406"/>
      <c r="S62" s="1406"/>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1403"/>
      <c r="B64" s="1105"/>
      <c r="C64" s="1396"/>
      <c r="D64" s="1357"/>
      <c r="E64" s="1357"/>
      <c r="F64" s="1357"/>
      <c r="G64" s="1404"/>
      <c r="H64" s="1405"/>
      <c r="I64" s="1406"/>
      <c r="J64" s="1406"/>
      <c r="K64" s="1406"/>
      <c r="L64" s="1406"/>
      <c r="M64" s="1406"/>
      <c r="N64" s="1406"/>
      <c r="O64" s="1406"/>
      <c r="P64" s="1406"/>
      <c r="Q64" s="1406"/>
      <c r="R64" s="1406"/>
      <c r="S64" s="1406"/>
      <c r="T64"/>
      <c r="U64"/>
      <c r="V64"/>
      <c r="W64"/>
      <c r="X64"/>
      <c r="Y64"/>
      <c r="Z64"/>
      <c r="AA64"/>
      <c r="AB64"/>
      <c r="AC64"/>
      <c r="AD64"/>
      <c r="AE64"/>
      <c r="AF64"/>
      <c r="AG64"/>
      <c r="AH64"/>
    </row>
    <row r="65" spans="1:34" s="2" customFormat="1">
      <c r="A65" s="1403"/>
      <c r="B65" s="1105"/>
      <c r="C65" s="1396"/>
      <c r="D65" s="1357"/>
      <c r="E65" s="1357"/>
      <c r="F65" s="1357"/>
      <c r="G65" s="1404"/>
      <c r="H65" s="1405"/>
      <c r="I65" s="1406"/>
      <c r="J65" s="1406"/>
      <c r="K65" s="1406"/>
      <c r="L65" s="1406"/>
      <c r="M65" s="1406"/>
      <c r="N65" s="1406"/>
      <c r="O65" s="1406"/>
      <c r="P65" s="1406"/>
      <c r="Q65" s="1406"/>
      <c r="R65" s="1406"/>
      <c r="S65" s="1406"/>
      <c r="T65"/>
      <c r="U65"/>
      <c r="V65"/>
      <c r="W65"/>
      <c r="X65"/>
      <c r="Y65"/>
      <c r="Z65"/>
      <c r="AA65"/>
      <c r="AB65"/>
      <c r="AC65"/>
      <c r="AD65"/>
      <c r="AE65"/>
      <c r="AF65"/>
      <c r="AG65"/>
      <c r="AH65"/>
    </row>
    <row r="66" spans="1:34" ht="15.75" thickBot="1">
      <c r="A66" s="1403"/>
      <c r="B66" s="1105"/>
      <c r="C66" s="1396"/>
      <c r="D66" s="1357"/>
      <c r="E66" s="1357"/>
      <c r="F66" s="1357"/>
      <c r="G66" s="1404"/>
      <c r="H66" s="1405"/>
      <c r="I66" s="1406"/>
      <c r="J66" s="1406"/>
      <c r="K66" s="1406"/>
      <c r="L66" s="1406"/>
      <c r="M66" s="1406"/>
      <c r="N66" s="1406"/>
      <c r="O66" s="1406"/>
      <c r="P66" s="1406"/>
      <c r="Q66" s="1406"/>
      <c r="R66" s="1406"/>
      <c r="S66" s="1406"/>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1403"/>
      <c r="B68" s="1105"/>
      <c r="C68" s="1396"/>
      <c r="D68" s="1357"/>
      <c r="E68" s="1357"/>
      <c r="F68" s="1357"/>
      <c r="G68" s="1404"/>
      <c r="H68" s="1405"/>
      <c r="I68" s="1406"/>
      <c r="J68" s="1406"/>
      <c r="K68" s="1406"/>
      <c r="L68" s="1406"/>
      <c r="M68" s="1406"/>
      <c r="N68" s="1406"/>
      <c r="O68" s="1406"/>
      <c r="P68" s="1406"/>
      <c r="Q68" s="1406"/>
      <c r="R68" s="1406"/>
      <c r="S68" s="1406"/>
      <c r="T68"/>
      <c r="U68"/>
      <c r="V68"/>
      <c r="W68"/>
      <c r="X68"/>
      <c r="Y68"/>
      <c r="Z68"/>
      <c r="AA68"/>
      <c r="AB68"/>
      <c r="AC68"/>
      <c r="AD68"/>
      <c r="AE68"/>
      <c r="AF68"/>
      <c r="AG68"/>
      <c r="AH68"/>
    </row>
    <row r="69" spans="1:34" s="2" customFormat="1">
      <c r="A69" s="1124"/>
      <c r="B69" s="1105"/>
      <c r="C69" s="415"/>
      <c r="D69" s="422"/>
      <c r="E69" s="422"/>
      <c r="F69" s="422"/>
      <c r="G69" s="831"/>
      <c r="H69" s="440"/>
      <c r="I69" s="1173"/>
      <c r="J69" s="1173"/>
      <c r="K69" s="1173"/>
      <c r="L69" s="1173"/>
      <c r="M69" s="1173"/>
      <c r="N69" s="1173"/>
      <c r="O69" s="1173"/>
      <c r="P69" s="1173"/>
      <c r="Q69" s="1173"/>
      <c r="R69" s="1173"/>
      <c r="S69" s="1173"/>
      <c r="T69"/>
      <c r="U69"/>
      <c r="V69"/>
      <c r="W69"/>
      <c r="X69"/>
      <c r="Y69"/>
      <c r="Z69"/>
      <c r="AA69"/>
      <c r="AB69"/>
      <c r="AC69"/>
      <c r="AD69"/>
      <c r="AE69"/>
      <c r="AF69"/>
      <c r="AG69"/>
      <c r="AH69"/>
    </row>
    <row r="70" spans="1:34" s="2" customFormat="1" ht="15.75" thickBot="1">
      <c r="A70" s="1126"/>
      <c r="B70" s="1174"/>
      <c r="C70" s="415"/>
      <c r="D70" s="422"/>
      <c r="E70" s="422"/>
      <c r="F70" s="422"/>
      <c r="G70" s="831"/>
      <c r="H70" s="441"/>
      <c r="I70" s="1175"/>
      <c r="J70" s="1175"/>
      <c r="K70" s="1175"/>
      <c r="L70" s="1175"/>
      <c r="M70" s="1175"/>
      <c r="N70" s="1175"/>
      <c r="O70" s="1175"/>
      <c r="P70" s="1175"/>
      <c r="Q70" s="1175"/>
      <c r="R70" s="1175"/>
      <c r="S70" s="1175"/>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1407"/>
      <c r="B72" s="1408"/>
      <c r="C72" s="1396"/>
      <c r="D72" s="1357"/>
      <c r="E72" s="1357"/>
      <c r="F72" s="1357"/>
      <c r="G72" s="1404"/>
      <c r="H72" s="1405"/>
      <c r="I72" s="1406"/>
      <c r="J72" s="1406"/>
      <c r="K72" s="1406"/>
      <c r="L72" s="1406"/>
      <c r="M72" s="1406"/>
      <c r="N72" s="1406"/>
      <c r="O72" s="1406"/>
      <c r="P72" s="1406"/>
      <c r="Q72" s="1406"/>
      <c r="R72" s="1406"/>
      <c r="S72" s="1406"/>
      <c r="T72" s="2"/>
      <c r="U72" s="2"/>
      <c r="V72" s="2"/>
      <c r="W72" s="2"/>
      <c r="X72" s="2"/>
      <c r="Y72" s="2"/>
      <c r="Z72" s="2"/>
      <c r="AA72" s="2"/>
      <c r="AB72" s="2"/>
      <c r="AC72" s="2"/>
      <c r="AD72" s="2"/>
      <c r="AE72" s="2"/>
      <c r="AF72" s="2"/>
      <c r="AG72" s="2"/>
      <c r="AH72" s="2"/>
    </row>
    <row r="73" spans="1:34">
      <c r="A73" s="1126"/>
      <c r="B73" s="1174"/>
      <c r="C73" s="415"/>
      <c r="D73" s="422"/>
      <c r="E73" s="422"/>
      <c r="F73" s="422"/>
      <c r="G73" s="831"/>
      <c r="H73" s="442"/>
      <c r="I73" s="1178"/>
      <c r="J73" s="1178"/>
      <c r="K73" s="1178"/>
      <c r="L73" s="1178"/>
      <c r="M73" s="1178"/>
      <c r="N73" s="1178"/>
      <c r="O73" s="1178"/>
      <c r="P73" s="1178"/>
      <c r="Q73" s="1178"/>
      <c r="R73" s="1178"/>
      <c r="S73" s="1178"/>
      <c r="T73" s="2"/>
      <c r="U73" s="2"/>
      <c r="V73" s="2"/>
      <c r="W73" s="2"/>
      <c r="X73" s="2"/>
      <c r="Y73" s="2"/>
      <c r="Z73" s="2"/>
      <c r="AA73" s="2"/>
      <c r="AB73" s="2"/>
      <c r="AC73" s="2"/>
      <c r="AD73" s="2"/>
      <c r="AE73" s="2"/>
      <c r="AF73" s="2"/>
      <c r="AG73" s="2"/>
      <c r="AH73" s="2"/>
    </row>
    <row r="74" spans="1:34" ht="15.75" thickBot="1">
      <c r="A74" s="1126"/>
      <c r="B74" s="1174"/>
      <c r="C74" s="415"/>
      <c r="D74" s="422"/>
      <c r="E74" s="422"/>
      <c r="F74" s="422"/>
      <c r="G74" s="831"/>
      <c r="H74" s="442"/>
      <c r="I74" s="1178"/>
      <c r="J74" s="1178"/>
      <c r="K74" s="1178"/>
      <c r="L74" s="1178"/>
      <c r="M74" s="1178"/>
      <c r="N74" s="1178"/>
      <c r="O74" s="1178"/>
      <c r="P74" s="1178"/>
      <c r="Q74" s="1178"/>
      <c r="R74" s="1178"/>
      <c r="S74" s="1178"/>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1105" t="s">
        <v>764</v>
      </c>
      <c r="C76" s="415"/>
      <c r="D76" s="422"/>
      <c r="E76" s="422"/>
      <c r="F76" s="422"/>
      <c r="G76" s="831"/>
      <c r="H76" s="442"/>
      <c r="I76" s="1178"/>
      <c r="J76" s="1178"/>
      <c r="K76" s="1178"/>
      <c r="L76" s="1178"/>
      <c r="M76" s="1178"/>
      <c r="N76" s="1178"/>
      <c r="O76" s="1178"/>
      <c r="P76" s="1178"/>
      <c r="Q76" s="1178"/>
      <c r="R76" s="1178"/>
      <c r="S76" s="1178"/>
    </row>
    <row r="77" spans="1:34">
      <c r="A77" s="1124"/>
      <c r="B77" s="1105" t="s">
        <v>765</v>
      </c>
      <c r="C77" s="415"/>
      <c r="D77" s="422"/>
      <c r="E77" s="422"/>
      <c r="F77" s="422"/>
      <c r="G77" s="831"/>
      <c r="H77" s="442"/>
      <c r="I77" s="1178"/>
      <c r="J77" s="1178"/>
      <c r="K77" s="1178"/>
      <c r="L77" s="1178"/>
      <c r="M77" s="1178"/>
      <c r="N77" s="1178"/>
      <c r="O77" s="1178"/>
      <c r="P77" s="1178"/>
      <c r="Q77" s="1178"/>
      <c r="R77" s="1178"/>
      <c r="S77" s="1178"/>
    </row>
    <row r="78" spans="1:34">
      <c r="A78" s="1124"/>
      <c r="B78" s="1105" t="s">
        <v>766</v>
      </c>
      <c r="C78" s="415"/>
      <c r="D78" s="422"/>
      <c r="E78" s="422"/>
      <c r="F78" s="422"/>
      <c r="G78" s="831"/>
      <c r="H78" s="442"/>
      <c r="I78" s="1178"/>
      <c r="J78" s="1178"/>
      <c r="K78" s="1178"/>
      <c r="L78" s="1178"/>
      <c r="M78" s="1178"/>
      <c r="N78" s="1178"/>
      <c r="O78" s="1178"/>
      <c r="P78" s="1178"/>
      <c r="Q78" s="1178"/>
      <c r="R78" s="1178"/>
      <c r="S78" s="1178"/>
    </row>
    <row r="79" spans="1:34">
      <c r="A79" s="1124"/>
      <c r="B79" s="1105" t="s">
        <v>767</v>
      </c>
      <c r="C79" s="415"/>
      <c r="D79" s="422"/>
      <c r="E79" s="422"/>
      <c r="F79" s="422"/>
      <c r="G79" s="831"/>
      <c r="H79" s="442"/>
      <c r="I79" s="1178"/>
      <c r="J79" s="1178"/>
      <c r="K79" s="1178"/>
      <c r="L79" s="1178"/>
      <c r="M79" s="1178"/>
      <c r="N79" s="1178"/>
      <c r="O79" s="1178"/>
      <c r="P79" s="1178"/>
      <c r="Q79" s="1178"/>
      <c r="R79" s="1178"/>
      <c r="S79" s="1178"/>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1403"/>
      <c r="B82" s="1409" t="s">
        <v>769</v>
      </c>
      <c r="C82" s="1396"/>
      <c r="D82" s="1357"/>
      <c r="E82" s="1357"/>
      <c r="F82" s="1357"/>
      <c r="G82" s="1404"/>
      <c r="H82" s="1410"/>
      <c r="I82" s="1411"/>
      <c r="J82" s="1411"/>
      <c r="K82" s="1411"/>
      <c r="L82" s="1411"/>
      <c r="M82" s="1411"/>
      <c r="N82" s="1411"/>
      <c r="O82" s="1411"/>
      <c r="P82" s="1411"/>
      <c r="Q82" s="1411"/>
      <c r="R82" s="1411"/>
      <c r="S82" s="1411"/>
    </row>
    <row r="83" spans="1:19">
      <c r="A83" s="1124"/>
      <c r="B83" s="1105" t="s">
        <v>770</v>
      </c>
      <c r="C83" s="415"/>
      <c r="D83" s="422"/>
      <c r="E83" s="422"/>
      <c r="F83" s="422"/>
      <c r="G83" s="831"/>
      <c r="H83" s="445"/>
      <c r="I83" s="1182"/>
      <c r="J83" s="1182"/>
      <c r="K83" s="1182"/>
      <c r="L83" s="1182"/>
      <c r="M83" s="1182"/>
      <c r="N83" s="1182"/>
      <c r="O83" s="1182"/>
      <c r="P83" s="1182"/>
      <c r="Q83" s="1182"/>
      <c r="R83" s="1182"/>
      <c r="S83" s="1182"/>
    </row>
    <row r="84" spans="1:19" ht="15.75" thickBot="1">
      <c r="A84" s="1376"/>
      <c r="B84" s="1377" t="s">
        <v>771</v>
      </c>
      <c r="C84" s="1378"/>
      <c r="D84" s="1379"/>
      <c r="E84" s="1379"/>
      <c r="F84" s="1379"/>
      <c r="G84" s="1380"/>
      <c r="H84" s="1381"/>
      <c r="I84" s="1382"/>
      <c r="J84" s="1382"/>
      <c r="K84" s="1382"/>
      <c r="L84" s="1382"/>
      <c r="M84" s="1382"/>
      <c r="N84" s="1382"/>
      <c r="O84" s="1382"/>
      <c r="P84" s="1382"/>
      <c r="Q84" s="1382"/>
      <c r="R84" s="1382"/>
      <c r="S84" s="1382"/>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190"/>
      <c r="F87" s="2"/>
      <c r="G87" s="2"/>
      <c r="H87" s="2"/>
      <c r="I87" s="2"/>
      <c r="J87" s="2"/>
      <c r="K87" s="2"/>
      <c r="L87" s="2"/>
      <c r="M87" s="2"/>
      <c r="N87" s="2"/>
      <c r="O87" s="2"/>
      <c r="P87" s="2"/>
      <c r="Q87" s="2"/>
      <c r="R87" s="2"/>
      <c r="S87" s="2"/>
    </row>
    <row r="88" spans="1:19">
      <c r="A88" s="1142" t="s">
        <v>702</v>
      </c>
      <c r="B88" s="1190"/>
      <c r="F88" s="2"/>
      <c r="G88" s="2"/>
      <c r="H88" s="2"/>
      <c r="I88" s="2"/>
      <c r="J88" s="2"/>
      <c r="K88" s="2"/>
      <c r="L88" s="2"/>
      <c r="M88" s="2"/>
      <c r="N88" s="2"/>
      <c r="O88" s="2"/>
      <c r="P88" s="2"/>
      <c r="Q88" s="2"/>
      <c r="R88" s="2"/>
      <c r="S88" s="2"/>
    </row>
    <row r="89" spans="1:19">
      <c r="A89" s="1191" t="s">
        <v>708</v>
      </c>
      <c r="B89" s="1192"/>
      <c r="F89" s="2"/>
      <c r="G89" s="2"/>
      <c r="H89" s="2"/>
      <c r="I89" s="2"/>
      <c r="J89" s="2"/>
      <c r="K89" s="2"/>
      <c r="L89" s="2"/>
      <c r="M89" s="2"/>
      <c r="N89" s="2"/>
      <c r="O89" s="2"/>
      <c r="P89" s="2"/>
      <c r="Q89" s="2"/>
      <c r="R89" s="2"/>
      <c r="S89" s="2"/>
    </row>
    <row r="90" spans="1:19">
      <c r="A90" s="1191" t="s">
        <v>713</v>
      </c>
      <c r="B90" s="1193"/>
      <c r="F90" s="2"/>
      <c r="G90" s="2"/>
      <c r="H90" s="2"/>
      <c r="I90" s="2"/>
      <c r="J90" s="2"/>
      <c r="K90" s="2"/>
      <c r="L90" s="2"/>
      <c r="M90" s="2"/>
      <c r="N90" s="2"/>
      <c r="O90" s="2"/>
      <c r="P90" s="2"/>
      <c r="Q90" s="2"/>
      <c r="R90" s="2"/>
      <c r="S90" s="2"/>
    </row>
    <row r="91" spans="1:19" ht="15.75" thickBot="1">
      <c r="A91" s="1383" t="s">
        <v>69</v>
      </c>
      <c r="B91" s="1384"/>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N8:O8"/>
    <mergeCell ref="N9:O9"/>
    <mergeCell ref="R5:S5"/>
    <mergeCell ref="R6:S6"/>
    <mergeCell ref="R7:S7"/>
    <mergeCell ref="R8:S8"/>
    <mergeCell ref="R9:S9"/>
    <mergeCell ref="P8:Q8"/>
    <mergeCell ref="P9:Q9"/>
    <mergeCell ref="P5:Q5"/>
    <mergeCell ref="P6:Q6"/>
    <mergeCell ref="P7:Q7"/>
    <mergeCell ref="N5:O5"/>
    <mergeCell ref="N6:O6"/>
    <mergeCell ref="N7:O7"/>
    <mergeCell ref="H9:I9"/>
    <mergeCell ref="J9:K9"/>
    <mergeCell ref="L5:M5"/>
    <mergeCell ref="L6:M6"/>
    <mergeCell ref="L7:M7"/>
    <mergeCell ref="L8:M8"/>
    <mergeCell ref="L9:M9"/>
    <mergeCell ref="H5:I5"/>
    <mergeCell ref="H6:I6"/>
    <mergeCell ref="H7:I7"/>
    <mergeCell ref="H8:I8"/>
    <mergeCell ref="J5:K5"/>
    <mergeCell ref="J6:K6"/>
    <mergeCell ref="J7:K7"/>
    <mergeCell ref="J8:K8"/>
    <mergeCell ref="R4:S4"/>
    <mergeCell ref="H4:I4"/>
    <mergeCell ref="J4:K4"/>
    <mergeCell ref="L4:M4"/>
    <mergeCell ref="N4:O4"/>
    <mergeCell ref="P4:Q4"/>
  </mergeCells>
  <conditionalFormatting sqref="H11:H18 J11:J18 L11:L18 N11:N18 P11:P18 R11:R18">
    <cfRule type="cellIs" dxfId="531" priority="13" operator="equal">
      <formula>"X"</formula>
    </cfRule>
    <cfRule type="cellIs" dxfId="530" priority="14" operator="equal">
      <formula>"I"</formula>
    </cfRule>
  </conditionalFormatting>
  <conditionalFormatting sqref="H20:H50">
    <cfRule type="cellIs" dxfId="529" priority="1" operator="equal">
      <formula>"X"</formula>
    </cfRule>
    <cfRule type="cellIs" dxfId="528" priority="2" operator="equal">
      <formula>"I"</formula>
    </cfRule>
  </conditionalFormatting>
  <conditionalFormatting sqref="J20:J50">
    <cfRule type="cellIs" dxfId="527" priority="3" operator="equal">
      <formula>"X"</formula>
    </cfRule>
    <cfRule type="cellIs" dxfId="526" priority="4" operator="equal">
      <formula>"I"</formula>
    </cfRule>
  </conditionalFormatting>
  <conditionalFormatting sqref="L20:L50">
    <cfRule type="cellIs" dxfId="525" priority="5" operator="equal">
      <formula>"X"</formula>
    </cfRule>
    <cfRule type="cellIs" dxfId="524" priority="6" operator="equal">
      <formula>"I"</formula>
    </cfRule>
  </conditionalFormatting>
  <conditionalFormatting sqref="N20:N50">
    <cfRule type="cellIs" dxfId="523" priority="7" operator="equal">
      <formula>"X"</formula>
    </cfRule>
    <cfRule type="cellIs" dxfId="522" priority="8" operator="equal">
      <formula>"I"</formula>
    </cfRule>
  </conditionalFormatting>
  <conditionalFormatting sqref="P20:P50">
    <cfRule type="cellIs" dxfId="521" priority="9" operator="equal">
      <formula>"X"</formula>
    </cfRule>
    <cfRule type="cellIs" dxfId="520" priority="10" operator="equal">
      <formula>"I"</formula>
    </cfRule>
  </conditionalFormatting>
  <conditionalFormatting sqref="R20:R50">
    <cfRule type="cellIs" dxfId="519" priority="11" operator="equal">
      <formula>"X"</formula>
    </cfRule>
    <cfRule type="cellIs" dxfId="518" priority="12" operator="equal">
      <formula>"I"</formula>
    </cfRule>
  </conditionalFormatting>
  <hyperlinks>
    <hyperlink ref="B4" location="'Cost Summary'!A1" display="BACK TO SUMMARY SHEET" xr:uid="{9F9A9977-A147-4E1D-8D08-10F4755EBCC1}"/>
  </hyperlinks>
  <pageMargins left="0.7" right="0.7" top="0.75" bottom="0.75" header="0.3" footer="0.3"/>
  <pageSetup scale="63"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2775-A828-4BDD-8172-4E1531FFE3C1}">
  <sheetPr>
    <tabColor rgb="FF00B0F0"/>
  </sheetPr>
  <dimension ref="A1:AO97"/>
  <sheetViews>
    <sheetView zoomScale="90" zoomScaleNormal="90" workbookViewId="0">
      <pane xSplit="2" ySplit="10" topLeftCell="D22" activePane="bottomRight" state="frozen"/>
      <selection pane="topRight" activeCell="X34" sqref="X34"/>
      <selection pane="bottomLeft" activeCell="X34" sqref="X34"/>
      <selection pane="bottomRight" activeCell="F37" sqref="F37"/>
    </sheetView>
  </sheetViews>
  <sheetFormatPr defaultRowHeight="15"/>
  <cols>
    <col min="1" max="1" width="11" customWidth="1"/>
    <col min="2" max="2" width="70.7109375" style="1" customWidth="1"/>
    <col min="3" max="3" width="12.7109375" style="2" customWidth="1"/>
    <col min="4" max="4" width="12.7109375" style="260" customWidth="1"/>
    <col min="5" max="5" width="7.7109375" style="68"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F1" s="275"/>
      <c r="G1" s="269" t="s">
        <v>679</v>
      </c>
      <c r="X1" s="261"/>
    </row>
    <row r="2" spans="1:24">
      <c r="F2" s="276" t="s">
        <v>680</v>
      </c>
      <c r="G2" s="269" t="s">
        <v>681</v>
      </c>
      <c r="X2" s="261"/>
    </row>
    <row r="3" spans="1:24" ht="15.75" thickBot="1">
      <c r="F3" s="277" t="s">
        <v>682</v>
      </c>
      <c r="G3" s="269" t="s">
        <v>683</v>
      </c>
      <c r="X3" s="261"/>
    </row>
    <row r="4" spans="1:24" ht="15.75" thickBot="1">
      <c r="B4" s="262" t="s">
        <v>684</v>
      </c>
      <c r="F4" s="278"/>
      <c r="G4" s="270" t="s">
        <v>685</v>
      </c>
      <c r="H4" s="2319" t="s">
        <v>688</v>
      </c>
      <c r="I4" s="2320"/>
      <c r="J4" s="2319" t="s">
        <v>689</v>
      </c>
      <c r="K4" s="2320"/>
      <c r="L4" s="2319" t="s">
        <v>686</v>
      </c>
      <c r="M4" s="2320"/>
      <c r="N4" s="2319" t="s">
        <v>687</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c r="I5" s="2322"/>
      <c r="J5" s="2321" t="s">
        <v>1185</v>
      </c>
      <c r="K5" s="2322"/>
      <c r="L5" s="2321" t="s">
        <v>1186</v>
      </c>
      <c r="M5" s="2322"/>
      <c r="N5" s="2321" t="s">
        <v>1187</v>
      </c>
      <c r="O5" s="2322"/>
      <c r="P5" s="2333"/>
      <c r="Q5" s="2334"/>
      <c r="R5" s="2333"/>
      <c r="S5" s="2334"/>
      <c r="X5" s="261"/>
    </row>
    <row r="6" spans="1:24">
      <c r="A6" s="1082" t="s">
        <v>700</v>
      </c>
      <c r="B6" s="1196" t="s">
        <v>305</v>
      </c>
      <c r="C6" s="415"/>
      <c r="D6" s="416"/>
      <c r="E6" s="417"/>
      <c r="F6" s="418"/>
      <c r="G6" s="419" t="s">
        <v>702</v>
      </c>
      <c r="H6" s="2325"/>
      <c r="I6" s="2326"/>
      <c r="J6" s="2325"/>
      <c r="K6" s="2326"/>
      <c r="L6" s="2325"/>
      <c r="M6" s="2326"/>
      <c r="N6" s="2325"/>
      <c r="O6" s="2326"/>
      <c r="P6" s="2313"/>
      <c r="Q6" s="2314"/>
      <c r="R6" s="2313"/>
      <c r="S6" s="2314"/>
      <c r="X6" s="261"/>
    </row>
    <row r="7" spans="1:24">
      <c r="A7" s="1082" t="s">
        <v>706</v>
      </c>
      <c r="B7" s="1197" t="s">
        <v>304</v>
      </c>
      <c r="C7" s="415"/>
      <c r="D7" s="416"/>
      <c r="E7" s="417"/>
      <c r="F7" s="418"/>
      <c r="G7" s="829" t="s">
        <v>708</v>
      </c>
      <c r="H7" s="2325"/>
      <c r="I7" s="2326"/>
      <c r="J7" s="2325"/>
      <c r="K7" s="2326"/>
      <c r="L7" s="2325"/>
      <c r="M7" s="2326"/>
      <c r="N7" s="2325"/>
      <c r="O7" s="2326"/>
      <c r="P7" s="2313"/>
      <c r="Q7" s="2314"/>
      <c r="R7" s="2313"/>
      <c r="S7" s="2314"/>
      <c r="X7" s="261"/>
    </row>
    <row r="8" spans="1:24">
      <c r="A8" s="1082" t="s">
        <v>712</v>
      </c>
      <c r="B8" s="1198"/>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I60</f>
        <v>710786.36335394997</v>
      </c>
      <c r="I9" s="2318"/>
      <c r="J9" s="2330">
        <f>K60</f>
        <v>673130.11278999993</v>
      </c>
      <c r="K9" s="2330"/>
      <c r="L9" s="2317">
        <f>M60</f>
        <v>1047798.73</v>
      </c>
      <c r="M9" s="2318"/>
      <c r="N9" s="2317">
        <f>O60</f>
        <v>1298128.73</v>
      </c>
      <c r="O9" s="2318"/>
      <c r="P9" s="2317">
        <f>Q60</f>
        <v>0</v>
      </c>
      <c r="Q9" s="2318"/>
      <c r="R9" s="2317">
        <f>S60</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412"/>
      <c r="B11" s="1413" t="s">
        <v>725</v>
      </c>
      <c r="C11" s="1398"/>
      <c r="D11" s="1414"/>
      <c r="E11" s="1415"/>
      <c r="F11" s="1416"/>
      <c r="G11" s="1417"/>
      <c r="H11" s="1418"/>
      <c r="I11" s="1419"/>
      <c r="J11" s="1418"/>
      <c r="K11" s="1419"/>
      <c r="L11" s="1418"/>
      <c r="M11" s="1420"/>
      <c r="N11" s="1418"/>
      <c r="O11" s="285"/>
      <c r="P11" s="1418"/>
      <c r="Q11" s="1419"/>
      <c r="R11" s="1418"/>
      <c r="S11" s="1419"/>
    </row>
    <row r="12" spans="1:24">
      <c r="A12" s="1412"/>
      <c r="B12" s="1263" t="s">
        <v>726</v>
      </c>
      <c r="C12" s="446"/>
      <c r="D12" s="416"/>
      <c r="E12" s="417"/>
      <c r="F12" s="418"/>
      <c r="G12" s="423"/>
      <c r="H12" s="1264"/>
      <c r="I12" s="1419"/>
      <c r="J12" s="1264"/>
      <c r="K12" s="1419"/>
      <c r="L12" s="1264"/>
      <c r="M12" s="1420"/>
      <c r="N12" s="1264"/>
      <c r="O12" s="1419"/>
      <c r="P12" s="1264"/>
      <c r="Q12" s="1419"/>
      <c r="R12" s="1264"/>
      <c r="S12" s="1419"/>
    </row>
    <row r="13" spans="1:24">
      <c r="A13" s="1097"/>
      <c r="B13" s="1263" t="s">
        <v>728</v>
      </c>
      <c r="C13" s="446"/>
      <c r="D13" s="416"/>
      <c r="E13" s="417"/>
      <c r="F13" s="418"/>
      <c r="G13" s="423"/>
      <c r="H13" s="1264"/>
      <c r="I13" s="1419"/>
      <c r="J13" s="1264"/>
      <c r="K13" s="1419"/>
      <c r="L13" s="1264"/>
      <c r="M13" s="1420"/>
      <c r="N13" s="1264"/>
      <c r="O13" s="1419"/>
      <c r="P13" s="1264"/>
      <c r="Q13" s="1419"/>
      <c r="R13" s="1264"/>
      <c r="S13" s="1419"/>
    </row>
    <row r="14" spans="1:24">
      <c r="A14" s="1412"/>
      <c r="B14" s="1265" t="s">
        <v>729</v>
      </c>
      <c r="C14" s="446"/>
      <c r="D14" s="416"/>
      <c r="E14" s="417"/>
      <c r="F14" s="418"/>
      <c r="G14" s="423"/>
      <c r="H14" s="1264"/>
      <c r="I14" s="1419"/>
      <c r="J14" s="1264"/>
      <c r="K14" s="1419"/>
      <c r="L14" s="1264"/>
      <c r="M14" s="1420"/>
      <c r="N14" s="1264"/>
      <c r="O14" s="1419"/>
      <c r="P14" s="1264"/>
      <c r="Q14" s="1419"/>
      <c r="R14" s="1264"/>
      <c r="S14" s="1419"/>
    </row>
    <row r="15" spans="1:24">
      <c r="A15" s="1097"/>
      <c r="B15" s="1265" t="s">
        <v>731</v>
      </c>
      <c r="C15" s="446"/>
      <c r="D15" s="416"/>
      <c r="E15" s="417"/>
      <c r="F15" s="418"/>
      <c r="G15" s="423"/>
      <c r="H15" s="1264"/>
      <c r="I15" s="1420"/>
      <c r="J15" s="1264"/>
      <c r="K15" s="1420"/>
      <c r="L15" s="1264"/>
      <c r="M15" s="1420"/>
      <c r="N15" s="1264"/>
      <c r="O15" s="1420"/>
      <c r="P15" s="1264"/>
      <c r="Q15" s="1420"/>
      <c r="R15" s="1264"/>
      <c r="S15" s="1420"/>
    </row>
    <row r="16" spans="1:24">
      <c r="A16" s="1412"/>
      <c r="B16" s="1265" t="s">
        <v>732</v>
      </c>
      <c r="C16" s="446"/>
      <c r="D16" s="416"/>
      <c r="E16" s="417"/>
      <c r="F16" s="418"/>
      <c r="G16" s="423"/>
      <c r="H16" s="1264"/>
      <c r="I16" s="1419"/>
      <c r="J16" s="1264"/>
      <c r="K16" s="1419"/>
      <c r="L16" s="1264"/>
      <c r="M16" s="1420"/>
      <c r="N16" s="1264"/>
      <c r="O16" s="1419"/>
      <c r="P16" s="1264"/>
      <c r="Q16" s="1419"/>
      <c r="R16" s="1264"/>
      <c r="S16" s="1419"/>
    </row>
    <row r="17" spans="1:41">
      <c r="A17" s="1097"/>
      <c r="B17" s="1265" t="s">
        <v>733</v>
      </c>
      <c r="C17" s="446"/>
      <c r="D17" s="416"/>
      <c r="E17" s="417"/>
      <c r="F17" s="418"/>
      <c r="G17" s="423"/>
      <c r="H17" s="1264"/>
      <c r="I17" s="1419"/>
      <c r="J17" s="1264"/>
      <c r="K17" s="1419"/>
      <c r="L17" s="1264"/>
      <c r="M17" s="1420"/>
      <c r="N17" s="1264"/>
      <c r="O17" s="1419"/>
      <c r="P17" s="1264"/>
      <c r="Q17" s="1419"/>
      <c r="R17" s="1264"/>
      <c r="S17" s="1419"/>
    </row>
    <row r="18" spans="1:41">
      <c r="A18" s="1412"/>
      <c r="B18" s="534" t="s">
        <v>734</v>
      </c>
      <c r="C18" s="446"/>
      <c r="D18" s="416"/>
      <c r="E18" s="417"/>
      <c r="F18" s="418"/>
      <c r="G18" s="423"/>
      <c r="H18" s="1264"/>
      <c r="I18" s="1419"/>
      <c r="J18" s="1264"/>
      <c r="K18" s="1419"/>
      <c r="L18" s="1264"/>
      <c r="M18" s="1420"/>
      <c r="N18" s="1264"/>
      <c r="O18" s="1419"/>
      <c r="P18" s="1264"/>
      <c r="Q18" s="1419"/>
      <c r="R18" s="1264"/>
      <c r="S18" s="1419"/>
    </row>
    <row r="19" spans="1:41">
      <c r="A19" s="1412"/>
      <c r="B19" s="1154" t="s">
        <v>736</v>
      </c>
      <c r="C19" s="446"/>
      <c r="D19" s="416"/>
      <c r="E19" s="417"/>
      <c r="F19" s="418"/>
      <c r="G19" s="423"/>
      <c r="H19" s="1264"/>
      <c r="I19" s="1419"/>
      <c r="J19" s="1264"/>
      <c r="K19" s="1419"/>
      <c r="L19" s="1264"/>
      <c r="M19" s="1420"/>
      <c r="N19" s="1264"/>
      <c r="O19" s="1419"/>
      <c r="P19" s="1264"/>
      <c r="Q19" s="1419"/>
      <c r="R19" s="1264"/>
      <c r="S19" s="1419"/>
    </row>
    <row r="20" spans="1:41">
      <c r="A20" s="1097"/>
      <c r="B20" s="1421" t="s">
        <v>737</v>
      </c>
      <c r="C20" s="447"/>
      <c r="D20" s="448"/>
      <c r="E20" s="449"/>
      <c r="F20" s="426"/>
      <c r="G20" s="427"/>
      <c r="H20" s="1156"/>
      <c r="I20" s="1422"/>
      <c r="J20" s="1156"/>
      <c r="K20" s="1422"/>
      <c r="L20" s="1156"/>
      <c r="M20" s="1423"/>
      <c r="N20" s="1156"/>
      <c r="O20" s="1422"/>
      <c r="P20" s="1156"/>
      <c r="Q20" s="1422"/>
      <c r="R20" s="1156"/>
      <c r="S20" s="1422"/>
    </row>
    <row r="21" spans="1:41">
      <c r="A21" s="1412"/>
      <c r="B21" s="1369"/>
      <c r="C21" s="343"/>
      <c r="D21" s="265"/>
      <c r="E21" s="266"/>
      <c r="F21" s="280"/>
      <c r="G21" s="274"/>
      <c r="H21" s="1264"/>
      <c r="I21" s="428"/>
      <c r="J21" s="1264"/>
      <c r="K21" s="428"/>
      <c r="L21" s="1264"/>
      <c r="M21" s="428"/>
      <c r="N21" s="1264"/>
      <c r="O21" s="428"/>
      <c r="P21" s="1264"/>
      <c r="Q21" s="428"/>
      <c r="R21" s="1264"/>
      <c r="S21" s="428"/>
    </row>
    <row r="22" spans="1:41" s="69" customFormat="1">
      <c r="A22" s="1097"/>
      <c r="B22" s="1424" t="s">
        <v>1188</v>
      </c>
      <c r="C22" s="415"/>
      <c r="D22" s="416"/>
      <c r="E22" s="417"/>
      <c r="F22" s="429"/>
      <c r="G22" s="423"/>
      <c r="H22" s="1264"/>
      <c r="I22" s="1106"/>
      <c r="J22" s="1264"/>
      <c r="K22" s="1107"/>
      <c r="L22" s="1264"/>
      <c r="M22" s="1107"/>
      <c r="N22" s="1264"/>
      <c r="O22" s="1106"/>
      <c r="P22" s="1264"/>
      <c r="Q22" s="1107"/>
      <c r="R22" s="1264"/>
      <c r="S22" s="1106"/>
      <c r="T22"/>
      <c r="U22"/>
      <c r="V22"/>
      <c r="W22"/>
      <c r="X22"/>
      <c r="Y22"/>
      <c r="Z22"/>
      <c r="AA22"/>
      <c r="AB22"/>
      <c r="AC22"/>
      <c r="AD22"/>
      <c r="AE22"/>
      <c r="AF22"/>
      <c r="AG22"/>
      <c r="AH22"/>
      <c r="AI22"/>
      <c r="AJ22"/>
      <c r="AK22"/>
      <c r="AL22"/>
      <c r="AM22"/>
      <c r="AN22"/>
      <c r="AO22"/>
    </row>
    <row r="23" spans="1:41">
      <c r="A23" s="1412"/>
      <c r="B23" s="1425" t="s">
        <v>1189</v>
      </c>
      <c r="C23" s="1396"/>
      <c r="D23" s="1426"/>
      <c r="E23" s="1415"/>
      <c r="F23" s="1427"/>
      <c r="G23" s="1428"/>
      <c r="H23" s="1264"/>
      <c r="I23" s="1419"/>
      <c r="J23" s="1264"/>
      <c r="K23" s="1419">
        <f>SUM(G24:G30)</f>
        <v>195921.38279</v>
      </c>
      <c r="L23" s="1264"/>
      <c r="M23" s="1419">
        <v>153557</v>
      </c>
      <c r="N23" s="1264"/>
      <c r="O23" s="1419">
        <v>652200</v>
      </c>
      <c r="P23" s="1264"/>
      <c r="Q23" s="1419"/>
      <c r="R23" s="1264"/>
      <c r="S23" s="1419"/>
    </row>
    <row r="24" spans="1:41">
      <c r="A24" s="1412"/>
      <c r="B24" s="1429" t="s">
        <v>1190</v>
      </c>
      <c r="C24" s="415"/>
      <c r="D24" s="450">
        <f>'07 42 Metal Panel'!D23</f>
        <v>20514</v>
      </c>
      <c r="E24" s="417" t="s">
        <v>511</v>
      </c>
      <c r="F24" s="431">
        <v>4.8499999999999996</v>
      </c>
      <c r="G24" s="1428">
        <f>D24*F24</f>
        <v>99492.9</v>
      </c>
      <c r="H24" s="1264"/>
      <c r="I24" s="1430">
        <f t="shared" ref="I24:I30" si="0">$G24</f>
        <v>99492.9</v>
      </c>
      <c r="J24" s="1264" t="s">
        <v>682</v>
      </c>
      <c r="K24" s="1419"/>
      <c r="L24" s="1264" t="s">
        <v>682</v>
      </c>
      <c r="M24" s="1419"/>
      <c r="N24" s="1264" t="s">
        <v>682</v>
      </c>
      <c r="O24" s="1419"/>
      <c r="P24" s="1264"/>
      <c r="Q24" s="1419"/>
      <c r="R24" s="1264"/>
      <c r="S24" s="1419"/>
    </row>
    <row r="25" spans="1:41">
      <c r="A25" s="1412"/>
      <c r="B25" s="1429" t="s">
        <v>1191</v>
      </c>
      <c r="C25" s="415"/>
      <c r="D25" s="450">
        <f>'07 42 Metal Panel'!D44</f>
        <v>8382</v>
      </c>
      <c r="E25" s="417" t="s">
        <v>511</v>
      </c>
      <c r="F25" s="431">
        <f>$F$24</f>
        <v>4.8499999999999996</v>
      </c>
      <c r="G25" s="1428">
        <f>D25*F25</f>
        <v>40652.699999999997</v>
      </c>
      <c r="H25" s="1264"/>
      <c r="I25" s="1430">
        <f t="shared" si="0"/>
        <v>40652.699999999997</v>
      </c>
      <c r="J25" s="1264" t="s">
        <v>682</v>
      </c>
      <c r="K25" s="1419"/>
      <c r="L25" s="1264" t="s">
        <v>682</v>
      </c>
      <c r="M25" s="1419"/>
      <c r="N25" s="1264" t="s">
        <v>682</v>
      </c>
      <c r="O25" s="1419"/>
      <c r="P25" s="1264"/>
      <c r="Q25" s="1419"/>
      <c r="R25" s="1264"/>
      <c r="S25" s="1419"/>
    </row>
    <row r="26" spans="1:41">
      <c r="A26" s="1097"/>
      <c r="B26" s="1425"/>
      <c r="C26" s="415"/>
      <c r="D26" s="450"/>
      <c r="E26" s="417"/>
      <c r="F26" s="431"/>
      <c r="G26" s="1428"/>
      <c r="H26" s="1264"/>
      <c r="I26" s="1419"/>
      <c r="J26" s="1264"/>
      <c r="K26" s="1419"/>
      <c r="L26" s="1264"/>
      <c r="M26" s="1419"/>
      <c r="N26" s="1264"/>
      <c r="O26" s="1419"/>
      <c r="P26" s="1264"/>
      <c r="Q26" s="1419"/>
      <c r="R26" s="1264"/>
      <c r="S26" s="1419"/>
    </row>
    <row r="27" spans="1:41">
      <c r="A27" s="1412"/>
      <c r="B27" s="1425" t="s">
        <v>1192</v>
      </c>
      <c r="C27" s="415"/>
      <c r="D27" s="450"/>
      <c r="E27" s="417"/>
      <c r="F27" s="431"/>
      <c r="G27" s="1428"/>
      <c r="H27" s="1264"/>
      <c r="I27" s="1419"/>
      <c r="J27" s="1264"/>
      <c r="K27" s="1419"/>
      <c r="L27" s="1264"/>
      <c r="M27" s="1419"/>
      <c r="N27" s="1264"/>
      <c r="O27" s="1419"/>
      <c r="P27" s="1264"/>
      <c r="Q27" s="1419"/>
      <c r="R27" s="1264"/>
      <c r="S27" s="1419"/>
    </row>
    <row r="28" spans="1:41">
      <c r="A28" s="1097"/>
      <c r="B28" s="1429" t="s">
        <v>1193</v>
      </c>
      <c r="C28" s="415"/>
      <c r="D28" s="450">
        <f>SUM('08 50 Storefront &amp; Windows'!AB64)*0.67</f>
        <v>5813.7240000000011</v>
      </c>
      <c r="E28" s="417" t="s">
        <v>511</v>
      </c>
      <c r="F28" s="431">
        <f t="shared" ref="F28:F30" si="1">$F$24</f>
        <v>4.8499999999999996</v>
      </c>
      <c r="G28" s="1428">
        <f t="shared" ref="G28:G30" si="2">D28*F28</f>
        <v>28196.561400000002</v>
      </c>
      <c r="H28" s="1264"/>
      <c r="I28" s="1430">
        <f t="shared" si="0"/>
        <v>28196.561400000002</v>
      </c>
      <c r="J28" s="1264" t="s">
        <v>682</v>
      </c>
      <c r="K28" s="1419"/>
      <c r="L28" s="1264" t="s">
        <v>682</v>
      </c>
      <c r="M28" s="1419"/>
      <c r="N28" s="1264" t="s">
        <v>682</v>
      </c>
      <c r="O28" s="1419"/>
      <c r="P28" s="1264"/>
      <c r="Q28" s="1419"/>
      <c r="R28" s="1264"/>
      <c r="S28" s="1419"/>
    </row>
    <row r="29" spans="1:41">
      <c r="A29" s="1412"/>
      <c r="B29" s="1429" t="s">
        <v>1194</v>
      </c>
      <c r="C29" s="415"/>
      <c r="D29" s="450">
        <f>SUM('08 50 Storefront &amp; Windows'!AB44:AB47)*0.67</f>
        <v>559.90560000000005</v>
      </c>
      <c r="E29" s="417" t="s">
        <v>511</v>
      </c>
      <c r="F29" s="431">
        <f t="shared" si="1"/>
        <v>4.8499999999999996</v>
      </c>
      <c r="G29" s="1428">
        <f t="shared" si="2"/>
        <v>2715.54216</v>
      </c>
      <c r="H29" s="1264"/>
      <c r="I29" s="1430">
        <f t="shared" si="0"/>
        <v>2715.54216</v>
      </c>
      <c r="J29" s="1264" t="s">
        <v>682</v>
      </c>
      <c r="K29" s="1419"/>
      <c r="L29" s="1264" t="s">
        <v>682</v>
      </c>
      <c r="M29" s="1419"/>
      <c r="N29" s="1264" t="s">
        <v>682</v>
      </c>
      <c r="O29" s="1419"/>
      <c r="P29" s="1264"/>
      <c r="Q29" s="1419"/>
      <c r="R29" s="1264"/>
      <c r="S29" s="1419"/>
    </row>
    <row r="30" spans="1:41">
      <c r="A30" s="1097"/>
      <c r="B30" s="1429" t="s">
        <v>1195</v>
      </c>
      <c r="C30" s="415"/>
      <c r="D30" s="450">
        <f>SUM('08 50 Storefront &amp; Windows'!AB49:AB63)*0.67</f>
        <v>5126.5318000000007</v>
      </c>
      <c r="E30" s="417" t="s">
        <v>511</v>
      </c>
      <c r="F30" s="431">
        <f t="shared" si="1"/>
        <v>4.8499999999999996</v>
      </c>
      <c r="G30" s="1428">
        <f t="shared" si="2"/>
        <v>24863.679230000002</v>
      </c>
      <c r="H30" s="1264"/>
      <c r="I30" s="1430">
        <f t="shared" si="0"/>
        <v>24863.679230000002</v>
      </c>
      <c r="J30" s="1264" t="s">
        <v>682</v>
      </c>
      <c r="K30" s="1419"/>
      <c r="L30" s="1264" t="s">
        <v>682</v>
      </c>
      <c r="M30" s="1419"/>
      <c r="N30" s="1264" t="s">
        <v>682</v>
      </c>
      <c r="O30" s="1419"/>
      <c r="P30" s="1264"/>
      <c r="Q30" s="1419"/>
      <c r="R30" s="1264"/>
      <c r="S30" s="1419"/>
    </row>
    <row r="31" spans="1:41">
      <c r="A31" s="1097"/>
      <c r="B31" s="1425"/>
      <c r="C31" s="23"/>
      <c r="D31" s="345"/>
      <c r="E31" s="266"/>
      <c r="F31" s="431"/>
      <c r="G31" s="1428"/>
      <c r="H31" s="1264"/>
      <c r="I31" s="1419"/>
      <c r="J31" s="1264"/>
      <c r="K31" s="1419"/>
      <c r="L31" s="1264"/>
      <c r="M31" s="1419"/>
      <c r="N31" s="1264"/>
      <c r="O31" s="1419"/>
      <c r="P31" s="1264"/>
      <c r="Q31" s="1419"/>
      <c r="R31" s="1264"/>
      <c r="S31" s="1419"/>
    </row>
    <row r="32" spans="1:41">
      <c r="A32" s="1412"/>
      <c r="B32" s="1425" t="s">
        <v>1196</v>
      </c>
      <c r="C32" s="23"/>
      <c r="D32" s="345"/>
      <c r="E32" s="266"/>
      <c r="F32" s="431"/>
      <c r="G32" s="1428"/>
      <c r="H32" s="1264"/>
      <c r="I32" s="1419"/>
      <c r="J32" s="1264"/>
      <c r="K32" s="1419"/>
      <c r="L32" s="1264"/>
      <c r="M32" s="1419"/>
      <c r="N32" s="1264"/>
      <c r="O32" s="1419"/>
      <c r="P32" s="1264"/>
      <c r="Q32" s="1419"/>
      <c r="R32" s="1264"/>
      <c r="S32" s="1419"/>
    </row>
    <row r="33" spans="1:19">
      <c r="A33" s="1412"/>
      <c r="B33" s="1429" t="s">
        <v>1197</v>
      </c>
      <c r="C33" s="23"/>
      <c r="D33" s="345"/>
      <c r="E33" s="266"/>
      <c r="F33" s="431"/>
      <c r="G33" s="1428"/>
      <c r="H33" s="1264"/>
      <c r="I33" s="1419"/>
      <c r="J33" s="1264"/>
      <c r="K33" s="1419"/>
      <c r="L33" s="1264"/>
      <c r="M33" s="1419"/>
      <c r="N33" s="1264"/>
      <c r="O33" s="1419"/>
      <c r="P33" s="1264"/>
      <c r="Q33" s="1419"/>
      <c r="R33" s="1264"/>
      <c r="S33" s="1419"/>
    </row>
    <row r="34" spans="1:19">
      <c r="A34" s="1412"/>
      <c r="B34" s="1431" t="s">
        <v>1193</v>
      </c>
      <c r="C34" s="23"/>
      <c r="D34" s="345">
        <f>SUM('08 50 Storefront &amp; Windows'!AB64)</f>
        <v>8677.2000000000007</v>
      </c>
      <c r="E34" s="266" t="s">
        <v>529</v>
      </c>
      <c r="F34" s="431">
        <v>6.5</v>
      </c>
      <c r="G34" s="1428">
        <f t="shared" ref="G34:G38" si="3">D34*F34</f>
        <v>56401.8</v>
      </c>
      <c r="H34" s="1264"/>
      <c r="I34" s="1430">
        <f>$G34</f>
        <v>56401.8</v>
      </c>
      <c r="J34" s="1264"/>
      <c r="K34" s="1430">
        <f>$G34</f>
        <v>56401.8</v>
      </c>
      <c r="L34" s="1264"/>
      <c r="M34" s="1430">
        <f>$G34</f>
        <v>56401.8</v>
      </c>
      <c r="N34" s="1264"/>
      <c r="O34" s="1430">
        <f>$G34</f>
        <v>56401.8</v>
      </c>
      <c r="P34" s="1264"/>
      <c r="Q34" s="1419"/>
      <c r="R34" s="1264"/>
      <c r="S34" s="1419"/>
    </row>
    <row r="35" spans="1:19">
      <c r="A35" s="1412"/>
      <c r="B35" s="1431" t="s">
        <v>1194</v>
      </c>
      <c r="C35" s="23"/>
      <c r="D35" s="345">
        <f>SUM('08 50 Storefront &amp; Windows'!AB44:AB47)</f>
        <v>835.68000000000006</v>
      </c>
      <c r="E35" s="266" t="s">
        <v>529</v>
      </c>
      <c r="F35" s="431">
        <v>6.5</v>
      </c>
      <c r="G35" s="1428">
        <f t="shared" si="3"/>
        <v>5431.92</v>
      </c>
      <c r="H35" s="1264"/>
      <c r="I35" s="1430">
        <f t="shared" ref="I35:O40" si="4">$G35</f>
        <v>5431.92</v>
      </c>
      <c r="J35" s="1264"/>
      <c r="K35" s="1430">
        <f t="shared" si="4"/>
        <v>5431.92</v>
      </c>
      <c r="L35" s="1264"/>
      <c r="M35" s="1430">
        <f t="shared" si="4"/>
        <v>5431.92</v>
      </c>
      <c r="N35" s="1264"/>
      <c r="O35" s="1430">
        <f t="shared" si="4"/>
        <v>5431.92</v>
      </c>
      <c r="P35" s="1264"/>
      <c r="Q35" s="1419"/>
      <c r="S35" s="1419"/>
    </row>
    <row r="36" spans="1:19">
      <c r="A36" s="1412"/>
      <c r="B36" s="1431" t="s">
        <v>1195</v>
      </c>
      <c r="C36" s="23"/>
      <c r="D36" s="345">
        <f>SUM('08 50 Storefront &amp; Windows'!AB49:AB63)</f>
        <v>7651.54</v>
      </c>
      <c r="E36" s="266" t="s">
        <v>529</v>
      </c>
      <c r="F36" s="431">
        <v>6.5</v>
      </c>
      <c r="G36" s="1428">
        <f t="shared" si="3"/>
        <v>49735.01</v>
      </c>
      <c r="H36" s="1264"/>
      <c r="I36" s="1430">
        <f t="shared" si="4"/>
        <v>49735.01</v>
      </c>
      <c r="J36" s="1264"/>
      <c r="K36" s="1430">
        <f t="shared" si="4"/>
        <v>49735.01</v>
      </c>
      <c r="L36" s="1264"/>
      <c r="M36" s="1430">
        <f t="shared" si="4"/>
        <v>49735.01</v>
      </c>
      <c r="N36" s="1264"/>
      <c r="O36" s="1430">
        <f t="shared" si="4"/>
        <v>49735.01</v>
      </c>
      <c r="P36" s="1264"/>
      <c r="Q36" s="1419"/>
      <c r="R36" s="1264"/>
      <c r="S36" s="1419"/>
    </row>
    <row r="37" spans="1:19">
      <c r="A37" s="1412"/>
      <c r="B37" s="1432" t="s">
        <v>1198</v>
      </c>
      <c r="C37" s="23"/>
      <c r="D37" s="345">
        <v>130</v>
      </c>
      <c r="E37" s="266" t="s">
        <v>529</v>
      </c>
      <c r="F37" s="431">
        <v>15</v>
      </c>
      <c r="G37" s="1428">
        <f t="shared" si="3"/>
        <v>1950</v>
      </c>
      <c r="H37" s="1264"/>
      <c r="I37" s="1430">
        <f t="shared" si="4"/>
        <v>1950</v>
      </c>
      <c r="J37" s="1264"/>
      <c r="K37" s="1430">
        <f t="shared" si="4"/>
        <v>1950</v>
      </c>
      <c r="L37" s="1264"/>
      <c r="M37" s="1430">
        <f t="shared" si="4"/>
        <v>1950</v>
      </c>
      <c r="N37" s="1264"/>
      <c r="O37" s="1430">
        <f t="shared" si="4"/>
        <v>1950</v>
      </c>
      <c r="P37" s="1264"/>
      <c r="Q37" s="1419"/>
      <c r="R37" s="1264"/>
      <c r="S37" s="1419"/>
    </row>
    <row r="38" spans="1:19">
      <c r="A38" s="1412"/>
      <c r="B38" s="1432" t="s">
        <v>1199</v>
      </c>
      <c r="C38" s="23"/>
      <c r="D38" s="345"/>
      <c r="E38" s="266" t="s">
        <v>529</v>
      </c>
      <c r="F38" s="431">
        <v>8</v>
      </c>
      <c r="G38" s="1428">
        <f t="shared" si="3"/>
        <v>0</v>
      </c>
      <c r="H38" s="1264"/>
      <c r="I38" s="1430">
        <f t="shared" si="4"/>
        <v>0</v>
      </c>
      <c r="J38" s="1264"/>
      <c r="K38" s="1430">
        <f t="shared" si="4"/>
        <v>0</v>
      </c>
      <c r="L38" s="1264"/>
      <c r="M38" s="1430">
        <f t="shared" si="4"/>
        <v>0</v>
      </c>
      <c r="N38" s="1264"/>
      <c r="O38" s="1430">
        <f t="shared" si="4"/>
        <v>0</v>
      </c>
      <c r="P38" s="1264"/>
      <c r="Q38" s="1419"/>
      <c r="R38" s="1264"/>
      <c r="S38" s="1419"/>
    </row>
    <row r="39" spans="1:19">
      <c r="A39" s="1412"/>
      <c r="B39" s="1163"/>
      <c r="C39" s="23"/>
      <c r="D39" s="345"/>
      <c r="E39" s="266"/>
      <c r="F39" s="431"/>
      <c r="G39" s="1428"/>
      <c r="H39" s="1264"/>
      <c r="I39" s="1419"/>
      <c r="J39" s="1264"/>
      <c r="K39" s="1419"/>
      <c r="L39" s="1264"/>
      <c r="M39" s="1419"/>
      <c r="N39" s="1264"/>
      <c r="O39" s="1419"/>
      <c r="P39" s="1264"/>
      <c r="Q39" s="1419"/>
      <c r="R39" s="1264"/>
      <c r="S39" s="1419"/>
    </row>
    <row r="40" spans="1:19">
      <c r="A40" s="1412"/>
      <c r="B40" s="1163" t="s">
        <v>1200</v>
      </c>
      <c r="C40" s="23"/>
      <c r="D40" s="345">
        <f>238+552</f>
        <v>790</v>
      </c>
      <c r="E40" s="266" t="s">
        <v>511</v>
      </c>
      <c r="F40" s="431">
        <v>10</v>
      </c>
      <c r="G40" s="1428">
        <f t="shared" ref="G40" si="5">D40*F40</f>
        <v>7900</v>
      </c>
      <c r="H40" s="1264"/>
      <c r="I40" s="1430">
        <f t="shared" si="4"/>
        <v>7900</v>
      </c>
      <c r="J40" s="1264"/>
      <c r="K40" s="1430">
        <f t="shared" si="4"/>
        <v>7900</v>
      </c>
      <c r="L40" s="1264"/>
      <c r="M40" s="1419">
        <v>41829</v>
      </c>
      <c r="N40" s="1264"/>
      <c r="O40" s="1419">
        <v>24350</v>
      </c>
      <c r="P40" s="1264"/>
      <c r="Q40" s="1419"/>
      <c r="R40" s="1264"/>
      <c r="S40" s="1419"/>
    </row>
    <row r="41" spans="1:19">
      <c r="A41" s="1412"/>
      <c r="B41" s="1432" t="s">
        <v>1201</v>
      </c>
      <c r="C41" s="23"/>
      <c r="D41" s="345"/>
      <c r="E41" s="266"/>
      <c r="F41" s="431"/>
      <c r="G41" s="1428"/>
      <c r="H41" s="1264"/>
      <c r="I41" s="1419"/>
      <c r="J41" s="1264"/>
      <c r="K41" s="1419"/>
      <c r="L41" s="1264"/>
      <c r="M41" s="1419"/>
      <c r="N41" s="1264"/>
      <c r="O41" s="1419"/>
      <c r="P41" s="1264"/>
      <c r="Q41" s="1419"/>
      <c r="R41" s="1264"/>
      <c r="S41" s="1419"/>
    </row>
    <row r="42" spans="1:19">
      <c r="A42" s="1412"/>
      <c r="B42" s="1432" t="s">
        <v>1202</v>
      </c>
      <c r="C42" s="23"/>
      <c r="D42" s="345"/>
      <c r="E42" s="266"/>
      <c r="F42" s="431"/>
      <c r="G42" s="1428"/>
      <c r="H42" s="1264"/>
      <c r="I42" s="1419"/>
      <c r="J42" s="1264"/>
      <c r="K42" s="1419"/>
      <c r="L42" s="1264"/>
      <c r="M42" s="1419"/>
      <c r="N42" s="1264"/>
      <c r="O42" s="1419"/>
      <c r="P42" s="1264"/>
      <c r="Q42" s="1419"/>
      <c r="R42" s="1264"/>
      <c r="S42" s="1419"/>
    </row>
    <row r="43" spans="1:19">
      <c r="A43" s="1412"/>
      <c r="B43" s="1163"/>
      <c r="C43" s="23"/>
      <c r="D43" s="345"/>
      <c r="E43" s="266"/>
      <c r="F43" s="431"/>
      <c r="G43" s="1428"/>
      <c r="H43" s="1264"/>
      <c r="I43" s="1419"/>
      <c r="J43" s="1264"/>
      <c r="K43" s="1419"/>
      <c r="L43" s="1264"/>
      <c r="M43" s="1419"/>
      <c r="N43" s="1264"/>
      <c r="O43" s="1419"/>
      <c r="P43" s="1264"/>
      <c r="Q43" s="1419"/>
      <c r="R43" s="1264"/>
      <c r="S43" s="1419"/>
    </row>
    <row r="44" spans="1:19">
      <c r="A44" s="1412"/>
      <c r="B44" s="1163" t="s">
        <v>1203</v>
      </c>
      <c r="C44" s="23"/>
      <c r="D44" s="736">
        <v>52770</v>
      </c>
      <c r="E44" s="266" t="s">
        <v>511</v>
      </c>
      <c r="F44" s="737">
        <v>5</v>
      </c>
      <c r="G44" s="1433">
        <f t="shared" ref="G44" si="6">D44*F44</f>
        <v>263850</v>
      </c>
      <c r="H44" s="1264"/>
      <c r="I44" s="1430">
        <f t="shared" ref="I44" si="7">$G44</f>
        <v>263850</v>
      </c>
      <c r="J44" s="1264"/>
      <c r="K44" s="1419">
        <v>229730</v>
      </c>
      <c r="L44" s="1264"/>
      <c r="M44" s="1419">
        <v>612834</v>
      </c>
      <c r="N44" s="1264"/>
      <c r="O44" s="1419">
        <v>382000</v>
      </c>
      <c r="P44" s="1264"/>
      <c r="Q44" s="1419"/>
      <c r="R44" s="1264"/>
      <c r="S44" s="1419"/>
    </row>
    <row r="45" spans="1:19">
      <c r="A45" s="1412"/>
      <c r="B45" s="1434" t="s">
        <v>1204</v>
      </c>
      <c r="C45" s="23"/>
      <c r="D45" s="345"/>
      <c r="E45" s="266"/>
      <c r="F45" s="431"/>
      <c r="G45" s="1428"/>
      <c r="H45" s="1264"/>
      <c r="I45" s="1419"/>
      <c r="J45" s="1264"/>
      <c r="K45" s="1419"/>
      <c r="L45" s="1264"/>
      <c r="M45" s="1419"/>
      <c r="N45" s="1264"/>
      <c r="O45" s="1419"/>
      <c r="P45" s="1264"/>
      <c r="Q45" s="1419"/>
      <c r="R45" s="1264"/>
      <c r="S45" s="1419"/>
    </row>
    <row r="46" spans="1:19">
      <c r="A46" s="1412"/>
      <c r="B46" s="1434" t="s">
        <v>1205</v>
      </c>
      <c r="C46" s="23"/>
      <c r="D46" s="345"/>
      <c r="E46" s="266"/>
      <c r="F46" s="431"/>
      <c r="G46" s="1428"/>
      <c r="H46" s="1264"/>
      <c r="I46" s="1419"/>
      <c r="J46" s="1264"/>
      <c r="K46" s="1419"/>
      <c r="L46" s="1264"/>
      <c r="M46" s="1419"/>
      <c r="N46" s="1264"/>
      <c r="O46" s="1419"/>
      <c r="P46" s="1264"/>
      <c r="Q46" s="1419"/>
      <c r="R46" s="1264"/>
      <c r="S46" s="1419"/>
    </row>
    <row r="47" spans="1:19">
      <c r="A47" s="1412"/>
      <c r="B47" s="1434" t="s">
        <v>1206</v>
      </c>
      <c r="C47" s="23"/>
      <c r="D47" s="345"/>
      <c r="E47" s="266"/>
      <c r="F47" s="431"/>
      <c r="G47" s="1428"/>
      <c r="H47" s="1264"/>
      <c r="I47" s="1419"/>
      <c r="J47" s="1264"/>
      <c r="K47" s="1419"/>
      <c r="L47" s="1264"/>
      <c r="M47" s="1419"/>
      <c r="N47" s="1264"/>
      <c r="O47" s="1419"/>
      <c r="P47" s="1264"/>
      <c r="Q47" s="1419"/>
      <c r="R47" s="1264"/>
      <c r="S47" s="1419"/>
    </row>
    <row r="48" spans="1:19">
      <c r="A48" s="1412"/>
      <c r="B48" s="1163"/>
      <c r="C48" s="23"/>
      <c r="D48" s="345"/>
      <c r="E48" s="266"/>
      <c r="F48" s="431"/>
      <c r="G48" s="1428"/>
      <c r="H48" s="1264"/>
      <c r="I48" s="1419"/>
      <c r="J48" s="1264"/>
      <c r="K48" s="1419"/>
      <c r="L48" s="1264"/>
      <c r="M48" s="1419"/>
      <c r="N48" s="1264"/>
      <c r="O48" s="1419"/>
      <c r="P48" s="1264"/>
      <c r="Q48" s="1419"/>
      <c r="R48" s="1264"/>
      <c r="S48" s="1419"/>
    </row>
    <row r="49" spans="1:19">
      <c r="A49" s="1412"/>
      <c r="B49" s="1163" t="s">
        <v>1207</v>
      </c>
      <c r="C49" s="23"/>
      <c r="D49" s="345">
        <v>382</v>
      </c>
      <c r="E49" s="266" t="s">
        <v>468</v>
      </c>
      <c r="F49" s="431"/>
      <c r="G49" s="1428"/>
      <c r="H49" s="1264"/>
      <c r="I49" s="1419"/>
      <c r="J49" s="1264"/>
      <c r="K49" s="1419"/>
      <c r="L49" s="1264"/>
      <c r="M49" s="1419"/>
      <c r="N49" s="1264"/>
      <c r="O49" s="1419"/>
      <c r="P49" s="1264"/>
      <c r="Q49" s="1419"/>
      <c r="R49" s="1264"/>
      <c r="S49" s="1419"/>
    </row>
    <row r="50" spans="1:19">
      <c r="A50" s="1412"/>
      <c r="B50" s="1432" t="s">
        <v>1208</v>
      </c>
      <c r="C50" s="23"/>
      <c r="D50" s="345">
        <v>382</v>
      </c>
      <c r="E50" s="266" t="s">
        <v>468</v>
      </c>
      <c r="F50" s="431">
        <f>20*10</f>
        <v>200</v>
      </c>
      <c r="G50" s="1433">
        <f t="shared" ref="G50:G51" si="8">D50*F50</f>
        <v>76400</v>
      </c>
      <c r="H50" s="1264"/>
      <c r="I50" s="1430">
        <f t="shared" ref="I50:O51" si="9">$G50</f>
        <v>76400</v>
      </c>
      <c r="J50" s="1264"/>
      <c r="K50" s="1430">
        <f t="shared" si="9"/>
        <v>76400</v>
      </c>
      <c r="L50" s="1264"/>
      <c r="M50" s="1430">
        <f t="shared" si="9"/>
        <v>76400</v>
      </c>
      <c r="N50" s="1264"/>
      <c r="O50" s="1430">
        <f t="shared" si="9"/>
        <v>76400</v>
      </c>
      <c r="P50" s="1264"/>
      <c r="Q50" s="1419"/>
      <c r="R50" s="1264"/>
      <c r="S50" s="1419"/>
    </row>
    <row r="51" spans="1:19">
      <c r="A51" s="1412"/>
      <c r="B51" s="1432" t="s">
        <v>1209</v>
      </c>
      <c r="C51" s="23"/>
      <c r="D51" s="345">
        <v>382</v>
      </c>
      <c r="E51" s="266" t="s">
        <v>468</v>
      </c>
      <c r="F51" s="431">
        <v>130</v>
      </c>
      <c r="G51" s="1433">
        <f t="shared" si="8"/>
        <v>49660</v>
      </c>
      <c r="H51" s="1264"/>
      <c r="I51" s="1430">
        <f t="shared" si="9"/>
        <v>49660</v>
      </c>
      <c r="J51" s="1264"/>
      <c r="K51" s="1430">
        <f t="shared" si="9"/>
        <v>49660</v>
      </c>
      <c r="L51" s="1264"/>
      <c r="M51" s="1430">
        <f t="shared" si="9"/>
        <v>49660</v>
      </c>
      <c r="N51" s="1264"/>
      <c r="O51" s="1430">
        <f t="shared" si="9"/>
        <v>49660</v>
      </c>
      <c r="P51" s="1264"/>
      <c r="Q51" s="1419"/>
      <c r="R51" s="1264"/>
      <c r="S51" s="1419"/>
    </row>
    <row r="52" spans="1:19">
      <c r="A52" s="1412"/>
      <c r="B52" s="1163"/>
      <c r="C52" s="23"/>
      <c r="D52" s="345"/>
      <c r="E52" s="266"/>
      <c r="F52" s="431"/>
      <c r="G52" s="1428"/>
      <c r="H52" s="1264"/>
      <c r="I52" s="1419"/>
      <c r="J52" s="1264"/>
      <c r="K52" s="1419"/>
      <c r="L52" s="1264"/>
      <c r="M52" s="1419"/>
      <c r="N52" s="1264"/>
      <c r="O52" s="1419"/>
      <c r="P52" s="1264"/>
      <c r="Q52" s="1419"/>
      <c r="R52" s="1264"/>
      <c r="S52" s="1419"/>
    </row>
    <row r="53" spans="1:19">
      <c r="A53" s="1412"/>
      <c r="B53" s="1163"/>
      <c r="C53" s="23"/>
      <c r="D53" s="345"/>
      <c r="E53" s="266"/>
      <c r="F53" s="431"/>
      <c r="G53" s="1428"/>
      <c r="H53" s="1264"/>
      <c r="I53" s="1419"/>
      <c r="J53" s="1264"/>
      <c r="K53" s="1419"/>
      <c r="L53" s="1264"/>
      <c r="M53" s="1419"/>
      <c r="N53" s="1264"/>
      <c r="O53" s="1419"/>
      <c r="P53" s="1264"/>
      <c r="Q53" s="1419"/>
      <c r="R53" s="1264"/>
      <c r="S53" s="1419"/>
    </row>
    <row r="54" spans="1:19">
      <c r="A54" s="1412"/>
      <c r="B54" s="1163"/>
      <c r="C54" s="23"/>
      <c r="D54" s="345"/>
      <c r="E54" s="266"/>
      <c r="F54" s="431"/>
      <c r="G54" s="830"/>
      <c r="H54" s="1264"/>
      <c r="I54" s="1419"/>
      <c r="J54" s="1264"/>
      <c r="K54" s="1419"/>
      <c r="L54" s="1264"/>
      <c r="M54" s="1419"/>
      <c r="N54" s="1264"/>
      <c r="O54" s="1419"/>
      <c r="P54" s="1264"/>
      <c r="Q54" s="1419"/>
      <c r="R54" s="1264"/>
      <c r="S54" s="1419"/>
    </row>
    <row r="55" spans="1:19" ht="15.75" thickBot="1">
      <c r="A55" s="1412"/>
      <c r="B55" s="1163"/>
      <c r="C55" s="23"/>
      <c r="D55" s="345"/>
      <c r="E55" s="266"/>
      <c r="F55" s="431"/>
      <c r="G55" s="830"/>
      <c r="H55" s="1264"/>
      <c r="I55" s="1419"/>
      <c r="J55" s="1264"/>
      <c r="K55" s="1419"/>
      <c r="L55" s="1264"/>
      <c r="M55" s="1419"/>
      <c r="N55" s="1264"/>
      <c r="O55" s="1419"/>
      <c r="P55" s="1264"/>
      <c r="Q55" s="1419"/>
      <c r="R55" s="1264"/>
      <c r="S55" s="1419"/>
    </row>
    <row r="56" spans="1:19" ht="15.75" thickTop="1">
      <c r="A56" s="296"/>
      <c r="B56" s="301"/>
      <c r="C56" s="297"/>
      <c r="D56" s="346"/>
      <c r="E56" s="349"/>
      <c r="F56" s="282" t="s">
        <v>753</v>
      </c>
      <c r="G56" s="272">
        <f>SUM(G20:G55)</f>
        <v>707250.11278999993</v>
      </c>
      <c r="H56" s="273"/>
      <c r="I56" s="273">
        <f>SUM(I20:I55)</f>
        <v>707250.11278999993</v>
      </c>
      <c r="J56" s="273"/>
      <c r="K56" s="273">
        <f>SUM(K20:K55)</f>
        <v>673130.11278999993</v>
      </c>
      <c r="L56" s="273"/>
      <c r="M56" s="273">
        <f>SUM(M20:M55)</f>
        <v>1047798.73</v>
      </c>
      <c r="N56" s="273"/>
      <c r="O56" s="273">
        <f>SUM(O20:O55)</f>
        <v>1298128.73</v>
      </c>
      <c r="P56" s="273"/>
      <c r="Q56" s="273">
        <f>SUM(Q20:Q55)</f>
        <v>0</v>
      </c>
      <c r="R56" s="273"/>
      <c r="S56" s="273">
        <f>SUM(S20:S55)</f>
        <v>0</v>
      </c>
    </row>
    <row r="57" spans="1:19">
      <c r="A57" s="1114"/>
      <c r="B57" s="1164"/>
      <c r="C57" s="432"/>
      <c r="D57" s="452"/>
      <c r="E57" s="453"/>
      <c r="F57" s="435" t="s">
        <v>754</v>
      </c>
      <c r="G57" s="436"/>
      <c r="H57" s="1255">
        <v>5.0000000000000001E-3</v>
      </c>
      <c r="I57" s="1166"/>
      <c r="J57" s="1165">
        <v>0</v>
      </c>
      <c r="K57" s="1166"/>
      <c r="L57" s="1165">
        <v>0</v>
      </c>
      <c r="M57" s="1166"/>
      <c r="N57" s="1165">
        <v>0</v>
      </c>
      <c r="O57" s="1166"/>
      <c r="P57" s="1165">
        <v>0</v>
      </c>
      <c r="Q57" s="1166"/>
      <c r="R57" s="1165">
        <v>0</v>
      </c>
      <c r="S57" s="1166"/>
    </row>
    <row r="58" spans="1:19">
      <c r="A58" s="1114"/>
      <c r="B58" s="1164"/>
      <c r="C58" s="432"/>
      <c r="D58" s="452"/>
      <c r="E58" s="453"/>
      <c r="F58" s="435" t="s">
        <v>755</v>
      </c>
      <c r="G58" s="436"/>
      <c r="H58" s="1166"/>
      <c r="I58" s="1166">
        <f>I56*H57</f>
        <v>3536.2505639499996</v>
      </c>
      <c r="J58" s="1166"/>
      <c r="K58" s="1166">
        <f>K56*J57</f>
        <v>0</v>
      </c>
      <c r="L58" s="1166"/>
      <c r="M58" s="1166">
        <f>M56*L57</f>
        <v>0</v>
      </c>
      <c r="N58" s="1166"/>
      <c r="O58" s="1166">
        <f>O56*N57</f>
        <v>0</v>
      </c>
      <c r="P58" s="1166"/>
      <c r="Q58" s="1166">
        <f>Q56*P57</f>
        <v>0</v>
      </c>
      <c r="R58" s="1166"/>
      <c r="S58" s="1166">
        <f>S56*R57</f>
        <v>0</v>
      </c>
    </row>
    <row r="59" spans="1:19">
      <c r="A59" s="1114"/>
      <c r="B59" s="1164"/>
      <c r="C59" s="432"/>
      <c r="D59" s="452"/>
      <c r="E59" s="453"/>
      <c r="F59" s="435"/>
      <c r="G59" s="436"/>
      <c r="H59" s="1166"/>
      <c r="I59" s="1166"/>
      <c r="J59" s="1166"/>
      <c r="K59" s="1166"/>
      <c r="L59" s="1166"/>
      <c r="M59" s="1166"/>
      <c r="N59" s="1166"/>
      <c r="O59" s="1166"/>
      <c r="P59" s="1166"/>
      <c r="Q59" s="1166"/>
      <c r="R59" s="1166"/>
      <c r="S59" s="1166"/>
    </row>
    <row r="60" spans="1:19">
      <c r="A60" s="1114"/>
      <c r="B60" s="1164"/>
      <c r="C60" s="432"/>
      <c r="D60" s="452"/>
      <c r="E60" s="453"/>
      <c r="F60" s="435" t="s">
        <v>756</v>
      </c>
      <c r="G60" s="436"/>
      <c r="H60" s="1166"/>
      <c r="I60" s="1166">
        <f>SUM(I56:I58)</f>
        <v>710786.36335394997</v>
      </c>
      <c r="J60" s="1166"/>
      <c r="K60" s="1166">
        <f>SUM(K56:K58)</f>
        <v>673130.11278999993</v>
      </c>
      <c r="L60" s="1166"/>
      <c r="M60" s="1166">
        <f>SUM(M56:M59)</f>
        <v>1047798.73</v>
      </c>
      <c r="N60" s="1166"/>
      <c r="O60" s="1166">
        <f>SUM(O56:O58)</f>
        <v>1298128.73</v>
      </c>
      <c r="P60" s="1166"/>
      <c r="Q60" s="1166">
        <f>SUM(Q56:Q58)</f>
        <v>0</v>
      </c>
      <c r="R60" s="1166"/>
      <c r="S60" s="1166">
        <f>SUM(S56:S58)</f>
        <v>0</v>
      </c>
    </row>
    <row r="61" spans="1:19">
      <c r="A61" s="1114"/>
      <c r="B61" s="1164"/>
      <c r="C61" s="432"/>
      <c r="D61" s="452"/>
      <c r="E61" s="453"/>
      <c r="F61" s="437" t="s">
        <v>757</v>
      </c>
      <c r="G61" s="438"/>
      <c r="H61" s="1167"/>
      <c r="I61" s="1167">
        <f>I60/'Area Calculations'!$G$4</f>
        <v>1.2283252313590984</v>
      </c>
      <c r="J61" s="1167"/>
      <c r="K61" s="1167">
        <f>K60/'Area Calculations'!$G$4</f>
        <v>1.1632506532990703</v>
      </c>
      <c r="L61" s="1167"/>
      <c r="M61" s="1167">
        <f>M60/'Area Calculations'!$G$4</f>
        <v>1.8107235644926321</v>
      </c>
      <c r="N61" s="1167"/>
      <c r="O61" s="1167">
        <f>O60/'Area Calculations'!$G$4</f>
        <v>2.2433242318931743</v>
      </c>
      <c r="P61" s="1167"/>
      <c r="Q61" s="1167">
        <f>Q60/'Area Calculations'!$G$4</f>
        <v>0</v>
      </c>
      <c r="R61" s="1167"/>
      <c r="S61" s="1167">
        <f>S60/'Area Calculations'!$G$4</f>
        <v>0</v>
      </c>
    </row>
    <row r="62" spans="1:19">
      <c r="A62" s="1114"/>
      <c r="B62" s="1164"/>
      <c r="C62" s="432"/>
      <c r="D62" s="452"/>
      <c r="E62" s="453"/>
      <c r="F62" s="437" t="s">
        <v>758</v>
      </c>
      <c r="G62" s="438"/>
      <c r="H62" s="1167"/>
      <c r="I62" s="1167">
        <f>I60/'Area Calculations'!$G$9</f>
        <v>6642.8632089154207</v>
      </c>
      <c r="J62" s="1167"/>
      <c r="K62" s="1167">
        <f>K60/'Area Calculations'!$G$9</f>
        <v>6290.9356335514012</v>
      </c>
      <c r="L62" s="1167"/>
      <c r="M62" s="1167">
        <f>M60/'Area Calculations'!$G$9</f>
        <v>9792.5114953271022</v>
      </c>
      <c r="N62" s="1167"/>
      <c r="O62" s="1167">
        <f>O60/'Area Calculations'!$G$9</f>
        <v>12132.044205607477</v>
      </c>
      <c r="P62" s="1167"/>
      <c r="Q62" s="1167">
        <f>Q60/'Area Calculations'!$G$9</f>
        <v>0</v>
      </c>
      <c r="R62" s="1167"/>
      <c r="S62" s="1167">
        <f>S60/'Area Calculations'!$G$9</f>
        <v>0</v>
      </c>
    </row>
    <row r="63" spans="1:19" ht="15.75" thickBot="1">
      <c r="A63" s="1114"/>
      <c r="B63" s="1164"/>
      <c r="C63" s="432"/>
      <c r="D63" s="452"/>
      <c r="E63" s="453"/>
      <c r="F63" s="439"/>
      <c r="G63" s="436"/>
      <c r="H63" s="1168"/>
      <c r="I63" s="1168"/>
      <c r="J63" s="1168"/>
      <c r="K63" s="1168"/>
      <c r="L63" s="1168"/>
      <c r="M63" s="1168"/>
      <c r="N63" s="1168"/>
      <c r="O63" s="1168"/>
      <c r="P63" s="1168"/>
      <c r="Q63" s="1168"/>
      <c r="R63" s="1168"/>
      <c r="S63" s="1168"/>
    </row>
    <row r="64" spans="1:19" ht="16.5" thickTop="1" thickBot="1">
      <c r="A64" s="2331" t="s">
        <v>759</v>
      </c>
      <c r="B64" s="2332"/>
      <c r="C64" s="298"/>
      <c r="D64" s="347"/>
      <c r="E64" s="350"/>
      <c r="F64" s="12"/>
      <c r="G64" s="26"/>
      <c r="H64" s="20"/>
      <c r="I64" s="20"/>
      <c r="J64" s="20"/>
      <c r="K64" s="20"/>
      <c r="L64" s="24"/>
      <c r="M64" s="20"/>
      <c r="N64" s="20"/>
      <c r="O64" s="20"/>
      <c r="P64" s="20"/>
      <c r="Q64" s="20"/>
      <c r="R64" s="20"/>
      <c r="S64" s="20"/>
    </row>
    <row r="65" spans="1:34" ht="15.75" thickTop="1">
      <c r="A65" s="1403"/>
      <c r="B65" s="1105" t="s">
        <v>1210</v>
      </c>
      <c r="C65" s="1396"/>
      <c r="D65" s="1414"/>
      <c r="E65" s="1415"/>
      <c r="F65" s="1435"/>
      <c r="G65" s="1404"/>
      <c r="H65" s="1406"/>
      <c r="I65" s="1406"/>
      <c r="J65" s="1406"/>
      <c r="K65" s="1406"/>
      <c r="L65" s="1405"/>
      <c r="M65" s="1406"/>
      <c r="N65" s="1406"/>
      <c r="O65" s="1406"/>
      <c r="P65" s="1406"/>
      <c r="Q65" s="1406"/>
      <c r="R65" s="1406"/>
      <c r="S65" s="1406"/>
    </row>
    <row r="66" spans="1:34">
      <c r="A66" s="1403"/>
      <c r="B66" s="1105" t="s">
        <v>1211</v>
      </c>
      <c r="C66" s="1396"/>
      <c r="D66" s="1414"/>
      <c r="E66" s="1415"/>
      <c r="F66" s="1435"/>
      <c r="G66" s="1404"/>
      <c r="H66" s="1406"/>
      <c r="I66" s="1406"/>
      <c r="J66" s="1406"/>
      <c r="K66" s="1406"/>
      <c r="L66" s="1405"/>
      <c r="M66" s="1406"/>
      <c r="N66" s="1406"/>
      <c r="O66" s="1406"/>
      <c r="P66" s="1406"/>
      <c r="Q66" s="1406"/>
      <c r="R66" s="1406"/>
      <c r="S66" s="1406"/>
    </row>
    <row r="67" spans="1:34" ht="15.75" thickBot="1">
      <c r="A67" s="1403"/>
      <c r="B67" s="1105"/>
      <c r="C67" s="1396"/>
      <c r="D67" s="1414"/>
      <c r="E67" s="1415"/>
      <c r="F67" s="1435"/>
      <c r="G67" s="1404"/>
      <c r="H67" s="1406"/>
      <c r="I67" s="1406"/>
      <c r="J67" s="1406"/>
      <c r="K67" s="1406"/>
      <c r="L67" s="1405"/>
      <c r="M67" s="1406"/>
      <c r="N67" s="1406"/>
      <c r="O67" s="1406"/>
      <c r="P67" s="1406"/>
      <c r="Q67" s="1406"/>
      <c r="R67" s="1406"/>
      <c r="S67" s="1406"/>
    </row>
    <row r="68" spans="1:34" s="2" customFormat="1" ht="16.5" thickTop="1" thickBot="1">
      <c r="A68" s="2331" t="s">
        <v>760</v>
      </c>
      <c r="B68" s="2332"/>
      <c r="C68" s="298"/>
      <c r="D68" s="347"/>
      <c r="E68" s="350"/>
      <c r="F68" s="12"/>
      <c r="G68" s="26"/>
      <c r="H68" s="20"/>
      <c r="I68" s="20"/>
      <c r="J68" s="20"/>
      <c r="K68" s="20"/>
      <c r="L68" s="24"/>
      <c r="M68" s="20"/>
      <c r="N68" s="20"/>
      <c r="O68" s="20"/>
      <c r="P68" s="20"/>
      <c r="Q68" s="20"/>
      <c r="R68" s="20"/>
      <c r="S68" s="20"/>
      <c r="T68"/>
      <c r="U68"/>
      <c r="V68"/>
      <c r="W68"/>
      <c r="X68"/>
      <c r="Y68"/>
      <c r="Z68"/>
      <c r="AA68"/>
      <c r="AB68"/>
      <c r="AC68"/>
      <c r="AD68"/>
      <c r="AE68"/>
      <c r="AF68"/>
      <c r="AG68"/>
      <c r="AH68"/>
    </row>
    <row r="69" spans="1:34" s="2" customFormat="1" ht="15.75" thickTop="1">
      <c r="A69" s="1403"/>
      <c r="B69" s="1105"/>
      <c r="C69" s="1396"/>
      <c r="D69" s="1414"/>
      <c r="E69" s="1415"/>
      <c r="F69" s="1435"/>
      <c r="G69" s="1404"/>
      <c r="H69" s="1406"/>
      <c r="I69" s="1406"/>
      <c r="J69" s="1406"/>
      <c r="K69" s="1406"/>
      <c r="L69" s="1405"/>
      <c r="M69" s="1406"/>
      <c r="N69" s="1406"/>
      <c r="O69" s="1406"/>
      <c r="P69" s="1406"/>
      <c r="Q69" s="1406"/>
      <c r="R69" s="1406"/>
      <c r="S69" s="1406"/>
      <c r="T69"/>
      <c r="U69"/>
      <c r="V69"/>
      <c r="W69"/>
      <c r="X69"/>
      <c r="Y69"/>
      <c r="Z69"/>
      <c r="AA69"/>
      <c r="AB69"/>
      <c r="AC69"/>
      <c r="AD69"/>
      <c r="AE69"/>
      <c r="AF69"/>
      <c r="AG69"/>
      <c r="AH69"/>
    </row>
    <row r="70" spans="1:34" s="2" customFormat="1">
      <c r="A70" s="1403"/>
      <c r="B70" s="1105"/>
      <c r="C70" s="1396"/>
      <c r="D70" s="1414"/>
      <c r="E70" s="1415"/>
      <c r="F70" s="1435"/>
      <c r="G70" s="1404"/>
      <c r="H70" s="1406"/>
      <c r="I70" s="1406"/>
      <c r="J70" s="1406"/>
      <c r="K70" s="1406"/>
      <c r="L70" s="1405"/>
      <c r="M70" s="1406"/>
      <c r="N70" s="1406"/>
      <c r="O70" s="1406"/>
      <c r="P70" s="1406"/>
      <c r="Q70" s="1406"/>
      <c r="R70" s="1406"/>
      <c r="S70" s="1406"/>
      <c r="T70"/>
      <c r="U70"/>
      <c r="V70"/>
      <c r="W70"/>
      <c r="X70"/>
      <c r="Y70"/>
      <c r="Z70"/>
      <c r="AA70"/>
      <c r="AB70"/>
      <c r="AC70"/>
      <c r="AD70"/>
      <c r="AE70"/>
      <c r="AF70"/>
      <c r="AG70"/>
      <c r="AH70"/>
    </row>
    <row r="71" spans="1:34" ht="15.75" thickBot="1">
      <c r="A71" s="1403"/>
      <c r="B71" s="1105"/>
      <c r="C71" s="1396"/>
      <c r="D71" s="1414"/>
      <c r="E71" s="1415"/>
      <c r="F71" s="1435"/>
      <c r="G71" s="1404"/>
      <c r="H71" s="1406"/>
      <c r="I71" s="1406"/>
      <c r="J71" s="1406"/>
      <c r="K71" s="1406"/>
      <c r="L71" s="1405"/>
      <c r="M71" s="1406"/>
      <c r="N71" s="1406"/>
      <c r="O71" s="1406"/>
      <c r="P71" s="1406"/>
      <c r="Q71" s="1406"/>
      <c r="R71" s="1406"/>
      <c r="S71" s="1406"/>
    </row>
    <row r="72" spans="1:34" s="2" customFormat="1" ht="16.5" thickTop="1" thickBot="1">
      <c r="A72" s="2331" t="s">
        <v>761</v>
      </c>
      <c r="B72" s="2332"/>
      <c r="C72" s="298"/>
      <c r="D72" s="347"/>
      <c r="E72" s="350"/>
      <c r="F72" s="12"/>
      <c r="G72" s="26"/>
      <c r="H72" s="20"/>
      <c r="I72" s="20"/>
      <c r="J72" s="20"/>
      <c r="K72" s="20"/>
      <c r="L72" s="24"/>
      <c r="M72" s="20"/>
      <c r="N72" s="20"/>
      <c r="O72" s="20"/>
      <c r="P72" s="20"/>
      <c r="Q72" s="20"/>
      <c r="R72" s="20"/>
      <c r="S72" s="20"/>
      <c r="T72"/>
      <c r="U72"/>
      <c r="V72"/>
      <c r="W72"/>
      <c r="X72"/>
      <c r="Y72"/>
      <c r="Z72"/>
      <c r="AA72"/>
      <c r="AB72"/>
      <c r="AC72"/>
      <c r="AD72"/>
      <c r="AE72"/>
      <c r="AF72"/>
      <c r="AG72"/>
      <c r="AH72"/>
    </row>
    <row r="73" spans="1:34" s="2" customFormat="1" ht="15.75" thickTop="1">
      <c r="A73" s="1403"/>
      <c r="B73" s="1105"/>
      <c r="C73" s="1396"/>
      <c r="D73" s="1414"/>
      <c r="E73" s="1415"/>
      <c r="F73" s="1435"/>
      <c r="G73" s="1404"/>
      <c r="H73" s="1406"/>
      <c r="I73" s="1406"/>
      <c r="J73" s="1406"/>
      <c r="K73" s="1406"/>
      <c r="L73" s="1405"/>
      <c r="M73" s="1406"/>
      <c r="N73" s="1406"/>
      <c r="O73" s="1406"/>
      <c r="P73" s="1406"/>
      <c r="Q73" s="1406"/>
      <c r="R73" s="1406"/>
      <c r="S73" s="1406"/>
      <c r="T73"/>
      <c r="U73"/>
      <c r="V73"/>
      <c r="W73"/>
      <c r="X73"/>
      <c r="Y73"/>
      <c r="Z73"/>
      <c r="AA73"/>
      <c r="AB73"/>
      <c r="AC73"/>
      <c r="AD73"/>
      <c r="AE73"/>
      <c r="AF73"/>
      <c r="AG73"/>
      <c r="AH73"/>
    </row>
    <row r="74" spans="1:34" s="2" customFormat="1">
      <c r="A74" s="1124"/>
      <c r="B74" s="1105"/>
      <c r="C74" s="415"/>
      <c r="D74" s="416"/>
      <c r="E74" s="417"/>
      <c r="F74" s="422"/>
      <c r="G74" s="831"/>
      <c r="H74" s="1173"/>
      <c r="I74" s="1173"/>
      <c r="J74" s="1173"/>
      <c r="K74" s="1173"/>
      <c r="L74" s="440"/>
      <c r="M74" s="1173"/>
      <c r="N74" s="1173"/>
      <c r="O74" s="1173"/>
      <c r="P74" s="1173"/>
      <c r="Q74" s="1173"/>
      <c r="R74" s="1173"/>
      <c r="S74" s="1173"/>
      <c r="T74"/>
      <c r="U74"/>
      <c r="V74"/>
      <c r="W74"/>
      <c r="X74"/>
      <c r="Y74"/>
      <c r="Z74"/>
      <c r="AA74"/>
      <c r="AB74"/>
      <c r="AC74"/>
      <c r="AD74"/>
      <c r="AE74"/>
      <c r="AF74"/>
      <c r="AG74"/>
      <c r="AH74"/>
    </row>
    <row r="75" spans="1:34" s="2" customFormat="1" ht="15.75" thickBot="1">
      <c r="A75" s="1126"/>
      <c r="B75" s="1174"/>
      <c r="C75" s="415"/>
      <c r="D75" s="416"/>
      <c r="E75" s="417"/>
      <c r="F75" s="422"/>
      <c r="G75" s="831"/>
      <c r="H75" s="1175"/>
      <c r="I75" s="1175"/>
      <c r="J75" s="1175"/>
      <c r="K75" s="1175"/>
      <c r="L75" s="441"/>
      <c r="M75" s="1175"/>
      <c r="N75" s="1175"/>
      <c r="O75" s="1175"/>
      <c r="P75" s="1175"/>
      <c r="Q75" s="1175"/>
      <c r="R75" s="1175"/>
      <c r="S75" s="1175"/>
    </row>
    <row r="76" spans="1:34" s="2" customFormat="1" ht="16.5" thickTop="1" thickBot="1">
      <c r="A76" s="2331" t="s">
        <v>762</v>
      </c>
      <c r="B76" s="2332"/>
      <c r="C76" s="298"/>
      <c r="D76" s="347"/>
      <c r="E76" s="350"/>
      <c r="F76" s="12"/>
      <c r="G76" s="26"/>
      <c r="H76" s="20"/>
      <c r="I76" s="20"/>
      <c r="J76" s="20"/>
      <c r="K76" s="20"/>
      <c r="L76" s="24"/>
      <c r="M76" s="20"/>
      <c r="N76" s="20"/>
      <c r="O76" s="20"/>
      <c r="P76" s="20"/>
      <c r="Q76" s="20"/>
      <c r="R76" s="20"/>
      <c r="S76" s="20"/>
      <c r="T76"/>
      <c r="U76"/>
      <c r="V76"/>
      <c r="W76"/>
      <c r="X76"/>
      <c r="Y76"/>
      <c r="Z76"/>
      <c r="AA76"/>
      <c r="AB76"/>
      <c r="AC76"/>
      <c r="AD76"/>
      <c r="AE76"/>
      <c r="AF76"/>
      <c r="AG76"/>
      <c r="AH76"/>
    </row>
    <row r="77" spans="1:34" ht="15.75" thickTop="1">
      <c r="A77" s="1407"/>
      <c r="B77" s="1408"/>
      <c r="C77" s="1396"/>
      <c r="D77" s="1414"/>
      <c r="E77" s="1415"/>
      <c r="F77" s="1435"/>
      <c r="G77" s="1404"/>
      <c r="H77" s="1406"/>
      <c r="I77" s="1406"/>
      <c r="J77" s="1406"/>
      <c r="K77" s="1406"/>
      <c r="L77" s="1405"/>
      <c r="M77" s="1406"/>
      <c r="N77" s="1406"/>
      <c r="O77" s="1406"/>
      <c r="P77" s="1406"/>
      <c r="Q77" s="1406"/>
      <c r="R77" s="1406"/>
      <c r="S77" s="1406"/>
      <c r="T77" s="2"/>
      <c r="U77" s="2"/>
      <c r="V77" s="2"/>
      <c r="W77" s="2"/>
      <c r="X77" s="2"/>
      <c r="Y77" s="2"/>
      <c r="Z77" s="2"/>
      <c r="AA77" s="2"/>
      <c r="AB77" s="2"/>
      <c r="AC77" s="2"/>
      <c r="AD77" s="2"/>
      <c r="AE77" s="2"/>
      <c r="AF77" s="2"/>
      <c r="AG77" s="2"/>
      <c r="AH77" s="2"/>
    </row>
    <row r="78" spans="1:34">
      <c r="A78" s="1126"/>
      <c r="B78" s="1174"/>
      <c r="C78" s="415"/>
      <c r="D78" s="416"/>
      <c r="E78" s="417"/>
      <c r="F78" s="422"/>
      <c r="G78" s="831"/>
      <c r="H78" s="1178"/>
      <c r="I78" s="1178"/>
      <c r="J78" s="1178"/>
      <c r="K78" s="1178"/>
      <c r="L78" s="442"/>
      <c r="M78" s="1178"/>
      <c r="N78" s="1178"/>
      <c r="O78" s="1178"/>
      <c r="P78" s="1178"/>
      <c r="Q78" s="1178"/>
      <c r="R78" s="1178"/>
      <c r="S78" s="1178"/>
      <c r="T78" s="2"/>
      <c r="U78" s="2"/>
      <c r="V78" s="2"/>
      <c r="W78" s="2"/>
      <c r="X78" s="2"/>
      <c r="Y78" s="2"/>
      <c r="Z78" s="2"/>
      <c r="AA78" s="2"/>
      <c r="AB78" s="2"/>
      <c r="AC78" s="2"/>
      <c r="AD78" s="2"/>
      <c r="AE78" s="2"/>
      <c r="AF78" s="2"/>
      <c r="AG78" s="2"/>
      <c r="AH78" s="2"/>
    </row>
    <row r="79" spans="1:34" ht="15.75" thickBot="1">
      <c r="A79" s="1126"/>
      <c r="B79" s="1174"/>
      <c r="C79" s="415"/>
      <c r="D79" s="416"/>
      <c r="E79" s="417"/>
      <c r="F79" s="422"/>
      <c r="G79" s="831"/>
      <c r="H79" s="1178"/>
      <c r="I79" s="1178"/>
      <c r="J79" s="1178"/>
      <c r="K79" s="1178"/>
      <c r="L79" s="442"/>
      <c r="M79" s="1178"/>
      <c r="N79" s="1178"/>
      <c r="O79" s="1178"/>
      <c r="P79" s="1178"/>
      <c r="Q79" s="1178"/>
      <c r="R79" s="1178"/>
      <c r="S79" s="1178"/>
      <c r="T79" s="2"/>
      <c r="U79" s="2"/>
      <c r="V79" s="2"/>
      <c r="W79" s="2"/>
      <c r="X79" s="2"/>
      <c r="Y79" s="2"/>
      <c r="Z79" s="2"/>
      <c r="AA79" s="2"/>
      <c r="AB79" s="2"/>
      <c r="AC79" s="2"/>
      <c r="AD79" s="2"/>
      <c r="AE79" s="2"/>
      <c r="AF79" s="2"/>
      <c r="AG79" s="2"/>
      <c r="AH79" s="2"/>
    </row>
    <row r="80" spans="1:34" ht="16.5" thickTop="1" thickBot="1">
      <c r="A80" s="2331" t="s">
        <v>763</v>
      </c>
      <c r="B80" s="2332"/>
      <c r="C80" s="298"/>
      <c r="D80" s="347"/>
      <c r="E80" s="350"/>
      <c r="F80" s="12"/>
      <c r="G80" s="26"/>
      <c r="H80" s="20"/>
      <c r="I80" s="20"/>
      <c r="J80" s="20"/>
      <c r="K80" s="20"/>
      <c r="L80" s="24"/>
      <c r="M80" s="20"/>
      <c r="N80" s="20"/>
      <c r="O80" s="20"/>
      <c r="P80" s="20"/>
      <c r="Q80" s="20"/>
      <c r="R80" s="20"/>
      <c r="S80" s="20"/>
    </row>
    <row r="81" spans="1:19" ht="15.75" thickTop="1">
      <c r="A81" s="1124"/>
      <c r="B81" s="1105" t="s">
        <v>764</v>
      </c>
      <c r="C81" s="415"/>
      <c r="D81" s="416"/>
      <c r="E81" s="417"/>
      <c r="F81" s="422"/>
      <c r="G81" s="831"/>
      <c r="H81" s="1178"/>
      <c r="I81" s="1178"/>
      <c r="J81" s="1178"/>
      <c r="K81" s="1178"/>
      <c r="L81" s="442"/>
      <c r="M81" s="1178"/>
      <c r="N81" s="1178"/>
      <c r="O81" s="1178"/>
      <c r="P81" s="1178"/>
      <c r="Q81" s="1178"/>
      <c r="R81" s="1178"/>
      <c r="S81" s="1178"/>
    </row>
    <row r="82" spans="1:19">
      <c r="A82" s="1124"/>
      <c r="B82" s="1105" t="s">
        <v>765</v>
      </c>
      <c r="C82" s="415"/>
      <c r="D82" s="416"/>
      <c r="E82" s="417"/>
      <c r="F82" s="422"/>
      <c r="G82" s="831"/>
      <c r="H82" s="1178"/>
      <c r="I82" s="1178"/>
      <c r="J82" s="1178"/>
      <c r="K82" s="1178"/>
      <c r="L82" s="442"/>
      <c r="M82" s="1178"/>
      <c r="N82" s="1178"/>
      <c r="O82" s="1178"/>
      <c r="P82" s="1178"/>
      <c r="Q82" s="1178"/>
      <c r="R82" s="1178"/>
      <c r="S82" s="1178"/>
    </row>
    <row r="83" spans="1:19">
      <c r="A83" s="1124"/>
      <c r="B83" s="1105" t="s">
        <v>766</v>
      </c>
      <c r="C83" s="415"/>
      <c r="D83" s="416"/>
      <c r="E83" s="417"/>
      <c r="F83" s="422"/>
      <c r="G83" s="831"/>
      <c r="H83" s="1178"/>
      <c r="I83" s="1178"/>
      <c r="J83" s="1178"/>
      <c r="K83" s="1178"/>
      <c r="L83" s="442"/>
      <c r="M83" s="1178"/>
      <c r="N83" s="1178"/>
      <c r="O83" s="1178"/>
      <c r="P83" s="1178"/>
      <c r="Q83" s="1178"/>
      <c r="R83" s="1178"/>
      <c r="S83" s="1178"/>
    </row>
    <row r="84" spans="1:19">
      <c r="A84" s="1124"/>
      <c r="B84" s="1105" t="s">
        <v>767</v>
      </c>
      <c r="C84" s="415"/>
      <c r="D84" s="416"/>
      <c r="E84" s="417"/>
      <c r="F84" s="422"/>
      <c r="G84" s="831"/>
      <c r="H84" s="1178"/>
      <c r="I84" s="1178"/>
      <c r="J84" s="1178"/>
      <c r="K84" s="1178"/>
      <c r="L84" s="442"/>
      <c r="M84" s="1178"/>
      <c r="N84" s="1178"/>
      <c r="O84" s="1178"/>
      <c r="P84" s="1178"/>
      <c r="Q84" s="1178"/>
      <c r="R84" s="1178"/>
      <c r="S84" s="1178"/>
    </row>
    <row r="85" spans="1:19" ht="15.75" thickBot="1">
      <c r="A85" s="443"/>
      <c r="B85" s="421"/>
      <c r="C85" s="23"/>
      <c r="D85" s="265"/>
      <c r="E85" s="266"/>
      <c r="F85" s="86"/>
      <c r="G85" s="27"/>
      <c r="H85" s="444"/>
      <c r="I85" s="444"/>
      <c r="J85" s="444"/>
      <c r="K85" s="444"/>
      <c r="L85" s="25"/>
      <c r="M85" s="444"/>
      <c r="N85" s="444"/>
      <c r="O85" s="444"/>
      <c r="P85" s="444"/>
      <c r="Q85" s="444"/>
      <c r="R85" s="444"/>
      <c r="S85" s="444"/>
    </row>
    <row r="86" spans="1:19" ht="16.5" thickTop="1" thickBot="1">
      <c r="A86" s="72" t="s">
        <v>768</v>
      </c>
      <c r="B86" s="73"/>
      <c r="C86" s="298"/>
      <c r="D86" s="347"/>
      <c r="E86" s="350"/>
      <c r="F86" s="12"/>
      <c r="G86" s="26"/>
      <c r="H86" s="20"/>
      <c r="I86" s="20"/>
      <c r="J86" s="20"/>
      <c r="K86" s="20"/>
      <c r="L86" s="24"/>
      <c r="M86" s="20"/>
      <c r="N86" s="20"/>
      <c r="O86" s="20"/>
      <c r="P86" s="20"/>
      <c r="Q86" s="20"/>
      <c r="R86" s="20"/>
      <c r="S86" s="20"/>
    </row>
    <row r="87" spans="1:19" ht="15.75" thickTop="1">
      <c r="A87" s="1403"/>
      <c r="B87" s="1409" t="s">
        <v>769</v>
      </c>
      <c r="C87" s="1396"/>
      <c r="D87" s="1414"/>
      <c r="E87" s="1415"/>
      <c r="F87" s="1435"/>
      <c r="G87" s="1404"/>
      <c r="H87" s="1411"/>
      <c r="I87" s="1411"/>
      <c r="J87" s="1411"/>
      <c r="K87" s="1411"/>
      <c r="L87" s="1410"/>
      <c r="M87" s="1411"/>
      <c r="N87" s="1411"/>
      <c r="O87" s="1411"/>
      <c r="P87" s="1411"/>
      <c r="Q87" s="1411"/>
      <c r="R87" s="1411"/>
      <c r="S87" s="1411"/>
    </row>
    <row r="88" spans="1:19">
      <c r="A88" s="1124"/>
      <c r="B88" s="1105" t="s">
        <v>770</v>
      </c>
      <c r="C88" s="415"/>
      <c r="D88" s="416"/>
      <c r="E88" s="417"/>
      <c r="F88" s="422"/>
      <c r="G88" s="831"/>
      <c r="H88" s="1182"/>
      <c r="I88" s="1182"/>
      <c r="J88" s="1182"/>
      <c r="K88" s="1182"/>
      <c r="L88" s="445"/>
      <c r="M88" s="1182"/>
      <c r="N88" s="1182"/>
      <c r="O88" s="1182"/>
      <c r="P88" s="1182"/>
      <c r="Q88" s="1182"/>
      <c r="R88" s="1182"/>
      <c r="S88" s="1182"/>
    </row>
    <row r="89" spans="1:19" ht="15.75" thickBot="1">
      <c r="A89" s="1376"/>
      <c r="B89" s="1377" t="s">
        <v>771</v>
      </c>
      <c r="C89" s="1378"/>
      <c r="D89" s="1436"/>
      <c r="E89" s="1437"/>
      <c r="F89" s="1379"/>
      <c r="G89" s="1380"/>
      <c r="H89" s="1382"/>
      <c r="I89" s="1382"/>
      <c r="J89" s="1382"/>
      <c r="K89" s="1382"/>
      <c r="L89" s="1381"/>
      <c r="M89" s="1382"/>
      <c r="N89" s="1382"/>
      <c r="O89" s="1382"/>
      <c r="P89" s="1382"/>
      <c r="Q89" s="1382"/>
      <c r="R89" s="1382"/>
      <c r="S89" s="1382"/>
    </row>
    <row r="90" spans="1:19" ht="16.5" thickTop="1" thickBot="1">
      <c r="F90" s="2"/>
      <c r="G90" s="2"/>
      <c r="H90" s="2"/>
      <c r="I90" s="2"/>
      <c r="J90" s="2"/>
      <c r="K90" s="2"/>
      <c r="L90" s="2"/>
      <c r="M90" s="2"/>
      <c r="N90" s="2"/>
      <c r="O90" s="2"/>
      <c r="P90" s="2"/>
      <c r="Q90" s="2"/>
      <c r="R90" s="2"/>
      <c r="S90" s="2"/>
    </row>
    <row r="91" spans="1:19" ht="16.5" thickTop="1" thickBot="1">
      <c r="A91" s="37" t="s">
        <v>772</v>
      </c>
      <c r="B91" s="39"/>
      <c r="F91" s="2"/>
      <c r="G91" s="2"/>
      <c r="H91" s="2"/>
      <c r="I91" s="2"/>
      <c r="J91" s="2"/>
      <c r="K91" s="2"/>
      <c r="L91" s="2"/>
      <c r="M91" s="2"/>
      <c r="N91" s="2"/>
      <c r="O91" s="2"/>
      <c r="P91" s="2"/>
      <c r="Q91" s="2"/>
      <c r="R91" s="2"/>
      <c r="S91" s="2"/>
    </row>
    <row r="92" spans="1:19" ht="15.75" thickTop="1">
      <c r="A92" s="38" t="s">
        <v>693</v>
      </c>
      <c r="B92" s="1190"/>
      <c r="F92" s="2"/>
      <c r="G92" s="2"/>
      <c r="H92" s="2"/>
      <c r="I92" s="2"/>
      <c r="J92" s="2"/>
      <c r="K92" s="2"/>
      <c r="L92" s="2"/>
      <c r="M92" s="2"/>
      <c r="N92" s="2"/>
      <c r="O92" s="2"/>
      <c r="P92" s="2"/>
      <c r="Q92" s="2"/>
      <c r="R92" s="2"/>
      <c r="S92" s="2"/>
    </row>
    <row r="93" spans="1:19">
      <c r="A93" s="1142" t="s">
        <v>702</v>
      </c>
      <c r="B93" s="1190"/>
      <c r="F93" s="2"/>
      <c r="G93" s="2"/>
      <c r="H93" s="2"/>
      <c r="I93" s="2"/>
      <c r="J93" s="2"/>
      <c r="K93" s="2"/>
      <c r="L93" s="2"/>
      <c r="M93" s="2"/>
      <c r="N93" s="2"/>
      <c r="O93" s="2"/>
      <c r="P93" s="2"/>
      <c r="Q93" s="2"/>
      <c r="R93" s="2"/>
      <c r="S93" s="2"/>
    </row>
    <row r="94" spans="1:19">
      <c r="A94" s="1191" t="s">
        <v>708</v>
      </c>
      <c r="B94" s="1192"/>
      <c r="F94" s="2"/>
      <c r="G94" s="2"/>
      <c r="H94" s="2"/>
      <c r="I94" s="2"/>
      <c r="J94" s="2"/>
      <c r="K94" s="2"/>
      <c r="L94" s="2"/>
      <c r="M94" s="2"/>
      <c r="N94" s="2"/>
      <c r="O94" s="2"/>
      <c r="P94" s="2"/>
      <c r="Q94" s="2"/>
      <c r="R94" s="2"/>
      <c r="S94" s="2"/>
    </row>
    <row r="95" spans="1:19">
      <c r="A95" s="1191" t="s">
        <v>713</v>
      </c>
      <c r="B95" s="1193"/>
      <c r="F95" s="2"/>
      <c r="G95" s="2"/>
      <c r="H95" s="2"/>
      <c r="I95" s="2"/>
      <c r="J95" s="2"/>
      <c r="K95" s="2"/>
      <c r="L95" s="2"/>
      <c r="M95" s="2"/>
      <c r="N95" s="2"/>
      <c r="O95" s="2"/>
      <c r="P95" s="2"/>
      <c r="Q95" s="2"/>
      <c r="R95" s="2"/>
      <c r="S95" s="2"/>
    </row>
    <row r="96" spans="1:19" ht="15.75" thickBot="1">
      <c r="A96" s="1383" t="s">
        <v>69</v>
      </c>
      <c r="B96" s="1397">
        <f>I56</f>
        <v>707250.11278999993</v>
      </c>
      <c r="F96" s="2"/>
      <c r="G96" s="2"/>
      <c r="H96" s="2"/>
      <c r="I96" s="2"/>
      <c r="J96" s="2"/>
      <c r="K96" s="2"/>
      <c r="L96" s="2"/>
      <c r="M96" s="2"/>
      <c r="N96" s="2"/>
      <c r="O96" s="2"/>
      <c r="P96" s="2"/>
      <c r="Q96" s="2"/>
      <c r="R96" s="2"/>
      <c r="S96" s="2"/>
    </row>
    <row r="97" ht="15.75" thickTop="1"/>
  </sheetData>
  <mergeCells count="41">
    <mergeCell ref="A64:B64"/>
    <mergeCell ref="A68:B68"/>
    <mergeCell ref="A72:B72"/>
    <mergeCell ref="A76:B76"/>
    <mergeCell ref="A80:B80"/>
    <mergeCell ref="L5:M5"/>
    <mergeCell ref="L6:M6"/>
    <mergeCell ref="L7:M7"/>
    <mergeCell ref="L8:M8"/>
    <mergeCell ref="L9:M9"/>
    <mergeCell ref="R4:S4"/>
    <mergeCell ref="L4:M4"/>
    <mergeCell ref="N4:O4"/>
    <mergeCell ref="H4:I4"/>
    <mergeCell ref="J4:K4"/>
    <mergeCell ref="P4:Q4"/>
    <mergeCell ref="N5:O5"/>
    <mergeCell ref="N6:O6"/>
    <mergeCell ref="N7:O7"/>
    <mergeCell ref="N8:O8"/>
    <mergeCell ref="N9:O9"/>
    <mergeCell ref="H5:I5"/>
    <mergeCell ref="H6:I6"/>
    <mergeCell ref="H7:I7"/>
    <mergeCell ref="H8:I8"/>
    <mergeCell ref="H9:I9"/>
    <mergeCell ref="J5:K5"/>
    <mergeCell ref="J6:K6"/>
    <mergeCell ref="J7:K7"/>
    <mergeCell ref="J8:K8"/>
    <mergeCell ref="J9:K9"/>
    <mergeCell ref="P5:Q5"/>
    <mergeCell ref="P6:Q6"/>
    <mergeCell ref="P7:Q7"/>
    <mergeCell ref="P8:Q8"/>
    <mergeCell ref="P9:Q9"/>
    <mergeCell ref="R5:S5"/>
    <mergeCell ref="R6:S6"/>
    <mergeCell ref="R7:S7"/>
    <mergeCell ref="R8:S8"/>
    <mergeCell ref="R9:S9"/>
  </mergeCells>
  <conditionalFormatting sqref="H11:H19 J11:J19 L11:L19 N11:N19 P11:P19 R11:R19 R21:R34 H21:H55 J21:J55 L21:L55 N21:N55 P21:P55 R36:R55">
    <cfRule type="cellIs" dxfId="517" priority="13" operator="equal">
      <formula>"X"</formula>
    </cfRule>
    <cfRule type="cellIs" dxfId="516" priority="14" operator="equal">
      <formula>"I"</formula>
    </cfRule>
  </conditionalFormatting>
  <hyperlinks>
    <hyperlink ref="B4" location="'Cost Summary'!A1" display="BACK TO SUMMARY SHEET" xr:uid="{2AEBC567-BC4A-432D-BAA0-B85026F295C6}"/>
  </hyperlinks>
  <pageMargins left="0.7" right="0.7" top="0.75" bottom="0.75" header="0.3" footer="0.3"/>
  <pageSetup scale="70" orientation="portrait" horizontalDpi="300" verticalDpi="300" r:id="rId1"/>
  <rowBreaks count="1" manualBreakCount="1">
    <brk id="55" max="6"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76F9-3075-44FF-B105-4BCECB84823D}">
  <dimension ref="A1:AO92"/>
  <sheetViews>
    <sheetView topLeftCell="A20" zoomScale="90" zoomScaleNormal="90" workbookViewId="0">
      <selection activeCell="H52" sqref="H52:S52"/>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1196" t="s">
        <v>1212</v>
      </c>
      <c r="C6" s="415"/>
      <c r="D6" s="416"/>
      <c r="E6" s="417"/>
      <c r="F6" s="418"/>
      <c r="G6" s="419" t="s">
        <v>702</v>
      </c>
      <c r="H6" s="2325"/>
      <c r="I6" s="2326"/>
      <c r="J6" s="2325"/>
      <c r="K6" s="2326"/>
      <c r="L6" s="2325"/>
      <c r="M6" s="2326"/>
      <c r="N6" s="2325"/>
      <c r="O6" s="2326"/>
      <c r="P6" s="2313"/>
      <c r="Q6" s="2314"/>
      <c r="R6" s="2313"/>
      <c r="S6" s="2314"/>
      <c r="X6" s="261"/>
    </row>
    <row r="7" spans="1:24">
      <c r="A7" s="1082" t="s">
        <v>706</v>
      </c>
      <c r="B7" s="1197" t="s">
        <v>1213</v>
      </c>
      <c r="C7" s="415"/>
      <c r="D7" s="416"/>
      <c r="E7" s="417"/>
      <c r="F7" s="418"/>
      <c r="G7" s="829" t="s">
        <v>708</v>
      </c>
      <c r="H7" s="2325"/>
      <c r="I7" s="2326"/>
      <c r="J7" s="2325"/>
      <c r="K7" s="2326"/>
      <c r="L7" s="2325"/>
      <c r="M7" s="2326"/>
      <c r="N7" s="2325"/>
      <c r="O7" s="2326"/>
      <c r="P7" s="2313"/>
      <c r="Q7" s="2314"/>
      <c r="R7" s="2313"/>
      <c r="S7" s="2314"/>
      <c r="X7" s="261"/>
    </row>
    <row r="8" spans="1:24">
      <c r="A8" s="1082" t="s">
        <v>712</v>
      </c>
      <c r="B8" s="1198"/>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0</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412"/>
      <c r="B11" s="1413" t="s">
        <v>725</v>
      </c>
      <c r="C11" s="1398"/>
      <c r="D11" s="1435"/>
      <c r="E11" s="1435"/>
      <c r="F11" s="1416"/>
      <c r="G11" s="1417"/>
      <c r="H11" s="1418"/>
      <c r="I11" s="1420"/>
      <c r="J11" s="1418"/>
      <c r="K11" s="285"/>
      <c r="L11" s="1418"/>
      <c r="M11" s="1419"/>
      <c r="N11" s="1418"/>
      <c r="O11" s="1419"/>
      <c r="P11" s="1418"/>
      <c r="Q11" s="1419"/>
      <c r="R11" s="1418"/>
      <c r="S11" s="1419"/>
    </row>
    <row r="12" spans="1:24">
      <c r="A12" s="1412"/>
      <c r="B12" s="1263" t="s">
        <v>726</v>
      </c>
      <c r="C12" s="446"/>
      <c r="D12" s="422"/>
      <c r="E12" s="422"/>
      <c r="F12" s="418"/>
      <c r="G12" s="423"/>
      <c r="H12" s="1264"/>
      <c r="I12" s="1420"/>
      <c r="J12" s="1264"/>
      <c r="K12" s="1419"/>
      <c r="L12" s="1264"/>
      <c r="M12" s="1419"/>
      <c r="N12" s="1264"/>
      <c r="O12" s="1419"/>
      <c r="P12" s="1264"/>
      <c r="Q12" s="1419"/>
      <c r="R12" s="1264"/>
      <c r="S12" s="1419"/>
    </row>
    <row r="13" spans="1:24">
      <c r="A13" s="1097"/>
      <c r="B13" s="1263" t="s">
        <v>728</v>
      </c>
      <c r="C13" s="446"/>
      <c r="D13" s="422"/>
      <c r="E13" s="422"/>
      <c r="F13" s="418"/>
      <c r="G13" s="423"/>
      <c r="H13" s="1264"/>
      <c r="I13" s="1420"/>
      <c r="J13" s="1264"/>
      <c r="K13" s="1419"/>
      <c r="L13" s="1264"/>
      <c r="M13" s="1419"/>
      <c r="N13" s="1264"/>
      <c r="O13" s="1419"/>
      <c r="P13" s="1264"/>
      <c r="Q13" s="1419"/>
      <c r="R13" s="1264"/>
      <c r="S13" s="1419"/>
    </row>
    <row r="14" spans="1:24">
      <c r="A14" s="1412"/>
      <c r="B14" s="1265" t="s">
        <v>729</v>
      </c>
      <c r="C14" s="446"/>
      <c r="D14" s="422"/>
      <c r="E14" s="422"/>
      <c r="F14" s="418"/>
      <c r="G14" s="423"/>
      <c r="H14" s="1264"/>
      <c r="I14" s="1420"/>
      <c r="J14" s="1264"/>
      <c r="K14" s="1419"/>
      <c r="L14" s="1264"/>
      <c r="M14" s="1419"/>
      <c r="N14" s="1264"/>
      <c r="O14" s="1419"/>
      <c r="P14" s="1264"/>
      <c r="Q14" s="1419"/>
      <c r="R14" s="1264"/>
      <c r="S14" s="1419"/>
    </row>
    <row r="15" spans="1:24">
      <c r="A15" s="1097"/>
      <c r="B15" s="1265" t="s">
        <v>731</v>
      </c>
      <c r="C15" s="446"/>
      <c r="D15" s="422"/>
      <c r="E15" s="422"/>
      <c r="F15" s="418"/>
      <c r="G15" s="423"/>
      <c r="H15" s="1264"/>
      <c r="I15" s="1420"/>
      <c r="J15" s="1264"/>
      <c r="K15" s="1420"/>
      <c r="L15" s="1264"/>
      <c r="M15" s="1420"/>
      <c r="N15" s="1264"/>
      <c r="O15" s="1420"/>
      <c r="P15" s="1264"/>
      <c r="Q15" s="1420"/>
      <c r="R15" s="1264"/>
      <c r="S15" s="1420"/>
    </row>
    <row r="16" spans="1:24">
      <c r="A16" s="1412"/>
      <c r="B16" s="1265" t="s">
        <v>732</v>
      </c>
      <c r="C16" s="446"/>
      <c r="D16" s="422"/>
      <c r="E16" s="422"/>
      <c r="F16" s="418"/>
      <c r="G16" s="423"/>
      <c r="H16" s="1264"/>
      <c r="I16" s="1420"/>
      <c r="J16" s="1264"/>
      <c r="K16" s="1419"/>
      <c r="L16" s="1264"/>
      <c r="M16" s="1419"/>
      <c r="N16" s="1264"/>
      <c r="O16" s="1419"/>
      <c r="P16" s="1264"/>
      <c r="Q16" s="1419"/>
      <c r="R16" s="1264"/>
      <c r="S16" s="1419"/>
    </row>
    <row r="17" spans="1:41">
      <c r="A17" s="1097"/>
      <c r="B17" s="1265" t="s">
        <v>733</v>
      </c>
      <c r="C17" s="446"/>
      <c r="D17" s="422"/>
      <c r="E17" s="422"/>
      <c r="F17" s="418"/>
      <c r="G17" s="423"/>
      <c r="H17" s="1264"/>
      <c r="I17" s="1420"/>
      <c r="J17" s="1264"/>
      <c r="K17" s="1419"/>
      <c r="L17" s="1264"/>
      <c r="M17" s="1419"/>
      <c r="N17" s="1264"/>
      <c r="O17" s="1419"/>
      <c r="P17" s="1264"/>
      <c r="Q17" s="1419"/>
      <c r="R17" s="1264"/>
      <c r="S17" s="1419"/>
    </row>
    <row r="18" spans="1:41">
      <c r="A18" s="1412"/>
      <c r="B18" s="1154" t="s">
        <v>736</v>
      </c>
      <c r="C18" s="446"/>
      <c r="D18" s="422"/>
      <c r="E18" s="422"/>
      <c r="F18" s="418"/>
      <c r="G18" s="423"/>
      <c r="H18" s="1264"/>
      <c r="I18" s="1420"/>
      <c r="J18" s="1264"/>
      <c r="K18" s="1419"/>
      <c r="L18" s="1264"/>
      <c r="M18" s="1419"/>
      <c r="N18" s="1264"/>
      <c r="O18" s="1419"/>
      <c r="P18" s="1264"/>
      <c r="Q18" s="1419"/>
      <c r="R18" s="1264"/>
      <c r="S18" s="1419"/>
    </row>
    <row r="19" spans="1:41">
      <c r="A19" s="1097"/>
      <c r="B19" s="1421" t="s">
        <v>737</v>
      </c>
      <c r="C19" s="447"/>
      <c r="D19" s="425"/>
      <c r="E19" s="425"/>
      <c r="F19" s="426"/>
      <c r="G19" s="427"/>
      <c r="H19" s="1156"/>
      <c r="I19" s="1423"/>
      <c r="J19" s="1156"/>
      <c r="K19" s="1422"/>
      <c r="L19" s="1156"/>
      <c r="M19" s="1422"/>
      <c r="N19" s="1156"/>
      <c r="O19" s="1422"/>
      <c r="P19" s="1156"/>
      <c r="Q19" s="1422"/>
      <c r="R19" s="1156"/>
      <c r="S19" s="1422"/>
    </row>
    <row r="20" spans="1:41">
      <c r="A20" s="1412"/>
      <c r="B20" s="1369"/>
      <c r="C20" s="70"/>
      <c r="D20" s="86"/>
      <c r="E20" s="86"/>
      <c r="F20" s="280"/>
      <c r="G20" s="274"/>
      <c r="H20" s="1264"/>
      <c r="I20" s="428"/>
      <c r="J20" s="1264"/>
      <c r="K20" s="428"/>
      <c r="L20" s="1264"/>
      <c r="M20" s="428"/>
      <c r="N20" s="1264"/>
      <c r="O20" s="428"/>
      <c r="P20" s="1264"/>
      <c r="Q20" s="428"/>
      <c r="R20" s="1264"/>
      <c r="S20" s="428"/>
    </row>
    <row r="21" spans="1:41" s="69" customFormat="1">
      <c r="A21" s="1097"/>
      <c r="B21" s="1105"/>
      <c r="C21" s="415"/>
      <c r="D21" s="422"/>
      <c r="E21" s="422"/>
      <c r="F21" s="429"/>
      <c r="G21" s="423"/>
      <c r="H21" s="1264"/>
      <c r="I21" s="1107"/>
      <c r="J21" s="1264"/>
      <c r="K21" s="1106"/>
      <c r="L21" s="1264"/>
      <c r="M21" s="1106"/>
      <c r="N21" s="1264"/>
      <c r="O21" s="1107"/>
      <c r="P21" s="1264"/>
      <c r="Q21" s="1107"/>
      <c r="R21" s="1264"/>
      <c r="S21" s="1106"/>
      <c r="T21"/>
      <c r="U21"/>
      <c r="V21"/>
      <c r="W21"/>
      <c r="X21"/>
      <c r="Y21"/>
      <c r="Z21"/>
      <c r="AA21"/>
      <c r="AB21"/>
      <c r="AC21"/>
      <c r="AD21"/>
      <c r="AE21"/>
      <c r="AF21"/>
      <c r="AG21"/>
      <c r="AH21"/>
      <c r="AI21"/>
      <c r="AJ21"/>
      <c r="AK21"/>
      <c r="AL21"/>
      <c r="AM21"/>
      <c r="AN21"/>
      <c r="AO21"/>
    </row>
    <row r="22" spans="1:41">
      <c r="A22" s="1412"/>
      <c r="B22" s="1425"/>
      <c r="C22" s="1396"/>
      <c r="D22" s="1400"/>
      <c r="E22" s="1435"/>
      <c r="F22" s="1401"/>
      <c r="G22" s="1402"/>
      <c r="H22" s="1264"/>
      <c r="I22" s="1419"/>
      <c r="J22" s="1264"/>
      <c r="K22" s="1419"/>
      <c r="L22" s="1264"/>
      <c r="M22" s="1419"/>
      <c r="N22" s="1264"/>
      <c r="O22" s="1419"/>
      <c r="P22" s="1264"/>
      <c r="Q22" s="1419"/>
      <c r="R22" s="1264"/>
      <c r="S22" s="1419"/>
    </row>
    <row r="23" spans="1:41">
      <c r="A23" s="1097"/>
      <c r="B23" s="1425"/>
      <c r="C23" s="415"/>
      <c r="D23" s="430"/>
      <c r="E23" s="422"/>
      <c r="F23" s="431"/>
      <c r="G23" s="1402"/>
      <c r="H23" s="1264"/>
      <c r="I23" s="1419"/>
      <c r="J23" s="1264"/>
      <c r="K23" s="1419"/>
      <c r="L23" s="1264"/>
      <c r="M23" s="1419"/>
      <c r="N23" s="1264"/>
      <c r="O23" s="1419"/>
      <c r="P23" s="1264"/>
      <c r="Q23" s="1419"/>
      <c r="R23" s="1264"/>
      <c r="S23" s="1419"/>
    </row>
    <row r="24" spans="1:41">
      <c r="A24" s="1412"/>
      <c r="B24" s="1425"/>
      <c r="C24" s="415"/>
      <c r="D24" s="430"/>
      <c r="E24" s="422"/>
      <c r="F24" s="431"/>
      <c r="G24" s="1402"/>
      <c r="H24" s="1264"/>
      <c r="I24" s="1419"/>
      <c r="J24" s="1264"/>
      <c r="K24" s="1419"/>
      <c r="L24" s="1264"/>
      <c r="M24" s="1419"/>
      <c r="N24" s="1264"/>
      <c r="O24" s="1419"/>
      <c r="P24" s="1264"/>
      <c r="Q24" s="1419"/>
      <c r="R24" s="1264"/>
      <c r="S24" s="1419"/>
    </row>
    <row r="25" spans="1:41">
      <c r="A25" s="1097"/>
      <c r="B25" s="1425"/>
      <c r="C25" s="415"/>
      <c r="D25" s="430"/>
      <c r="E25" s="422"/>
      <c r="F25" s="431"/>
      <c r="G25" s="1402"/>
      <c r="H25" s="1264"/>
      <c r="I25" s="1419"/>
      <c r="J25" s="1264"/>
      <c r="K25" s="1419"/>
      <c r="L25" s="1264"/>
      <c r="M25" s="1419"/>
      <c r="N25" s="1264"/>
      <c r="O25" s="1419"/>
      <c r="P25" s="1264"/>
      <c r="Q25" s="1419"/>
      <c r="R25" s="1264"/>
      <c r="S25" s="1419"/>
    </row>
    <row r="26" spans="1:41">
      <c r="A26" s="1412"/>
      <c r="B26" s="1425"/>
      <c r="C26" s="415"/>
      <c r="D26" s="430"/>
      <c r="E26" s="422"/>
      <c r="F26" s="431"/>
      <c r="G26" s="1402"/>
      <c r="H26" s="1264"/>
      <c r="I26" s="1419"/>
      <c r="J26" s="1264"/>
      <c r="K26" s="1419"/>
      <c r="L26" s="1264"/>
      <c r="M26" s="1419"/>
      <c r="N26" s="1264"/>
      <c r="O26" s="1419"/>
      <c r="P26" s="1264"/>
      <c r="Q26" s="1419"/>
      <c r="R26" s="1264"/>
      <c r="S26" s="1419"/>
    </row>
    <row r="27" spans="1:41">
      <c r="A27" s="1097"/>
      <c r="B27" s="1425"/>
      <c r="C27" s="415"/>
      <c r="D27" s="430"/>
      <c r="E27" s="422"/>
      <c r="F27" s="431"/>
      <c r="G27" s="1402"/>
      <c r="H27" s="1264"/>
      <c r="I27" s="1419"/>
      <c r="J27" s="1264"/>
      <c r="K27" s="1419"/>
      <c r="L27" s="1264"/>
      <c r="M27" s="1419"/>
      <c r="N27" s="1264"/>
      <c r="O27" s="1419"/>
      <c r="P27" s="1264"/>
      <c r="Q27" s="1419"/>
      <c r="R27" s="1264"/>
      <c r="S27" s="1419"/>
    </row>
    <row r="28" spans="1:41">
      <c r="A28" s="1412"/>
      <c r="B28" s="1425"/>
      <c r="C28" s="415"/>
      <c r="D28" s="430"/>
      <c r="E28" s="422"/>
      <c r="F28" s="431"/>
      <c r="G28" s="1402"/>
      <c r="H28" s="1264"/>
      <c r="I28" s="1419"/>
      <c r="J28" s="1264"/>
      <c r="K28" s="1419"/>
      <c r="L28" s="1264"/>
      <c r="M28" s="1419"/>
      <c r="N28" s="1264"/>
      <c r="O28" s="1419"/>
      <c r="P28" s="1264"/>
      <c r="Q28" s="1419"/>
      <c r="R28" s="1264"/>
      <c r="S28" s="1419"/>
    </row>
    <row r="29" spans="1:41">
      <c r="A29" s="1097"/>
      <c r="B29" s="1425"/>
      <c r="C29" s="415"/>
      <c r="D29" s="430"/>
      <c r="E29" s="422"/>
      <c r="F29" s="431"/>
      <c r="G29" s="1402"/>
      <c r="H29" s="1264"/>
      <c r="I29" s="1419"/>
      <c r="J29" s="1264"/>
      <c r="K29" s="1419"/>
      <c r="L29" s="1264"/>
      <c r="M29" s="1419"/>
      <c r="N29" s="1264"/>
      <c r="O29" s="1419"/>
      <c r="P29" s="1264"/>
      <c r="Q29" s="1419"/>
      <c r="R29" s="1264"/>
      <c r="S29" s="1419"/>
    </row>
    <row r="30" spans="1:41">
      <c r="A30" s="1412"/>
      <c r="B30" s="1425"/>
      <c r="C30" s="415"/>
      <c r="D30" s="430"/>
      <c r="E30" s="422"/>
      <c r="F30" s="431"/>
      <c r="G30" s="1402"/>
      <c r="H30" s="1264"/>
      <c r="I30" s="1419"/>
      <c r="J30" s="1264"/>
      <c r="K30" s="1419"/>
      <c r="L30" s="1264"/>
      <c r="M30" s="1419"/>
      <c r="N30" s="1264"/>
      <c r="O30" s="1419"/>
      <c r="P30" s="1264"/>
      <c r="Q30" s="1419"/>
      <c r="R30" s="1264"/>
      <c r="S30" s="1419"/>
    </row>
    <row r="31" spans="1:41">
      <c r="A31" s="1097"/>
      <c r="B31" s="1425"/>
      <c r="C31" s="415"/>
      <c r="D31" s="430"/>
      <c r="E31" s="422"/>
      <c r="F31" s="431"/>
      <c r="G31" s="1402"/>
      <c r="H31" s="1264"/>
      <c r="I31" s="1419"/>
      <c r="J31" s="1264"/>
      <c r="K31" s="1419"/>
      <c r="L31" s="1264"/>
      <c r="M31" s="1419"/>
      <c r="N31" s="1264"/>
      <c r="O31" s="1419"/>
      <c r="P31" s="1264"/>
      <c r="Q31" s="1419"/>
      <c r="R31" s="1264"/>
      <c r="S31" s="1419"/>
    </row>
    <row r="32" spans="1:41">
      <c r="A32" s="1412"/>
      <c r="B32" s="1163"/>
      <c r="C32" s="23"/>
      <c r="D32" s="430"/>
      <c r="E32" s="422"/>
      <c r="F32" s="431"/>
      <c r="G32" s="1402"/>
      <c r="H32" s="1264"/>
      <c r="I32" s="1419"/>
      <c r="J32" s="1264"/>
      <c r="K32" s="1419"/>
      <c r="L32" s="1264"/>
      <c r="M32" s="1419"/>
      <c r="N32" s="1264"/>
      <c r="O32" s="1419"/>
      <c r="P32" s="1264"/>
      <c r="Q32" s="1419"/>
      <c r="R32" s="1264"/>
      <c r="S32" s="1419"/>
    </row>
    <row r="33" spans="1:19">
      <c r="A33" s="1097"/>
      <c r="B33" s="1163"/>
      <c r="C33" s="23"/>
      <c r="D33" s="87"/>
      <c r="E33" s="86"/>
      <c r="F33" s="431"/>
      <c r="G33" s="1402"/>
      <c r="H33" s="1264"/>
      <c r="I33" s="1419"/>
      <c r="J33" s="1264"/>
      <c r="K33" s="1419"/>
      <c r="L33" s="1264"/>
      <c r="M33" s="1419"/>
      <c r="N33" s="1264"/>
      <c r="O33" s="1419"/>
      <c r="P33" s="1264"/>
      <c r="Q33" s="1419"/>
      <c r="R33" s="1264"/>
      <c r="S33" s="1419"/>
    </row>
    <row r="34" spans="1:19">
      <c r="A34" s="1412"/>
      <c r="B34" s="1163"/>
      <c r="C34" s="23"/>
      <c r="D34" s="87"/>
      <c r="E34" s="86"/>
      <c r="F34" s="431"/>
      <c r="G34" s="1402"/>
      <c r="H34" s="1264"/>
      <c r="I34" s="1419"/>
      <c r="J34" s="1264"/>
      <c r="K34" s="1419"/>
      <c r="L34" s="1264"/>
      <c r="M34" s="1419"/>
      <c r="N34" s="1264"/>
      <c r="O34" s="1419"/>
      <c r="P34" s="1264"/>
      <c r="Q34" s="1419"/>
      <c r="R34" s="1264"/>
      <c r="S34" s="1419"/>
    </row>
    <row r="35" spans="1:19">
      <c r="A35" s="1412"/>
      <c r="B35" s="1163"/>
      <c r="C35" s="23"/>
      <c r="D35" s="87"/>
      <c r="E35" s="86"/>
      <c r="F35" s="431"/>
      <c r="G35" s="1402"/>
      <c r="H35" s="1264"/>
      <c r="I35" s="1419"/>
      <c r="J35" s="1264"/>
      <c r="K35" s="1419"/>
      <c r="L35" s="1264"/>
      <c r="M35" s="1419"/>
      <c r="N35" s="1264"/>
      <c r="O35" s="1419"/>
      <c r="P35" s="1264"/>
      <c r="Q35" s="1419"/>
      <c r="R35" s="1264"/>
      <c r="S35" s="1419"/>
    </row>
    <row r="36" spans="1:19">
      <c r="A36" s="1412"/>
      <c r="B36" s="1163"/>
      <c r="C36" s="23"/>
      <c r="D36" s="87"/>
      <c r="E36" s="86"/>
      <c r="F36" s="431"/>
      <c r="G36" s="1402"/>
      <c r="H36" s="1264"/>
      <c r="I36" s="1419"/>
      <c r="J36" s="1264"/>
      <c r="K36" s="1419"/>
      <c r="L36" s="1264"/>
      <c r="M36" s="1419"/>
      <c r="N36" s="1264"/>
      <c r="O36" s="1419"/>
      <c r="P36" s="1264"/>
      <c r="Q36" s="1419"/>
      <c r="R36" s="1264"/>
      <c r="S36" s="1419"/>
    </row>
    <row r="37" spans="1:19">
      <c r="A37" s="1412"/>
      <c r="B37" s="1163"/>
      <c r="C37" s="23"/>
      <c r="D37" s="87"/>
      <c r="E37" s="86"/>
      <c r="F37" s="431"/>
      <c r="G37" s="1402"/>
      <c r="H37" s="1264"/>
      <c r="I37" s="1419"/>
      <c r="J37" s="1264"/>
      <c r="K37" s="1419"/>
      <c r="L37" s="1264"/>
      <c r="M37" s="1419"/>
      <c r="N37" s="1264"/>
      <c r="O37" s="1419"/>
      <c r="P37" s="1264"/>
      <c r="Q37" s="1419"/>
      <c r="R37" s="1264"/>
      <c r="S37" s="1419"/>
    </row>
    <row r="38" spans="1:19">
      <c r="A38" s="1412"/>
      <c r="B38" s="1163"/>
      <c r="C38" s="23"/>
      <c r="D38" s="87"/>
      <c r="E38" s="86"/>
      <c r="F38" s="431"/>
      <c r="G38" s="1402"/>
      <c r="H38" s="1264"/>
      <c r="I38" s="1419"/>
      <c r="J38" s="1264"/>
      <c r="K38" s="1419"/>
      <c r="L38" s="1264"/>
      <c r="M38" s="1419"/>
      <c r="N38" s="1264"/>
      <c r="O38" s="1419"/>
      <c r="P38" s="1264"/>
      <c r="Q38" s="1419"/>
      <c r="R38" s="1264"/>
      <c r="S38" s="1419"/>
    </row>
    <row r="39" spans="1:19">
      <c r="A39" s="1412"/>
      <c r="B39" s="1163"/>
      <c r="C39" s="23"/>
      <c r="D39" s="87"/>
      <c r="E39" s="86"/>
      <c r="F39" s="431"/>
      <c r="G39" s="1402"/>
      <c r="H39" s="1264"/>
      <c r="I39" s="1419"/>
      <c r="J39" s="1264"/>
      <c r="K39" s="1419"/>
      <c r="L39" s="1264"/>
      <c r="M39" s="1419"/>
      <c r="N39" s="1264"/>
      <c r="O39" s="1419"/>
      <c r="P39" s="1264"/>
      <c r="Q39" s="1419"/>
      <c r="R39" s="1264"/>
      <c r="S39" s="1419"/>
    </row>
    <row r="40" spans="1:19">
      <c r="A40" s="1412"/>
      <c r="B40" s="1163"/>
      <c r="C40" s="23"/>
      <c r="D40" s="87"/>
      <c r="E40" s="86"/>
      <c r="F40" s="431"/>
      <c r="G40" s="1402"/>
      <c r="H40" s="1264"/>
      <c r="I40" s="1419"/>
      <c r="J40" s="1264"/>
      <c r="K40" s="1419"/>
      <c r="L40" s="1264"/>
      <c r="M40" s="1419"/>
      <c r="N40" s="1264"/>
      <c r="O40" s="1419"/>
      <c r="P40" s="1264"/>
      <c r="Q40" s="1419"/>
      <c r="R40" s="1264"/>
      <c r="S40" s="1419"/>
    </row>
    <row r="41" spans="1:19">
      <c r="A41" s="1412"/>
      <c r="B41" s="1163"/>
      <c r="C41" s="23"/>
      <c r="D41" s="87"/>
      <c r="E41" s="86"/>
      <c r="F41" s="431"/>
      <c r="G41" s="1402"/>
      <c r="H41" s="1264"/>
      <c r="I41" s="1419"/>
      <c r="J41" s="1264"/>
      <c r="K41" s="1419"/>
      <c r="L41" s="1264"/>
      <c r="M41" s="1419"/>
      <c r="N41" s="1264"/>
      <c r="O41" s="1419"/>
      <c r="P41" s="1264"/>
      <c r="Q41" s="1419"/>
      <c r="R41" s="1264"/>
      <c r="S41" s="1419"/>
    </row>
    <row r="42" spans="1:19">
      <c r="A42" s="1412"/>
      <c r="B42" s="1163"/>
      <c r="C42" s="23"/>
      <c r="D42" s="87"/>
      <c r="E42" s="86"/>
      <c r="F42" s="431"/>
      <c r="G42" s="1402"/>
      <c r="H42" s="1264"/>
      <c r="I42" s="1419"/>
      <c r="J42" s="1264"/>
      <c r="K42" s="1419"/>
      <c r="L42" s="1264"/>
      <c r="M42" s="1419"/>
      <c r="N42" s="1264"/>
      <c r="O42" s="1419"/>
      <c r="P42" s="1264"/>
      <c r="Q42" s="1419"/>
      <c r="R42" s="1264"/>
      <c r="S42" s="1419"/>
    </row>
    <row r="43" spans="1:19">
      <c r="A43" s="1412"/>
      <c r="B43" s="1163"/>
      <c r="C43" s="23"/>
      <c r="D43" s="87"/>
      <c r="E43" s="86"/>
      <c r="F43" s="431"/>
      <c r="G43" s="1402"/>
      <c r="H43" s="1264"/>
      <c r="I43" s="1419"/>
      <c r="J43" s="1264"/>
      <c r="K43" s="1419"/>
      <c r="L43" s="1264"/>
      <c r="M43" s="1419"/>
      <c r="N43" s="1264"/>
      <c r="O43" s="1419"/>
      <c r="P43" s="1264"/>
      <c r="Q43" s="1419"/>
      <c r="R43" s="1264"/>
      <c r="S43" s="1419"/>
    </row>
    <row r="44" spans="1:19">
      <c r="A44" s="1412"/>
      <c r="B44" s="1163"/>
      <c r="C44" s="23"/>
      <c r="D44" s="87"/>
      <c r="E44" s="86"/>
      <c r="F44" s="431"/>
      <c r="G44" s="1402"/>
      <c r="H44" s="1264"/>
      <c r="I44" s="1419"/>
      <c r="J44" s="1264"/>
      <c r="K44" s="1419"/>
      <c r="L44" s="1264"/>
      <c r="M44" s="1419"/>
      <c r="N44" s="1264"/>
      <c r="O44" s="1419"/>
      <c r="P44" s="1264"/>
      <c r="Q44" s="1419"/>
      <c r="R44" s="1264"/>
      <c r="S44" s="1419"/>
    </row>
    <row r="45" spans="1:19">
      <c r="A45" s="1412"/>
      <c r="B45" s="1163"/>
      <c r="C45" s="23"/>
      <c r="D45" s="87"/>
      <c r="E45" s="86"/>
      <c r="F45" s="431"/>
      <c r="G45" s="1402"/>
      <c r="H45" s="1264"/>
      <c r="I45" s="1419"/>
      <c r="J45" s="1264"/>
      <c r="K45" s="1419"/>
      <c r="L45" s="1264"/>
      <c r="M45" s="1419"/>
      <c r="N45" s="1264"/>
      <c r="O45" s="1419"/>
      <c r="P45" s="1264"/>
      <c r="Q45" s="1419"/>
      <c r="R45" s="1264"/>
      <c r="S45" s="1419"/>
    </row>
    <row r="46" spans="1:19">
      <c r="A46" s="1412"/>
      <c r="B46" s="1163"/>
      <c r="C46" s="23"/>
      <c r="D46" s="87"/>
      <c r="E46" s="86"/>
      <c r="F46" s="431"/>
      <c r="G46" s="1402"/>
      <c r="H46" s="1264"/>
      <c r="I46" s="1419"/>
      <c r="J46" s="1264"/>
      <c r="K46" s="1419"/>
      <c r="L46" s="1264"/>
      <c r="M46" s="1419"/>
      <c r="N46" s="1264"/>
      <c r="O46" s="1419"/>
      <c r="P46" s="1264"/>
      <c r="Q46" s="1419"/>
      <c r="R46" s="1264"/>
      <c r="S46" s="1419"/>
    </row>
    <row r="47" spans="1:19">
      <c r="A47" s="1412"/>
      <c r="B47" s="1163"/>
      <c r="C47" s="23"/>
      <c r="D47" s="87"/>
      <c r="E47" s="86"/>
      <c r="F47" s="431"/>
      <c r="G47" s="1402"/>
      <c r="H47" s="1264"/>
      <c r="I47" s="1419"/>
      <c r="J47" s="1264"/>
      <c r="K47" s="1419"/>
      <c r="L47" s="1264"/>
      <c r="M47" s="1419"/>
      <c r="N47" s="1264"/>
      <c r="O47" s="1419"/>
      <c r="P47" s="1264"/>
      <c r="Q47" s="1419"/>
      <c r="R47" s="1264"/>
      <c r="S47" s="1419"/>
    </row>
    <row r="48" spans="1:19">
      <c r="A48" s="1412"/>
      <c r="B48" s="1163"/>
      <c r="C48" s="23"/>
      <c r="D48" s="87"/>
      <c r="E48" s="86"/>
      <c r="F48" s="431"/>
      <c r="G48" s="1402"/>
      <c r="H48" s="1264"/>
      <c r="I48" s="1419"/>
      <c r="J48" s="1264"/>
      <c r="K48" s="1419"/>
      <c r="L48" s="1264"/>
      <c r="M48" s="1419"/>
      <c r="N48" s="1264"/>
      <c r="O48" s="1419"/>
      <c r="P48" s="1264"/>
      <c r="Q48" s="1419"/>
      <c r="R48" s="1264"/>
      <c r="S48" s="1419"/>
    </row>
    <row r="49" spans="1:34">
      <c r="A49" s="1412"/>
      <c r="B49" s="1163"/>
      <c r="C49" s="23"/>
      <c r="D49" s="87"/>
      <c r="E49" s="86"/>
      <c r="F49" s="431"/>
      <c r="G49" s="830"/>
      <c r="H49" s="1264"/>
      <c r="I49" s="1419"/>
      <c r="J49" s="1264"/>
      <c r="K49" s="1419"/>
      <c r="L49" s="1264"/>
      <c r="M49" s="1419"/>
      <c r="N49" s="1264"/>
      <c r="O49" s="1419"/>
      <c r="P49" s="1264"/>
      <c r="Q49" s="1419"/>
      <c r="R49" s="1264"/>
      <c r="S49" s="1419"/>
    </row>
    <row r="50" spans="1:34" ht="15.75" thickBot="1">
      <c r="A50" s="1412"/>
      <c r="B50" s="1163"/>
      <c r="C50" s="23"/>
      <c r="D50" s="87"/>
      <c r="E50" s="86"/>
      <c r="F50" s="431"/>
      <c r="G50" s="830"/>
      <c r="H50" s="1264"/>
      <c r="I50" s="1419"/>
      <c r="J50" s="1264"/>
      <c r="K50" s="1419"/>
      <c r="L50" s="1264"/>
      <c r="M50" s="1419"/>
      <c r="N50" s="1264"/>
      <c r="O50" s="1419"/>
      <c r="P50" s="1264"/>
      <c r="Q50" s="1419"/>
      <c r="R50" s="1264"/>
      <c r="S50" s="1419"/>
    </row>
    <row r="51" spans="1:34" ht="15.75" thickTop="1">
      <c r="A51" s="296"/>
      <c r="B51" s="301"/>
      <c r="C51" s="297"/>
      <c r="D51" s="15"/>
      <c r="E51" s="16"/>
      <c r="F51" s="282" t="s">
        <v>753</v>
      </c>
      <c r="G51" s="272"/>
      <c r="H51" s="273"/>
      <c r="I51" s="273">
        <f>SUM(I12:I50)</f>
        <v>0</v>
      </c>
      <c r="J51" s="273"/>
      <c r="K51" s="273">
        <f>SUM(K12:K50)</f>
        <v>0</v>
      </c>
      <c r="L51" s="273"/>
      <c r="M51" s="273">
        <f>SUM(M12:M50)</f>
        <v>0</v>
      </c>
      <c r="N51" s="273"/>
      <c r="O51" s="273">
        <f>SUM(O12:O50)</f>
        <v>0</v>
      </c>
      <c r="P51" s="273"/>
      <c r="Q51" s="273">
        <f>SUM(Q12:Q50)</f>
        <v>0</v>
      </c>
      <c r="R51" s="273"/>
      <c r="S51" s="273">
        <f>SUM(S12:S50)</f>
        <v>0</v>
      </c>
    </row>
    <row r="52" spans="1:34">
      <c r="A52" s="1114"/>
      <c r="B52" s="1164"/>
      <c r="C52" s="432"/>
      <c r="D52" s="433"/>
      <c r="E52" s="434"/>
      <c r="F52" s="435" t="s">
        <v>754</v>
      </c>
      <c r="G52" s="436"/>
      <c r="H52" s="1165">
        <v>0</v>
      </c>
      <c r="I52" s="1166"/>
      <c r="J52" s="1165">
        <v>0</v>
      </c>
      <c r="K52" s="1166"/>
      <c r="L52" s="1165">
        <v>0</v>
      </c>
      <c r="M52" s="1166"/>
      <c r="N52" s="1165">
        <v>0</v>
      </c>
      <c r="O52" s="1166"/>
      <c r="P52" s="1165">
        <v>0</v>
      </c>
      <c r="Q52" s="1166"/>
      <c r="R52" s="1165">
        <v>0</v>
      </c>
      <c r="S52" s="1166"/>
    </row>
    <row r="53" spans="1:34">
      <c r="A53" s="1114"/>
      <c r="B53" s="1164"/>
      <c r="C53" s="432"/>
      <c r="D53" s="433"/>
      <c r="E53" s="434"/>
      <c r="F53" s="435" t="s">
        <v>755</v>
      </c>
      <c r="G53" s="436"/>
      <c r="H53" s="1166"/>
      <c r="I53" s="1166">
        <f>I51*H52</f>
        <v>0</v>
      </c>
      <c r="J53" s="1166"/>
      <c r="K53" s="1166">
        <f>K51*J52</f>
        <v>0</v>
      </c>
      <c r="L53" s="1166"/>
      <c r="M53" s="1166">
        <f>M51*L52</f>
        <v>0</v>
      </c>
      <c r="N53" s="1166"/>
      <c r="O53" s="1166">
        <f>O51*N52</f>
        <v>0</v>
      </c>
      <c r="P53" s="1166"/>
      <c r="Q53" s="1166">
        <f>Q51*P52</f>
        <v>0</v>
      </c>
      <c r="R53" s="1166"/>
      <c r="S53" s="1166">
        <f>S51*R52</f>
        <v>0</v>
      </c>
    </row>
    <row r="54" spans="1:34">
      <c r="A54" s="1114"/>
      <c r="B54" s="1164"/>
      <c r="C54" s="432"/>
      <c r="D54" s="433"/>
      <c r="E54" s="434"/>
      <c r="F54" s="435"/>
      <c r="G54" s="436"/>
      <c r="H54" s="1166"/>
      <c r="I54" s="1166"/>
      <c r="J54" s="1166"/>
      <c r="K54" s="1166"/>
      <c r="L54" s="1166"/>
      <c r="M54" s="1166"/>
      <c r="N54" s="1166"/>
      <c r="O54" s="1166"/>
      <c r="P54" s="1166"/>
      <c r="Q54" s="1166"/>
      <c r="R54" s="1166"/>
      <c r="S54" s="1166"/>
    </row>
    <row r="55" spans="1:34">
      <c r="A55" s="1114"/>
      <c r="B55" s="1164"/>
      <c r="C55" s="432"/>
      <c r="D55" s="433"/>
      <c r="E55" s="434"/>
      <c r="F55" s="435" t="s">
        <v>756</v>
      </c>
      <c r="G55" s="436"/>
      <c r="H55" s="1166"/>
      <c r="I55" s="1166">
        <f>SUM(I51:I54)</f>
        <v>0</v>
      </c>
      <c r="J55" s="1166"/>
      <c r="K55" s="1166">
        <f>SUM(K51:K53)</f>
        <v>0</v>
      </c>
      <c r="L55" s="1166"/>
      <c r="M55" s="1166">
        <f>SUM(M51:M53)</f>
        <v>0</v>
      </c>
      <c r="N55" s="1166"/>
      <c r="O55" s="1166">
        <f>SUM(O51:O53)</f>
        <v>0</v>
      </c>
      <c r="P55" s="1166"/>
      <c r="Q55" s="1166">
        <f>SUM(Q51:Q53)</f>
        <v>0</v>
      </c>
      <c r="R55" s="1166"/>
      <c r="S55" s="1166">
        <f>SUM(S51:S53)</f>
        <v>0</v>
      </c>
    </row>
    <row r="56" spans="1:34">
      <c r="A56" s="1114"/>
      <c r="B56" s="1164"/>
      <c r="C56" s="432"/>
      <c r="D56" s="433"/>
      <c r="E56" s="434"/>
      <c r="F56" s="437" t="s">
        <v>757</v>
      </c>
      <c r="G56" s="438"/>
      <c r="H56" s="1167"/>
      <c r="I56" s="1167">
        <f>I55/'Area Calculations'!$G$4</f>
        <v>0</v>
      </c>
      <c r="J56" s="1167"/>
      <c r="K56" s="1167">
        <f>K55/'Area Calculations'!$G$4</f>
        <v>0</v>
      </c>
      <c r="L56" s="1167"/>
      <c r="M56" s="1167">
        <f>M55/'Area Calculations'!$G$4</f>
        <v>0</v>
      </c>
      <c r="N56" s="1167"/>
      <c r="O56" s="1167">
        <f>O55/'Area Calculations'!$G$4</f>
        <v>0</v>
      </c>
      <c r="P56" s="1167"/>
      <c r="Q56" s="1167">
        <f>Q55/'Area Calculations'!$G$4</f>
        <v>0</v>
      </c>
      <c r="R56" s="1167"/>
      <c r="S56" s="1167">
        <f>S55/'Area Calculations'!$G$4</f>
        <v>0</v>
      </c>
    </row>
    <row r="57" spans="1:34">
      <c r="A57" s="1114"/>
      <c r="B57" s="1164"/>
      <c r="C57" s="432"/>
      <c r="D57" s="433"/>
      <c r="E57" s="434"/>
      <c r="F57" s="437" t="s">
        <v>758</v>
      </c>
      <c r="G57" s="438"/>
      <c r="H57" s="1167"/>
      <c r="I57" s="1167">
        <f>I55/'Area Calculations'!$G$9</f>
        <v>0</v>
      </c>
      <c r="J57" s="1167"/>
      <c r="K57" s="1167">
        <f>K55/'Area Calculations'!$G$9</f>
        <v>0</v>
      </c>
      <c r="L57" s="1167"/>
      <c r="M57" s="1167">
        <f>M55/'Area Calculations'!$G$9</f>
        <v>0</v>
      </c>
      <c r="N57" s="1167"/>
      <c r="O57" s="1167">
        <f>O55/'Area Calculations'!$G$9</f>
        <v>0</v>
      </c>
      <c r="P57" s="1167"/>
      <c r="Q57" s="1167">
        <f>Q55/'Area Calculations'!$G$9</f>
        <v>0</v>
      </c>
      <c r="R57" s="1167"/>
      <c r="S57" s="1167">
        <f>S55/'Area Calculations'!$G$9</f>
        <v>0</v>
      </c>
    </row>
    <row r="58" spans="1:34" ht="15.75" thickBot="1">
      <c r="A58" s="1114"/>
      <c r="B58" s="1164"/>
      <c r="C58" s="432"/>
      <c r="D58" s="433"/>
      <c r="E58" s="434"/>
      <c r="F58" s="439"/>
      <c r="G58" s="436"/>
      <c r="H58" s="1168"/>
      <c r="I58" s="1168"/>
      <c r="J58" s="1168"/>
      <c r="K58" s="1168"/>
      <c r="L58" s="1168"/>
      <c r="M58" s="1168"/>
      <c r="N58" s="1168"/>
      <c r="O58" s="1168"/>
      <c r="P58" s="1168"/>
      <c r="Q58" s="1168"/>
      <c r="R58" s="1168"/>
      <c r="S58" s="1168"/>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1403"/>
      <c r="B60" s="1105"/>
      <c r="C60" s="1396"/>
      <c r="D60" s="1435"/>
      <c r="E60" s="1435"/>
      <c r="F60" s="1435"/>
      <c r="G60" s="1404"/>
      <c r="H60" s="1405"/>
      <c r="I60" s="1406"/>
      <c r="J60" s="1406"/>
      <c r="K60" s="1406"/>
      <c r="L60" s="1406"/>
      <c r="M60" s="1406"/>
      <c r="N60" s="1406"/>
      <c r="O60" s="1406"/>
      <c r="P60" s="1406"/>
      <c r="Q60" s="1406"/>
      <c r="R60" s="1406"/>
      <c r="S60" s="1406"/>
    </row>
    <row r="61" spans="1:34">
      <c r="A61" s="1403"/>
      <c r="B61" s="1105"/>
      <c r="C61" s="1396"/>
      <c r="D61" s="1435"/>
      <c r="E61" s="1435"/>
      <c r="F61" s="1435"/>
      <c r="G61" s="1404"/>
      <c r="H61" s="1405"/>
      <c r="I61" s="1406"/>
      <c r="J61" s="1406"/>
      <c r="K61" s="1406"/>
      <c r="L61" s="1406"/>
      <c r="M61" s="1406"/>
      <c r="N61" s="1406"/>
      <c r="O61" s="1406"/>
      <c r="P61" s="1406"/>
      <c r="Q61" s="1406"/>
      <c r="R61" s="1406"/>
      <c r="S61" s="1406"/>
    </row>
    <row r="62" spans="1:34" ht="15.75" thickBot="1">
      <c r="A62" s="1403"/>
      <c r="B62" s="1105"/>
      <c r="C62" s="1396"/>
      <c r="D62" s="1435"/>
      <c r="E62" s="1435"/>
      <c r="F62" s="1435"/>
      <c r="G62" s="1404"/>
      <c r="H62" s="1405"/>
      <c r="I62" s="1406"/>
      <c r="J62" s="1406"/>
      <c r="K62" s="1406"/>
      <c r="L62" s="1406"/>
      <c r="M62" s="1406"/>
      <c r="N62" s="1406"/>
      <c r="O62" s="1406"/>
      <c r="P62" s="1406"/>
      <c r="Q62" s="1406"/>
      <c r="R62" s="1406"/>
      <c r="S62" s="1406"/>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1403"/>
      <c r="B64" s="1105"/>
      <c r="C64" s="1396"/>
      <c r="D64" s="1435"/>
      <c r="E64" s="1435"/>
      <c r="F64" s="1435"/>
      <c r="G64" s="1404"/>
      <c r="H64" s="1405"/>
      <c r="I64" s="1406"/>
      <c r="J64" s="1406"/>
      <c r="K64" s="1406"/>
      <c r="L64" s="1406"/>
      <c r="M64" s="1406"/>
      <c r="N64" s="1406"/>
      <c r="O64" s="1406"/>
      <c r="P64" s="1406"/>
      <c r="Q64" s="1406"/>
      <c r="R64" s="1406"/>
      <c r="S64" s="1406"/>
      <c r="T64"/>
      <c r="U64"/>
      <c r="V64"/>
      <c r="W64"/>
      <c r="X64"/>
      <c r="Y64"/>
      <c r="Z64"/>
      <c r="AA64"/>
      <c r="AB64"/>
      <c r="AC64"/>
      <c r="AD64"/>
      <c r="AE64"/>
      <c r="AF64"/>
      <c r="AG64"/>
      <c r="AH64"/>
    </row>
    <row r="65" spans="1:34" s="2" customFormat="1">
      <c r="A65" s="1403"/>
      <c r="B65" s="1105"/>
      <c r="C65" s="1396"/>
      <c r="D65" s="1435"/>
      <c r="E65" s="1435"/>
      <c r="F65" s="1435"/>
      <c r="G65" s="1404"/>
      <c r="H65" s="1405"/>
      <c r="I65" s="1406"/>
      <c r="J65" s="1406"/>
      <c r="K65" s="1406"/>
      <c r="L65" s="1406"/>
      <c r="M65" s="1406"/>
      <c r="N65" s="1406"/>
      <c r="O65" s="1406"/>
      <c r="P65" s="1406"/>
      <c r="Q65" s="1406"/>
      <c r="R65" s="1406"/>
      <c r="S65" s="1406"/>
      <c r="T65"/>
      <c r="U65"/>
      <c r="V65"/>
      <c r="W65"/>
      <c r="X65"/>
      <c r="Y65"/>
      <c r="Z65"/>
      <c r="AA65"/>
      <c r="AB65"/>
      <c r="AC65"/>
      <c r="AD65"/>
      <c r="AE65"/>
      <c r="AF65"/>
      <c r="AG65"/>
      <c r="AH65"/>
    </row>
    <row r="66" spans="1:34" ht="15.75" thickBot="1">
      <c r="A66" s="1403"/>
      <c r="B66" s="1105"/>
      <c r="C66" s="1396"/>
      <c r="D66" s="1435"/>
      <c r="E66" s="1435"/>
      <c r="F66" s="1435"/>
      <c r="G66" s="1404"/>
      <c r="H66" s="1405"/>
      <c r="I66" s="1406"/>
      <c r="J66" s="1406"/>
      <c r="K66" s="1406"/>
      <c r="L66" s="1406"/>
      <c r="M66" s="1406"/>
      <c r="N66" s="1406"/>
      <c r="O66" s="1406"/>
      <c r="P66" s="1406"/>
      <c r="Q66" s="1406"/>
      <c r="R66" s="1406"/>
      <c r="S66" s="1406"/>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1403"/>
      <c r="B68" s="1105"/>
      <c r="C68" s="1396"/>
      <c r="D68" s="1435"/>
      <c r="E68" s="1435"/>
      <c r="F68" s="1435"/>
      <c r="G68" s="1404"/>
      <c r="H68" s="1405"/>
      <c r="I68" s="1406"/>
      <c r="J68" s="1406"/>
      <c r="K68" s="1406"/>
      <c r="L68" s="1406"/>
      <c r="M68" s="1406"/>
      <c r="N68" s="1406"/>
      <c r="O68" s="1406"/>
      <c r="P68" s="1406"/>
      <c r="Q68" s="1406"/>
      <c r="R68" s="1406"/>
      <c r="S68" s="1406"/>
      <c r="T68"/>
      <c r="U68"/>
      <c r="V68"/>
      <c r="W68"/>
      <c r="X68"/>
      <c r="Y68"/>
      <c r="Z68"/>
      <c r="AA68"/>
      <c r="AB68"/>
      <c r="AC68"/>
      <c r="AD68"/>
      <c r="AE68"/>
      <c r="AF68"/>
      <c r="AG68"/>
      <c r="AH68"/>
    </row>
    <row r="69" spans="1:34" s="2" customFormat="1">
      <c r="A69" s="1124"/>
      <c r="B69" s="1105"/>
      <c r="C69" s="415"/>
      <c r="D69" s="422"/>
      <c r="E69" s="422"/>
      <c r="F69" s="422"/>
      <c r="G69" s="831"/>
      <c r="H69" s="440"/>
      <c r="I69" s="1173"/>
      <c r="J69" s="1173"/>
      <c r="K69" s="1173"/>
      <c r="L69" s="1173"/>
      <c r="M69" s="1173"/>
      <c r="N69" s="1173"/>
      <c r="O69" s="1173"/>
      <c r="P69" s="1173"/>
      <c r="Q69" s="1173"/>
      <c r="R69" s="1173"/>
      <c r="S69" s="1173"/>
      <c r="T69"/>
      <c r="U69"/>
      <c r="V69"/>
      <c r="W69"/>
      <c r="X69"/>
      <c r="Y69"/>
      <c r="Z69"/>
      <c r="AA69"/>
      <c r="AB69"/>
      <c r="AC69"/>
      <c r="AD69"/>
      <c r="AE69"/>
      <c r="AF69"/>
      <c r="AG69"/>
      <c r="AH69"/>
    </row>
    <row r="70" spans="1:34" s="2" customFormat="1" ht="15.75" thickBot="1">
      <c r="A70" s="1126"/>
      <c r="B70" s="1174"/>
      <c r="C70" s="415"/>
      <c r="D70" s="422"/>
      <c r="E70" s="422"/>
      <c r="F70" s="422"/>
      <c r="G70" s="831"/>
      <c r="H70" s="441"/>
      <c r="I70" s="1175"/>
      <c r="J70" s="1175"/>
      <c r="K70" s="1175"/>
      <c r="L70" s="1175"/>
      <c r="M70" s="1175"/>
      <c r="N70" s="1175"/>
      <c r="O70" s="1175"/>
      <c r="P70" s="1175"/>
      <c r="Q70" s="1175"/>
      <c r="R70" s="1175"/>
      <c r="S70" s="1175"/>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1407"/>
      <c r="B72" s="1408"/>
      <c r="C72" s="1396"/>
      <c r="D72" s="1435"/>
      <c r="E72" s="1435"/>
      <c r="F72" s="1435"/>
      <c r="G72" s="1404"/>
      <c r="H72" s="1405"/>
      <c r="I72" s="1406"/>
      <c r="J72" s="1406"/>
      <c r="K72" s="1406"/>
      <c r="L72" s="1406"/>
      <c r="M72" s="1406"/>
      <c r="N72" s="1406"/>
      <c r="O72" s="1406"/>
      <c r="P72" s="1406"/>
      <c r="Q72" s="1406"/>
      <c r="R72" s="1406"/>
      <c r="S72" s="1406"/>
      <c r="T72" s="2"/>
      <c r="U72" s="2"/>
      <c r="V72" s="2"/>
      <c r="W72" s="2"/>
      <c r="X72" s="2"/>
      <c r="Y72" s="2"/>
      <c r="Z72" s="2"/>
      <c r="AA72" s="2"/>
      <c r="AB72" s="2"/>
      <c r="AC72" s="2"/>
      <c r="AD72" s="2"/>
      <c r="AE72" s="2"/>
      <c r="AF72" s="2"/>
      <c r="AG72" s="2"/>
      <c r="AH72" s="2"/>
    </row>
    <row r="73" spans="1:34">
      <c r="A73" s="1126"/>
      <c r="B73" s="1174"/>
      <c r="C73" s="415"/>
      <c r="D73" s="422"/>
      <c r="E73" s="422"/>
      <c r="F73" s="422"/>
      <c r="G73" s="831"/>
      <c r="H73" s="442"/>
      <c r="I73" s="1178"/>
      <c r="J73" s="1178"/>
      <c r="K73" s="1178"/>
      <c r="L73" s="1178"/>
      <c r="M73" s="1178"/>
      <c r="N73" s="1178"/>
      <c r="O73" s="1178"/>
      <c r="P73" s="1178"/>
      <c r="Q73" s="1178"/>
      <c r="R73" s="1178"/>
      <c r="S73" s="1178"/>
      <c r="T73" s="2"/>
      <c r="U73" s="2"/>
      <c r="V73" s="2"/>
      <c r="W73" s="2"/>
      <c r="X73" s="2"/>
      <c r="Y73" s="2"/>
      <c r="Z73" s="2"/>
      <c r="AA73" s="2"/>
      <c r="AB73" s="2"/>
      <c r="AC73" s="2"/>
      <c r="AD73" s="2"/>
      <c r="AE73" s="2"/>
      <c r="AF73" s="2"/>
      <c r="AG73" s="2"/>
      <c r="AH73" s="2"/>
    </row>
    <row r="74" spans="1:34" ht="15.75" thickBot="1">
      <c r="A74" s="1126"/>
      <c r="B74" s="1174"/>
      <c r="C74" s="415"/>
      <c r="D74" s="422"/>
      <c r="E74" s="422"/>
      <c r="F74" s="422"/>
      <c r="G74" s="831"/>
      <c r="H74" s="442"/>
      <c r="I74" s="1178"/>
      <c r="J74" s="1178"/>
      <c r="K74" s="1178"/>
      <c r="L74" s="1178"/>
      <c r="M74" s="1178"/>
      <c r="N74" s="1178"/>
      <c r="O74" s="1178"/>
      <c r="P74" s="1178"/>
      <c r="Q74" s="1178"/>
      <c r="R74" s="1178"/>
      <c r="S74" s="1178"/>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1105" t="s">
        <v>764</v>
      </c>
      <c r="C76" s="415"/>
      <c r="D76" s="422"/>
      <c r="E76" s="422"/>
      <c r="F76" s="422"/>
      <c r="G76" s="831"/>
      <c r="H76" s="442"/>
      <c r="I76" s="1178"/>
      <c r="J76" s="1178"/>
      <c r="K76" s="1178"/>
      <c r="L76" s="1178"/>
      <c r="M76" s="1178"/>
      <c r="N76" s="1178"/>
      <c r="O76" s="1178"/>
      <c r="P76" s="1178"/>
      <c r="Q76" s="1178"/>
      <c r="R76" s="1178"/>
      <c r="S76" s="1178"/>
    </row>
    <row r="77" spans="1:34">
      <c r="A77" s="1124"/>
      <c r="B77" s="1105" t="s">
        <v>765</v>
      </c>
      <c r="C77" s="415"/>
      <c r="D77" s="422"/>
      <c r="E77" s="422"/>
      <c r="F77" s="422"/>
      <c r="G77" s="831"/>
      <c r="H77" s="442"/>
      <c r="I77" s="1178"/>
      <c r="J77" s="1178"/>
      <c r="K77" s="1178"/>
      <c r="L77" s="1178"/>
      <c r="M77" s="1178"/>
      <c r="N77" s="1178"/>
      <c r="O77" s="1178"/>
      <c r="P77" s="1178"/>
      <c r="Q77" s="1178"/>
      <c r="R77" s="1178"/>
      <c r="S77" s="1178"/>
    </row>
    <row r="78" spans="1:34">
      <c r="A78" s="1124"/>
      <c r="B78" s="1105" t="s">
        <v>766</v>
      </c>
      <c r="C78" s="415"/>
      <c r="D78" s="422"/>
      <c r="E78" s="422"/>
      <c r="F78" s="422"/>
      <c r="G78" s="831"/>
      <c r="H78" s="442"/>
      <c r="I78" s="1178"/>
      <c r="J78" s="1178"/>
      <c r="K78" s="1178"/>
      <c r="L78" s="1178"/>
      <c r="M78" s="1178"/>
      <c r="N78" s="1178"/>
      <c r="O78" s="1178"/>
      <c r="P78" s="1178"/>
      <c r="Q78" s="1178"/>
      <c r="R78" s="1178"/>
      <c r="S78" s="1178"/>
    </row>
    <row r="79" spans="1:34">
      <c r="A79" s="1124"/>
      <c r="B79" s="1105" t="s">
        <v>767</v>
      </c>
      <c r="C79" s="415"/>
      <c r="D79" s="422"/>
      <c r="E79" s="422"/>
      <c r="F79" s="422"/>
      <c r="G79" s="831"/>
      <c r="H79" s="442"/>
      <c r="I79" s="1178"/>
      <c r="J79" s="1178"/>
      <c r="K79" s="1178"/>
      <c r="L79" s="1178"/>
      <c r="M79" s="1178"/>
      <c r="N79" s="1178"/>
      <c r="O79" s="1178"/>
      <c r="P79" s="1178"/>
      <c r="Q79" s="1178"/>
      <c r="R79" s="1178"/>
      <c r="S79" s="1178"/>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1403"/>
      <c r="B82" s="1409" t="s">
        <v>769</v>
      </c>
      <c r="C82" s="1396"/>
      <c r="D82" s="1435"/>
      <c r="E82" s="1435"/>
      <c r="F82" s="1435"/>
      <c r="G82" s="1404"/>
      <c r="H82" s="1410"/>
      <c r="I82" s="1411"/>
      <c r="J82" s="1411"/>
      <c r="K82" s="1411"/>
      <c r="L82" s="1411"/>
      <c r="M82" s="1411"/>
      <c r="N82" s="1411"/>
      <c r="O82" s="1411"/>
      <c r="P82" s="1411"/>
      <c r="Q82" s="1411"/>
      <c r="R82" s="1411"/>
      <c r="S82" s="1411"/>
    </row>
    <row r="83" spans="1:19">
      <c r="A83" s="1124"/>
      <c r="B83" s="1105" t="s">
        <v>770</v>
      </c>
      <c r="C83" s="415"/>
      <c r="D83" s="422"/>
      <c r="E83" s="422"/>
      <c r="F83" s="422"/>
      <c r="G83" s="831"/>
      <c r="H83" s="445"/>
      <c r="I83" s="1182"/>
      <c r="J83" s="1182"/>
      <c r="K83" s="1182"/>
      <c r="L83" s="1182"/>
      <c r="M83" s="1182"/>
      <c r="N83" s="1182"/>
      <c r="O83" s="1182"/>
      <c r="P83" s="1182"/>
      <c r="Q83" s="1182"/>
      <c r="R83" s="1182"/>
      <c r="S83" s="1182"/>
    </row>
    <row r="84" spans="1:19" ht="15.75" thickBot="1">
      <c r="A84" s="1376"/>
      <c r="B84" s="1377" t="s">
        <v>771</v>
      </c>
      <c r="C84" s="1378"/>
      <c r="D84" s="1379"/>
      <c r="E84" s="1379"/>
      <c r="F84" s="1379"/>
      <c r="G84" s="1380"/>
      <c r="H84" s="1381"/>
      <c r="I84" s="1382"/>
      <c r="J84" s="1382"/>
      <c r="K84" s="1382"/>
      <c r="L84" s="1382"/>
      <c r="M84" s="1382"/>
      <c r="N84" s="1382"/>
      <c r="O84" s="1382"/>
      <c r="P84" s="1382"/>
      <c r="Q84" s="1382"/>
      <c r="R84" s="1382"/>
      <c r="S84" s="1382"/>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190"/>
      <c r="F87" s="2"/>
      <c r="G87" s="2"/>
      <c r="H87" s="2"/>
      <c r="I87" s="2"/>
      <c r="J87" s="2"/>
      <c r="K87" s="2"/>
      <c r="L87" s="2"/>
      <c r="M87" s="2"/>
      <c r="N87" s="2"/>
      <c r="O87" s="2"/>
      <c r="P87" s="2"/>
      <c r="Q87" s="2"/>
      <c r="R87" s="2"/>
      <c r="S87" s="2"/>
    </row>
    <row r="88" spans="1:19">
      <c r="A88" s="1142" t="s">
        <v>702</v>
      </c>
      <c r="B88" s="1190"/>
      <c r="F88" s="2"/>
      <c r="G88" s="2"/>
      <c r="H88" s="2"/>
      <c r="I88" s="2"/>
      <c r="J88" s="2"/>
      <c r="K88" s="2"/>
      <c r="L88" s="2"/>
      <c r="M88" s="2"/>
      <c r="N88" s="2"/>
      <c r="O88" s="2"/>
      <c r="P88" s="2"/>
      <c r="Q88" s="2"/>
      <c r="R88" s="2"/>
      <c r="S88" s="2"/>
    </row>
    <row r="89" spans="1:19">
      <c r="A89" s="1191" t="s">
        <v>708</v>
      </c>
      <c r="B89" s="1192"/>
      <c r="F89" s="2"/>
      <c r="G89" s="2"/>
      <c r="H89" s="2"/>
      <c r="I89" s="2"/>
      <c r="J89" s="2"/>
      <c r="K89" s="2"/>
      <c r="L89" s="2"/>
      <c r="M89" s="2"/>
      <c r="N89" s="2"/>
      <c r="O89" s="2"/>
      <c r="P89" s="2"/>
      <c r="Q89" s="2"/>
      <c r="R89" s="2"/>
      <c r="S89" s="2"/>
    </row>
    <row r="90" spans="1:19">
      <c r="A90" s="1191" t="s">
        <v>713</v>
      </c>
      <c r="B90" s="1193"/>
      <c r="F90" s="2"/>
      <c r="G90" s="2"/>
      <c r="H90" s="2"/>
      <c r="I90" s="2"/>
      <c r="J90" s="2"/>
      <c r="K90" s="2"/>
      <c r="L90" s="2"/>
      <c r="M90" s="2"/>
      <c r="N90" s="2"/>
      <c r="O90" s="2"/>
      <c r="P90" s="2"/>
      <c r="Q90" s="2"/>
      <c r="R90" s="2"/>
      <c r="S90" s="2"/>
    </row>
    <row r="91" spans="1:19" ht="15.75" thickBot="1">
      <c r="A91" s="1383" t="s">
        <v>69</v>
      </c>
      <c r="B91" s="1384"/>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9:S9"/>
    <mergeCell ref="N8:O8"/>
    <mergeCell ref="P8:Q8"/>
    <mergeCell ref="R8:S8"/>
    <mergeCell ref="N7:O7"/>
    <mergeCell ref="P7:Q7"/>
    <mergeCell ref="R7:S7"/>
    <mergeCell ref="N5:O5"/>
    <mergeCell ref="P5:Q5"/>
    <mergeCell ref="R5:S5"/>
    <mergeCell ref="L6:M6"/>
    <mergeCell ref="N6:O6"/>
    <mergeCell ref="P6:Q6"/>
    <mergeCell ref="R6:S6"/>
    <mergeCell ref="J5:K5"/>
    <mergeCell ref="J6:K6"/>
    <mergeCell ref="J7:K7"/>
    <mergeCell ref="J8:K8"/>
    <mergeCell ref="L7:M7"/>
    <mergeCell ref="L8:M8"/>
    <mergeCell ref="L5:M5"/>
    <mergeCell ref="J4:K4"/>
    <mergeCell ref="L4:M4"/>
    <mergeCell ref="N4:O4"/>
    <mergeCell ref="P4:Q4"/>
    <mergeCell ref="R4:S4"/>
    <mergeCell ref="H5:I5"/>
    <mergeCell ref="H6:I6"/>
    <mergeCell ref="H7:I7"/>
    <mergeCell ref="H8:I8"/>
    <mergeCell ref="H4:I4"/>
    <mergeCell ref="H9:I9"/>
    <mergeCell ref="J9:K9"/>
    <mergeCell ref="L9:M9"/>
    <mergeCell ref="N9:O9"/>
    <mergeCell ref="P9:Q9"/>
  </mergeCells>
  <phoneticPr fontId="14" type="noConversion"/>
  <conditionalFormatting sqref="H11:H18 J11:J18 L11:L18 N11:N18 P11:P18 R11:R18">
    <cfRule type="cellIs" dxfId="515" priority="13" operator="equal">
      <formula>"X"</formula>
    </cfRule>
    <cfRule type="cellIs" dxfId="514" priority="14" operator="equal">
      <formula>"I"</formula>
    </cfRule>
  </conditionalFormatting>
  <conditionalFormatting sqref="H20:H50">
    <cfRule type="cellIs" dxfId="513" priority="1" operator="equal">
      <formula>"X"</formula>
    </cfRule>
    <cfRule type="cellIs" dxfId="512" priority="2" operator="equal">
      <formula>"I"</formula>
    </cfRule>
  </conditionalFormatting>
  <conditionalFormatting sqref="J20:J50">
    <cfRule type="cellIs" dxfId="511" priority="3" operator="equal">
      <formula>"X"</formula>
    </cfRule>
    <cfRule type="cellIs" dxfId="510" priority="4" operator="equal">
      <formula>"I"</formula>
    </cfRule>
  </conditionalFormatting>
  <conditionalFormatting sqref="L20:L50">
    <cfRule type="cellIs" dxfId="509" priority="5" operator="equal">
      <formula>"X"</formula>
    </cfRule>
    <cfRule type="cellIs" dxfId="508" priority="6" operator="equal">
      <formula>"I"</formula>
    </cfRule>
  </conditionalFormatting>
  <conditionalFormatting sqref="N20:N50">
    <cfRule type="cellIs" dxfId="507" priority="7" operator="equal">
      <formula>"X"</formula>
    </cfRule>
    <cfRule type="cellIs" dxfId="506" priority="8" operator="equal">
      <formula>"I"</formula>
    </cfRule>
  </conditionalFormatting>
  <conditionalFormatting sqref="P20:P50">
    <cfRule type="cellIs" dxfId="505" priority="9" operator="equal">
      <formula>"X"</formula>
    </cfRule>
    <cfRule type="cellIs" dxfId="504" priority="10" operator="equal">
      <formula>"I"</formula>
    </cfRule>
  </conditionalFormatting>
  <conditionalFormatting sqref="R20:R50">
    <cfRule type="cellIs" dxfId="503" priority="11" operator="equal">
      <formula>"X"</formula>
    </cfRule>
    <cfRule type="cellIs" dxfId="502" priority="12" operator="equal">
      <formula>"I"</formula>
    </cfRule>
  </conditionalFormatting>
  <hyperlinks>
    <hyperlink ref="B4" location="'Cost Summary'!A1" display="BACK TO SUMMARY SHEET" xr:uid="{5320C5A3-A483-40B6-8424-2065E215436F}"/>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059D-33B9-45FE-8DD1-83F95E0A4806}">
  <sheetPr>
    <tabColor rgb="FF00B0F0"/>
  </sheetPr>
  <dimension ref="A1:AO92"/>
  <sheetViews>
    <sheetView zoomScale="90" zoomScaleNormal="90" workbookViewId="0">
      <pane xSplit="2" ySplit="10" topLeftCell="C11" activePane="bottomRight" state="frozen"/>
      <selection pane="topRight" activeCell="C1" sqref="C1"/>
      <selection pane="bottomLeft" activeCell="A11" sqref="A11"/>
      <selection pane="bottomRight" activeCell="I53" sqref="I53"/>
    </sheetView>
  </sheetViews>
  <sheetFormatPr defaultRowHeight="15"/>
  <cols>
    <col min="1" max="1" width="11" customWidth="1"/>
    <col min="2" max="2" width="70.7109375" style="1" customWidth="1"/>
    <col min="3" max="3" width="12.7109375" style="2" customWidth="1"/>
    <col min="4" max="4" width="12.7109375" style="260"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E1" s="68"/>
      <c r="F1" s="275"/>
      <c r="G1" s="269" t="s">
        <v>679</v>
      </c>
      <c r="X1" s="261"/>
    </row>
    <row r="2" spans="1:24">
      <c r="E2" s="68"/>
      <c r="F2" s="276" t="s">
        <v>680</v>
      </c>
      <c r="G2" s="269" t="s">
        <v>681</v>
      </c>
      <c r="X2" s="261"/>
    </row>
    <row r="3" spans="1:24" ht="15.75" thickBot="1">
      <c r="E3" s="68"/>
      <c r="F3" s="277" t="s">
        <v>682</v>
      </c>
      <c r="G3" s="269" t="s">
        <v>683</v>
      </c>
      <c r="X3" s="261"/>
    </row>
    <row r="4" spans="1:24" ht="15.75" thickBot="1">
      <c r="B4" s="262" t="s">
        <v>684</v>
      </c>
      <c r="E4" s="68"/>
      <c r="F4" s="278"/>
      <c r="G4" s="270" t="s">
        <v>685</v>
      </c>
      <c r="H4" s="2323" t="s">
        <v>686</v>
      </c>
      <c r="I4" s="2324"/>
      <c r="J4" s="2319" t="s">
        <v>687</v>
      </c>
      <c r="K4" s="2320"/>
      <c r="L4" s="2319" t="s">
        <v>688</v>
      </c>
      <c r="M4" s="2320"/>
      <c r="N4" s="2319" t="s">
        <v>689</v>
      </c>
      <c r="O4" s="2320"/>
      <c r="P4" s="2319" t="s">
        <v>687</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t="s">
        <v>1214</v>
      </c>
      <c r="I5" s="2322"/>
      <c r="J5" s="2321" t="s">
        <v>1215</v>
      </c>
      <c r="K5" s="2322"/>
      <c r="L5" s="2321" t="s">
        <v>1216</v>
      </c>
      <c r="M5" s="2322"/>
      <c r="N5" s="2321" t="s">
        <v>1217</v>
      </c>
      <c r="O5" s="2322"/>
      <c r="P5" s="2321" t="s">
        <v>1218</v>
      </c>
      <c r="Q5" s="2322"/>
      <c r="R5" s="2321" t="s">
        <v>999</v>
      </c>
      <c r="S5" s="2322"/>
      <c r="X5" s="261"/>
    </row>
    <row r="6" spans="1:24">
      <c r="A6" s="1082" t="s">
        <v>700</v>
      </c>
      <c r="B6" s="1196" t="s">
        <v>1219</v>
      </c>
      <c r="C6" s="415"/>
      <c r="D6" s="416"/>
      <c r="E6" s="417"/>
      <c r="F6" s="418"/>
      <c r="G6" s="419" t="s">
        <v>702</v>
      </c>
      <c r="H6" s="2325" t="s">
        <v>1220</v>
      </c>
      <c r="I6" s="2326"/>
      <c r="J6" s="2325" t="s">
        <v>1221</v>
      </c>
      <c r="K6" s="2326"/>
      <c r="L6" s="2325" t="s">
        <v>1222</v>
      </c>
      <c r="M6" s="2326"/>
      <c r="N6" s="2325" t="s">
        <v>1223</v>
      </c>
      <c r="O6" s="2326"/>
      <c r="P6" s="2325" t="s">
        <v>1004</v>
      </c>
      <c r="Q6" s="2326"/>
      <c r="R6" s="2325" t="s">
        <v>1005</v>
      </c>
      <c r="S6" s="2326"/>
      <c r="X6" s="261"/>
    </row>
    <row r="7" spans="1:24">
      <c r="A7" s="1082" t="s">
        <v>706</v>
      </c>
      <c r="B7" s="1197" t="s">
        <v>308</v>
      </c>
      <c r="C7" s="415"/>
      <c r="D7" s="416"/>
      <c r="E7" s="417"/>
      <c r="F7" s="418"/>
      <c r="G7" s="829" t="s">
        <v>708</v>
      </c>
      <c r="H7" s="2325" t="s">
        <v>1224</v>
      </c>
      <c r="I7" s="2326"/>
      <c r="J7" s="2325" t="s">
        <v>1225</v>
      </c>
      <c r="K7" s="2326"/>
      <c r="L7" s="2325" t="s">
        <v>1226</v>
      </c>
      <c r="M7" s="2326"/>
      <c r="N7" s="2325" t="s">
        <v>1227</v>
      </c>
      <c r="O7" s="2326"/>
      <c r="P7" s="2325" t="s">
        <v>1228</v>
      </c>
      <c r="Q7" s="2326"/>
      <c r="R7" s="2325" t="s">
        <v>1011</v>
      </c>
      <c r="S7" s="2326"/>
      <c r="X7" s="261"/>
    </row>
    <row r="8" spans="1:24">
      <c r="A8" s="1082" t="s">
        <v>712</v>
      </c>
      <c r="B8" s="1198"/>
      <c r="C8" s="415"/>
      <c r="D8" s="416"/>
      <c r="E8" s="417"/>
      <c r="F8" s="418"/>
      <c r="G8" s="829" t="s">
        <v>713</v>
      </c>
      <c r="H8" s="2327" t="s">
        <v>1229</v>
      </c>
      <c r="I8" s="2328"/>
      <c r="J8" s="2327" t="s">
        <v>1230</v>
      </c>
      <c r="K8" s="2346"/>
      <c r="L8" s="2327" t="s">
        <v>1231</v>
      </c>
      <c r="M8" s="2328"/>
      <c r="N8" s="2327" t="s">
        <v>1232</v>
      </c>
      <c r="O8" s="2328"/>
      <c r="P8" s="2327" t="s">
        <v>1233</v>
      </c>
      <c r="Q8" s="2328"/>
      <c r="R8" s="2327" t="s">
        <v>1016</v>
      </c>
      <c r="S8" s="2346"/>
      <c r="X8" s="261"/>
    </row>
    <row r="9" spans="1:24" ht="15.75" thickBot="1">
      <c r="A9" s="420"/>
      <c r="B9" s="421"/>
      <c r="C9" s="23"/>
      <c r="D9" s="265"/>
      <c r="E9" s="266"/>
      <c r="F9" s="283"/>
      <c r="G9" s="284" t="s">
        <v>717</v>
      </c>
      <c r="H9" s="2330">
        <f>I55</f>
        <v>1293203.8500000001</v>
      </c>
      <c r="I9" s="2330"/>
      <c r="J9" s="2317">
        <f>K55</f>
        <v>1219213.8</v>
      </c>
      <c r="K9" s="2318"/>
      <c r="L9" s="2317">
        <f>M55</f>
        <v>1359108</v>
      </c>
      <c r="M9" s="2318"/>
      <c r="N9" s="2317">
        <f>O55</f>
        <v>1430850</v>
      </c>
      <c r="O9" s="2318"/>
      <c r="P9" s="2317">
        <f>Q55</f>
        <v>2063012.8</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c r="A11" s="1412"/>
      <c r="B11" s="1438" t="s">
        <v>725</v>
      </c>
      <c r="C11" s="1396"/>
      <c r="D11" s="1414"/>
      <c r="E11" s="1435"/>
      <c r="F11" s="1416"/>
      <c r="G11" s="1417"/>
      <c r="H11" s="1439"/>
      <c r="I11" s="1419"/>
      <c r="J11" s="1439"/>
      <c r="K11" s="1419"/>
      <c r="L11" s="1439"/>
      <c r="M11" s="348"/>
      <c r="N11" s="1439"/>
      <c r="O11" s="1419"/>
      <c r="P11" s="1439"/>
      <c r="Q11" s="1420"/>
      <c r="R11" s="1439"/>
      <c r="S11" s="1419"/>
    </row>
    <row r="12" spans="1:24">
      <c r="A12" s="1412"/>
      <c r="B12" s="1201" t="s">
        <v>726</v>
      </c>
      <c r="C12" s="415"/>
      <c r="D12" s="416"/>
      <c r="E12" s="422"/>
      <c r="F12" s="418"/>
      <c r="G12" s="423"/>
      <c r="H12" s="1264" t="s">
        <v>727</v>
      </c>
      <c r="I12" s="1419"/>
      <c r="J12" s="1202"/>
      <c r="K12" s="1419"/>
      <c r="L12" s="1202"/>
      <c r="M12" s="1419"/>
      <c r="N12" s="1202"/>
      <c r="O12" s="1419"/>
      <c r="P12" s="1202"/>
      <c r="Q12" s="1420"/>
      <c r="R12" s="1202"/>
      <c r="S12" s="1419"/>
    </row>
    <row r="13" spans="1:24">
      <c r="A13" s="1097"/>
      <c r="B13" s="1201" t="s">
        <v>728</v>
      </c>
      <c r="C13" s="415"/>
      <c r="D13" s="416"/>
      <c r="E13" s="422"/>
      <c r="F13" s="418"/>
      <c r="G13" s="423"/>
      <c r="H13" s="1264" t="s">
        <v>727</v>
      </c>
      <c r="I13" s="1419"/>
      <c r="J13" s="1202"/>
      <c r="K13" s="1419"/>
      <c r="L13" s="1202"/>
      <c r="M13" s="1419"/>
      <c r="N13" s="1202"/>
      <c r="O13" s="1419"/>
      <c r="P13" s="1202"/>
      <c r="Q13" s="1420"/>
      <c r="R13" s="1202"/>
      <c r="S13" s="1419"/>
    </row>
    <row r="14" spans="1:24">
      <c r="A14" s="1412"/>
      <c r="B14" s="1203" t="s">
        <v>729</v>
      </c>
      <c r="C14" s="415"/>
      <c r="D14" s="416"/>
      <c r="E14" s="422"/>
      <c r="F14" s="418"/>
      <c r="G14" s="423"/>
      <c r="H14" s="1264" t="s">
        <v>730</v>
      </c>
      <c r="I14" s="1440" t="s">
        <v>837</v>
      </c>
      <c r="J14" s="1202"/>
      <c r="K14" s="1419"/>
      <c r="L14" s="1202"/>
      <c r="M14" s="1419"/>
      <c r="N14" s="1202"/>
      <c r="O14" s="1419"/>
      <c r="P14" s="1202"/>
      <c r="Q14" s="1420"/>
      <c r="R14" s="1202"/>
      <c r="S14" s="1419"/>
    </row>
    <row r="15" spans="1:24">
      <c r="A15" s="1097"/>
      <c r="B15" s="1203" t="s">
        <v>731</v>
      </c>
      <c r="C15" s="415"/>
      <c r="D15" s="416"/>
      <c r="E15" s="422"/>
      <c r="F15" s="418"/>
      <c r="G15" s="423"/>
      <c r="H15" s="1264" t="s">
        <v>727</v>
      </c>
      <c r="I15" s="1420"/>
      <c r="J15" s="1202"/>
      <c r="K15" s="1420"/>
      <c r="L15" s="1202"/>
      <c r="M15" s="1420"/>
      <c r="N15" s="1202"/>
      <c r="O15" s="1420"/>
      <c r="P15" s="1202"/>
      <c r="Q15" s="1420"/>
      <c r="R15" s="1202"/>
      <c r="S15" s="1420"/>
    </row>
    <row r="16" spans="1:24">
      <c r="A16" s="1412"/>
      <c r="B16" s="1203" t="s">
        <v>732</v>
      </c>
      <c r="C16" s="415"/>
      <c r="D16" s="416"/>
      <c r="E16" s="422"/>
      <c r="F16" s="418"/>
      <c r="G16" s="423"/>
      <c r="H16" s="1264" t="s">
        <v>727</v>
      </c>
      <c r="I16" s="1419"/>
      <c r="J16" s="1202"/>
      <c r="K16" s="1419"/>
      <c r="L16" s="1202"/>
      <c r="M16" s="1419"/>
      <c r="N16" s="1202"/>
      <c r="O16" s="1419"/>
      <c r="P16" s="1202"/>
      <c r="Q16" s="1420"/>
      <c r="R16" s="1202"/>
      <c r="S16" s="1419"/>
    </row>
    <row r="17" spans="1:41">
      <c r="A17" s="1097"/>
      <c r="B17" s="1203" t="s">
        <v>733</v>
      </c>
      <c r="C17" s="415"/>
      <c r="D17" s="416"/>
      <c r="E17" s="422"/>
      <c r="F17" s="418"/>
      <c r="G17" s="423"/>
      <c r="H17" s="1264" t="s">
        <v>727</v>
      </c>
      <c r="I17" s="1419"/>
      <c r="J17" s="1202"/>
      <c r="K17" s="1419"/>
      <c r="L17" s="1202"/>
      <c r="M17" s="1419"/>
      <c r="N17" s="1202"/>
      <c r="O17" s="1419"/>
      <c r="P17" s="1202"/>
      <c r="Q17" s="1420"/>
      <c r="R17" s="1202"/>
      <c r="S17" s="1419"/>
    </row>
    <row r="18" spans="1:41">
      <c r="A18" s="1412"/>
      <c r="B18" s="726" t="s">
        <v>734</v>
      </c>
      <c r="C18" s="415"/>
      <c r="D18" s="416"/>
      <c r="E18" s="422"/>
      <c r="F18" s="418"/>
      <c r="G18" s="423"/>
      <c r="H18" s="1264" t="s">
        <v>730</v>
      </c>
      <c r="I18" s="1419" t="s">
        <v>1234</v>
      </c>
      <c r="J18" s="1202"/>
      <c r="K18" s="1419"/>
      <c r="L18" s="1202"/>
      <c r="M18" s="1419"/>
      <c r="N18" s="1202"/>
      <c r="O18" s="1419"/>
      <c r="P18" s="1202"/>
      <c r="Q18" s="1420"/>
      <c r="R18" s="1202"/>
      <c r="S18" s="1419"/>
    </row>
    <row r="19" spans="1:41">
      <c r="A19" s="1412"/>
      <c r="B19" s="1099" t="s">
        <v>736</v>
      </c>
      <c r="C19" s="415"/>
      <c r="D19" s="416"/>
      <c r="E19" s="422"/>
      <c r="F19" s="418"/>
      <c r="G19" s="423"/>
      <c r="H19" s="1202"/>
      <c r="I19" s="1419"/>
      <c r="J19" s="1202"/>
      <c r="K19" s="1419"/>
      <c r="L19" s="1202"/>
      <c r="M19" s="1419"/>
      <c r="N19" s="1202"/>
      <c r="O19" s="1419"/>
      <c r="P19" s="1202"/>
      <c r="Q19" s="1420"/>
      <c r="R19" s="1202"/>
      <c r="S19" s="1419"/>
    </row>
    <row r="20" spans="1:41">
      <c r="A20" s="1097"/>
      <c r="B20" s="1441" t="s">
        <v>737</v>
      </c>
      <c r="C20" s="424"/>
      <c r="D20" s="448"/>
      <c r="E20" s="425"/>
      <c r="F20" s="426"/>
      <c r="G20" s="427"/>
      <c r="H20" s="1101"/>
      <c r="I20" s="1422">
        <v>1286770</v>
      </c>
      <c r="J20" s="1101"/>
      <c r="K20" s="1422"/>
      <c r="L20" s="1101"/>
      <c r="M20" s="1422">
        <v>1359108</v>
      </c>
      <c r="N20" s="1101"/>
      <c r="O20" s="1422"/>
      <c r="P20" s="1101"/>
      <c r="Q20" s="1423"/>
      <c r="R20" s="1101"/>
      <c r="S20" s="1422"/>
    </row>
    <row r="21" spans="1:41">
      <c r="A21" s="1412"/>
      <c r="B21" s="1369"/>
      <c r="C21" s="23"/>
      <c r="D21" s="265"/>
      <c r="E21" s="86"/>
      <c r="F21" s="280"/>
      <c r="G21" s="274"/>
      <c r="H21" s="1202"/>
      <c r="I21" s="428"/>
      <c r="J21" s="1202"/>
      <c r="K21" s="428"/>
      <c r="L21" s="1202"/>
      <c r="M21" s="428"/>
      <c r="N21" s="1202"/>
      <c r="O21" s="428"/>
      <c r="P21" s="1202"/>
      <c r="Q21" s="428"/>
      <c r="R21" s="1202"/>
      <c r="S21" s="428"/>
    </row>
    <row r="22" spans="1:41" s="69" customFormat="1">
      <c r="A22" s="1097"/>
      <c r="B22" s="1105" t="s">
        <v>1235</v>
      </c>
      <c r="C22" s="415" t="s">
        <v>1236</v>
      </c>
      <c r="D22" s="416"/>
      <c r="E22" s="422"/>
      <c r="F22" s="429"/>
      <c r="G22" s="423"/>
      <c r="H22" s="1202"/>
      <c r="I22" s="1107"/>
      <c r="J22" s="1202"/>
      <c r="K22" s="1106"/>
      <c r="L22" s="1202"/>
      <c r="M22" s="1106"/>
      <c r="N22" s="1202"/>
      <c r="O22" s="1107"/>
      <c r="P22" s="1202"/>
      <c r="Q22" s="1107"/>
      <c r="R22" s="1202"/>
      <c r="S22" s="1106"/>
      <c r="T22"/>
      <c r="U22"/>
      <c r="V22"/>
      <c r="W22"/>
      <c r="X22"/>
      <c r="Y22"/>
      <c r="Z22"/>
      <c r="AA22"/>
      <c r="AB22"/>
      <c r="AC22"/>
      <c r="AD22"/>
      <c r="AE22"/>
      <c r="AF22"/>
      <c r="AG22"/>
      <c r="AH22"/>
      <c r="AI22"/>
      <c r="AJ22"/>
      <c r="AK22"/>
      <c r="AL22"/>
      <c r="AM22"/>
      <c r="AN22"/>
      <c r="AO22"/>
    </row>
    <row r="23" spans="1:41">
      <c r="A23" s="1412"/>
      <c r="B23" s="1442" t="s">
        <v>1237</v>
      </c>
      <c r="C23" s="1396"/>
      <c r="D23" s="1443">
        <v>20514</v>
      </c>
      <c r="E23" s="1435" t="s">
        <v>511</v>
      </c>
      <c r="F23" s="1401"/>
      <c r="G23" s="1402"/>
      <c r="H23" s="1202" t="s">
        <v>682</v>
      </c>
      <c r="I23" s="1419"/>
      <c r="J23" s="1202"/>
      <c r="K23" s="1419">
        <v>555218</v>
      </c>
      <c r="L23" s="1202" t="s">
        <v>682</v>
      </c>
      <c r="M23" s="1419"/>
      <c r="N23" s="1202" t="s">
        <v>682</v>
      </c>
      <c r="O23" s="1419">
        <f>708950+95650</f>
        <v>804600</v>
      </c>
      <c r="P23" s="1202" t="s">
        <v>682</v>
      </c>
      <c r="Q23" s="1419">
        <v>1373730</v>
      </c>
      <c r="R23" s="1202"/>
      <c r="S23" s="1419"/>
    </row>
    <row r="24" spans="1:41" ht="45">
      <c r="A24" s="1097"/>
      <c r="B24" s="1444" t="s">
        <v>1238</v>
      </c>
      <c r="C24" s="415"/>
      <c r="D24" s="450"/>
      <c r="E24" s="422"/>
      <c r="F24" s="431"/>
      <c r="G24" s="1402"/>
      <c r="H24" s="1202"/>
      <c r="I24" s="1419"/>
      <c r="J24" s="1202"/>
      <c r="K24" s="1419"/>
      <c r="L24" s="1202"/>
      <c r="M24" s="1419"/>
      <c r="N24" s="1202"/>
      <c r="O24" s="1419"/>
      <c r="P24" s="1202"/>
      <c r="Q24" s="1445"/>
      <c r="R24" s="1202"/>
      <c r="S24" s="1419"/>
    </row>
    <row r="25" spans="1:41">
      <c r="A25" s="1412"/>
      <c r="B25" s="1446" t="s">
        <v>1239</v>
      </c>
      <c r="C25" s="415"/>
      <c r="D25" s="450"/>
      <c r="E25" s="422"/>
      <c r="F25" s="431"/>
      <c r="G25" s="1402"/>
      <c r="H25" s="1202"/>
      <c r="I25" s="1419"/>
      <c r="J25" s="1202"/>
      <c r="K25" s="1419"/>
      <c r="L25" s="1202"/>
      <c r="M25" s="1419"/>
      <c r="N25" s="1202"/>
      <c r="O25" s="1419"/>
      <c r="P25" s="1202"/>
      <c r="Q25" s="1419"/>
      <c r="R25" s="1202"/>
      <c r="S25" s="1419"/>
    </row>
    <row r="26" spans="1:41">
      <c r="A26" s="1097"/>
      <c r="B26" s="1446" t="s">
        <v>1240</v>
      </c>
      <c r="C26" s="415"/>
      <c r="D26" s="450"/>
      <c r="E26" s="422"/>
      <c r="F26" s="431"/>
      <c r="G26" s="1402"/>
      <c r="H26" s="1202"/>
      <c r="I26" s="1419"/>
      <c r="J26" s="1202"/>
      <c r="K26" s="1419"/>
      <c r="L26" s="1202"/>
      <c r="M26" s="1419"/>
      <c r="N26" s="1202"/>
      <c r="O26" s="1419"/>
      <c r="P26" s="1202"/>
      <c r="Q26" s="1419"/>
      <c r="R26" s="1202"/>
      <c r="S26" s="1419"/>
    </row>
    <row r="27" spans="1:41">
      <c r="A27" s="1412"/>
      <c r="B27" s="1446" t="s">
        <v>1241</v>
      </c>
      <c r="C27" s="415"/>
      <c r="D27" s="450"/>
      <c r="E27" s="422"/>
      <c r="F27" s="431"/>
      <c r="G27" s="1402"/>
      <c r="H27" s="1202"/>
      <c r="I27" s="1419"/>
      <c r="J27" s="1202"/>
      <c r="K27" s="1419"/>
      <c r="L27" s="1202"/>
      <c r="M27" s="1419"/>
      <c r="N27" s="1202"/>
      <c r="O27" s="1419"/>
      <c r="P27" s="1202"/>
      <c r="Q27" s="1419"/>
      <c r="R27" s="1202"/>
      <c r="S27" s="1419"/>
    </row>
    <row r="28" spans="1:41">
      <c r="A28" s="1097"/>
      <c r="B28" s="1446" t="s">
        <v>1242</v>
      </c>
      <c r="C28" s="415"/>
      <c r="D28" s="450"/>
      <c r="E28" s="422"/>
      <c r="F28" s="431"/>
      <c r="G28" s="1402"/>
      <c r="H28" s="1202"/>
      <c r="I28" s="1419"/>
      <c r="J28" s="1202"/>
      <c r="K28" s="1419"/>
      <c r="L28" s="1202"/>
      <c r="M28" s="1419"/>
      <c r="N28" s="1202"/>
      <c r="O28" s="1419"/>
      <c r="P28" s="1202"/>
      <c r="Q28" s="1419"/>
      <c r="R28" s="1202"/>
      <c r="S28" s="1419"/>
    </row>
    <row r="29" spans="1:41">
      <c r="A29" s="1412"/>
      <c r="B29" s="1446" t="s">
        <v>1243</v>
      </c>
      <c r="C29" s="415"/>
      <c r="D29" s="450"/>
      <c r="E29" s="422"/>
      <c r="F29" s="431"/>
      <c r="G29" s="1402"/>
      <c r="H29" s="1202"/>
      <c r="I29" s="1419"/>
      <c r="J29" s="1202"/>
      <c r="K29" s="1419"/>
      <c r="L29" s="1202"/>
      <c r="M29" s="1419"/>
      <c r="N29" s="1202"/>
      <c r="O29" s="1419"/>
      <c r="P29" s="1202"/>
      <c r="Q29" s="1419"/>
      <c r="R29" s="1202"/>
      <c r="S29" s="1419"/>
    </row>
    <row r="30" spans="1:41">
      <c r="A30" s="1097"/>
      <c r="B30" s="1446" t="s">
        <v>1244</v>
      </c>
      <c r="C30" s="415"/>
      <c r="D30" s="450"/>
      <c r="E30" s="422"/>
      <c r="F30" s="431"/>
      <c r="G30" s="1402"/>
      <c r="H30" s="1202"/>
      <c r="I30" s="1419"/>
      <c r="J30" s="1202"/>
      <c r="K30" s="1419"/>
      <c r="L30" s="1202"/>
      <c r="M30" s="1419"/>
      <c r="N30" s="1202"/>
      <c r="O30" s="1419"/>
      <c r="P30" s="1202"/>
      <c r="Q30" s="1419"/>
      <c r="R30" s="1202"/>
      <c r="S30" s="1419"/>
    </row>
    <row r="31" spans="1:41">
      <c r="A31" s="1412"/>
      <c r="B31" s="1446" t="s">
        <v>1245</v>
      </c>
      <c r="C31" s="415"/>
      <c r="D31" s="450"/>
      <c r="E31" s="422"/>
      <c r="F31" s="431"/>
      <c r="G31" s="1402"/>
      <c r="H31" s="1202"/>
      <c r="I31" s="1419"/>
      <c r="J31" s="1202"/>
      <c r="K31" s="1419"/>
      <c r="L31" s="1202"/>
      <c r="M31" s="1419"/>
      <c r="N31" s="1202"/>
      <c r="O31" s="1419"/>
      <c r="P31" s="1202" t="s">
        <v>682</v>
      </c>
      <c r="Q31" s="1419"/>
      <c r="R31" s="1202"/>
      <c r="S31" s="1419"/>
    </row>
    <row r="32" spans="1:41">
      <c r="A32" s="1097"/>
      <c r="B32" s="1446" t="s">
        <v>1246</v>
      </c>
      <c r="C32" s="415"/>
      <c r="D32" s="450"/>
      <c r="E32" s="422"/>
      <c r="F32" s="431"/>
      <c r="G32" s="1402"/>
      <c r="H32" s="1202"/>
      <c r="I32" s="1419"/>
      <c r="J32" s="1202"/>
      <c r="K32" s="1419"/>
      <c r="L32" s="1202"/>
      <c r="M32" s="1419"/>
      <c r="N32" s="1202"/>
      <c r="O32" s="1419"/>
      <c r="P32" s="1202"/>
      <c r="Q32" s="1419"/>
      <c r="R32" s="1202"/>
      <c r="S32" s="1419"/>
    </row>
    <row r="33" spans="1:19">
      <c r="A33" s="1412"/>
      <c r="B33" s="1447" t="s">
        <v>1247</v>
      </c>
      <c r="C33" s="23"/>
      <c r="D33" s="450"/>
      <c r="E33" s="422"/>
      <c r="F33" s="431"/>
      <c r="G33" s="1402"/>
      <c r="H33" s="1202"/>
      <c r="I33" s="1419"/>
      <c r="J33" s="1202"/>
      <c r="K33" s="1419"/>
      <c r="L33" s="1202"/>
      <c r="M33" s="1419"/>
      <c r="N33" s="1202"/>
      <c r="O33" s="1419"/>
      <c r="P33" s="1202"/>
      <c r="Q33" s="1419"/>
      <c r="R33" s="1202"/>
      <c r="S33" s="1419"/>
    </row>
    <row r="34" spans="1:19">
      <c r="A34" s="1097"/>
      <c r="B34" s="1447" t="s">
        <v>1248</v>
      </c>
      <c r="C34" s="23"/>
      <c r="D34" s="345"/>
      <c r="E34" s="86"/>
      <c r="F34" s="431"/>
      <c r="G34" s="1402"/>
      <c r="H34" s="1202"/>
      <c r="I34" s="1419"/>
      <c r="J34" s="1202"/>
      <c r="K34" s="1419"/>
      <c r="L34" s="1202"/>
      <c r="M34" s="1419"/>
      <c r="N34" s="1202"/>
      <c r="O34" s="1419"/>
      <c r="P34" s="1202"/>
      <c r="Q34" s="1419"/>
      <c r="R34" s="1202"/>
      <c r="S34" s="1419"/>
    </row>
    <row r="35" spans="1:19">
      <c r="A35" s="1412"/>
      <c r="B35" s="1447" t="s">
        <v>1249</v>
      </c>
      <c r="C35" s="23"/>
      <c r="D35" s="345"/>
      <c r="E35" s="86"/>
      <c r="F35" s="431"/>
      <c r="G35" s="1402"/>
      <c r="H35" s="1202" t="s">
        <v>682</v>
      </c>
      <c r="I35" s="1419"/>
      <c r="J35" s="1202" t="s">
        <v>682</v>
      </c>
      <c r="K35" s="1419"/>
      <c r="L35" s="1202" t="s">
        <v>682</v>
      </c>
      <c r="M35" s="1419"/>
      <c r="N35" s="1202" t="s">
        <v>682</v>
      </c>
      <c r="O35" s="1419"/>
      <c r="P35" s="1202"/>
      <c r="Q35" s="1419"/>
      <c r="R35" s="1202"/>
      <c r="S35" s="1419"/>
    </row>
    <row r="36" spans="1:19">
      <c r="A36" s="1412"/>
      <c r="B36" s="1447" t="s">
        <v>1250</v>
      </c>
      <c r="C36" s="23"/>
      <c r="D36" s="345"/>
      <c r="E36" s="86"/>
      <c r="F36" s="431"/>
      <c r="G36" s="1402"/>
      <c r="H36" s="1202"/>
      <c r="I36" s="1419"/>
      <c r="J36" s="1202"/>
      <c r="K36" s="1419"/>
      <c r="L36" s="1202" t="s">
        <v>682</v>
      </c>
      <c r="M36" s="1419"/>
      <c r="N36" s="1202"/>
      <c r="O36" s="1419"/>
      <c r="P36" s="1202"/>
      <c r="Q36" s="1419"/>
      <c r="R36" s="1202"/>
      <c r="S36" s="1419"/>
    </row>
    <row r="37" spans="1:19">
      <c r="A37" s="1412"/>
      <c r="B37" s="1247" t="s">
        <v>1251</v>
      </c>
      <c r="C37" s="23"/>
      <c r="D37" s="345"/>
      <c r="E37" s="86"/>
      <c r="F37" s="431"/>
      <c r="G37" s="1402"/>
      <c r="H37" s="1202"/>
      <c r="I37" s="1419"/>
      <c r="J37" s="1202"/>
      <c r="K37" s="1419"/>
      <c r="L37" s="1202" t="s">
        <v>682</v>
      </c>
      <c r="M37" s="1419"/>
      <c r="N37" s="1202"/>
      <c r="O37" s="1419"/>
      <c r="P37" s="1202"/>
      <c r="Q37" s="1419"/>
      <c r="R37" s="1202"/>
      <c r="S37" s="1419"/>
    </row>
    <row r="38" spans="1:19">
      <c r="A38" s="1412"/>
      <c r="B38" s="1113" t="s">
        <v>1252</v>
      </c>
      <c r="C38" s="23"/>
      <c r="D38" s="345"/>
      <c r="E38" s="86"/>
      <c r="F38" s="1401"/>
      <c r="G38" s="1402"/>
      <c r="H38" s="1202" t="s">
        <v>682</v>
      </c>
      <c r="I38" s="1419"/>
      <c r="J38" s="1202"/>
      <c r="K38" s="1419"/>
      <c r="L38" s="1202"/>
      <c r="M38" s="1419"/>
      <c r="N38" s="1202" t="s">
        <v>682</v>
      </c>
      <c r="O38" s="1419"/>
      <c r="P38" s="1202"/>
      <c r="Q38" s="1419"/>
      <c r="R38" s="1202"/>
      <c r="S38" s="1419"/>
    </row>
    <row r="39" spans="1:19">
      <c r="A39" s="1412"/>
      <c r="B39" s="1247" t="s">
        <v>1253</v>
      </c>
      <c r="C39" s="23"/>
      <c r="D39" s="345"/>
      <c r="E39" s="86"/>
      <c r="F39" s="431"/>
      <c r="G39" s="1402"/>
      <c r="H39" s="1202"/>
      <c r="I39" s="1419"/>
      <c r="J39" s="1202"/>
      <c r="K39" s="1430"/>
      <c r="L39" s="1202"/>
      <c r="M39" s="1419"/>
      <c r="N39" s="1202"/>
      <c r="O39" s="1419"/>
      <c r="P39" s="1202"/>
      <c r="Q39" s="1445"/>
      <c r="R39" s="1202"/>
      <c r="S39" s="1419"/>
    </row>
    <row r="40" spans="1:19">
      <c r="A40" s="1412"/>
      <c r="B40" s="1447" t="s">
        <v>1254</v>
      </c>
      <c r="C40" s="23"/>
      <c r="D40" s="345"/>
      <c r="E40" s="86"/>
      <c r="F40" s="431"/>
      <c r="G40" s="1402"/>
      <c r="H40" s="1202" t="s">
        <v>682</v>
      </c>
      <c r="I40" s="1419"/>
      <c r="J40" s="1202"/>
      <c r="K40" s="1419"/>
      <c r="L40" s="1202" t="s">
        <v>682</v>
      </c>
      <c r="M40" s="1419"/>
      <c r="N40" s="1202" t="s">
        <v>682</v>
      </c>
      <c r="O40" s="1419"/>
      <c r="P40" s="1202" t="s">
        <v>682</v>
      </c>
      <c r="Q40" s="1419"/>
      <c r="R40" s="1202"/>
      <c r="S40" s="1419"/>
    </row>
    <row r="41" spans="1:19">
      <c r="A41" s="1412"/>
      <c r="B41" s="1447" t="s">
        <v>1255</v>
      </c>
      <c r="C41" s="23"/>
      <c r="D41" s="345"/>
      <c r="E41" s="86"/>
      <c r="F41" s="431"/>
      <c r="G41" s="1402"/>
      <c r="H41" s="1202"/>
      <c r="I41" s="1419"/>
      <c r="J41" s="1202"/>
      <c r="K41" s="1419"/>
      <c r="L41" s="1202"/>
      <c r="M41" s="1419"/>
      <c r="N41" s="1202"/>
      <c r="O41" s="1419"/>
      <c r="P41" s="1202"/>
      <c r="Q41" s="1419"/>
      <c r="R41" s="1202"/>
      <c r="S41" s="1419"/>
    </row>
    <row r="42" spans="1:19">
      <c r="A42" s="1412"/>
      <c r="B42" s="1447" t="s">
        <v>1256</v>
      </c>
      <c r="C42" s="23"/>
      <c r="D42" s="345"/>
      <c r="E42" s="86"/>
      <c r="F42" s="431"/>
      <c r="G42" s="1402"/>
      <c r="H42" s="1202"/>
      <c r="I42" s="1419"/>
      <c r="J42" s="1202"/>
      <c r="K42" s="1419"/>
      <c r="L42" s="1202"/>
      <c r="M42" s="1419"/>
      <c r="N42" s="1202"/>
      <c r="O42" s="1419"/>
      <c r="P42" s="1202"/>
      <c r="Q42" s="1419"/>
      <c r="R42" s="1202"/>
      <c r="S42" s="1419"/>
    </row>
    <row r="43" spans="1:19">
      <c r="A43" s="1412"/>
      <c r="B43" s="1247" t="s">
        <v>1257</v>
      </c>
      <c r="C43" s="23"/>
      <c r="D43" s="345"/>
      <c r="E43" s="86"/>
      <c r="F43" s="431"/>
      <c r="G43" s="1402"/>
      <c r="H43" s="1202"/>
      <c r="I43" s="1419"/>
      <c r="J43" s="1202"/>
      <c r="K43" s="1419"/>
      <c r="L43" s="1202" t="s">
        <v>682</v>
      </c>
      <c r="M43" s="1419"/>
      <c r="N43" s="1202"/>
      <c r="O43" s="1419"/>
      <c r="P43" s="1202"/>
      <c r="Q43" s="1419"/>
      <c r="R43" s="1202"/>
      <c r="S43" s="1419"/>
    </row>
    <row r="44" spans="1:19">
      <c r="A44" s="1412"/>
      <c r="B44" s="1247" t="s">
        <v>1258</v>
      </c>
      <c r="C44" s="23"/>
      <c r="D44" s="345">
        <f>6031+1983+368</f>
        <v>8382</v>
      </c>
      <c r="E44" s="86" t="s">
        <v>511</v>
      </c>
      <c r="F44" s="1401"/>
      <c r="G44" s="1402"/>
      <c r="H44" s="1202"/>
      <c r="I44" s="1419"/>
      <c r="J44" s="1202"/>
      <c r="K44" s="1419">
        <v>503088</v>
      </c>
      <c r="L44" s="1202" t="s">
        <v>682</v>
      </c>
      <c r="M44" s="1419"/>
      <c r="N44" s="1202"/>
      <c r="O44" s="1419">
        <f>524900+101350</f>
        <v>626250</v>
      </c>
      <c r="P44" s="1202" t="s">
        <v>682</v>
      </c>
      <c r="Q44" s="1419">
        <v>528375</v>
      </c>
      <c r="R44" s="1202"/>
      <c r="S44" s="1419"/>
    </row>
    <row r="45" spans="1:19">
      <c r="A45" s="1412"/>
      <c r="B45" s="1247" t="s">
        <v>1259</v>
      </c>
      <c r="C45" s="23"/>
      <c r="D45" s="345"/>
      <c r="E45" s="86"/>
      <c r="F45" s="431"/>
      <c r="G45" s="1402"/>
      <c r="H45" s="1202" t="s">
        <v>682</v>
      </c>
      <c r="I45" s="1419"/>
      <c r="J45" s="1202"/>
      <c r="K45" s="1419"/>
      <c r="L45" s="1202" t="s">
        <v>682</v>
      </c>
      <c r="M45" s="1419"/>
      <c r="N45" s="1202" t="s">
        <v>682</v>
      </c>
      <c r="O45" s="1419"/>
      <c r="P45" s="1202"/>
      <c r="Q45" s="1419"/>
      <c r="R45" s="1202"/>
      <c r="S45" s="1419"/>
    </row>
    <row r="46" spans="1:19">
      <c r="A46" s="1412"/>
      <c r="B46" s="1447" t="s">
        <v>1260</v>
      </c>
      <c r="C46" s="23"/>
      <c r="D46" s="345">
        <f>(188+110)*4</f>
        <v>1192</v>
      </c>
      <c r="E46" s="86" t="s">
        <v>511</v>
      </c>
      <c r="F46" s="431">
        <f>528375/7500</f>
        <v>70.45</v>
      </c>
      <c r="G46" s="1402">
        <f>D46*F46</f>
        <v>83976.400000000009</v>
      </c>
      <c r="H46" s="1202"/>
      <c r="I46" s="1419"/>
      <c r="J46" s="1202"/>
      <c r="K46" s="1430">
        <f>$G46</f>
        <v>83976.400000000009</v>
      </c>
      <c r="L46" s="1202"/>
      <c r="M46" s="1419"/>
      <c r="N46" s="1202"/>
      <c r="O46" s="1419"/>
      <c r="P46" s="1202"/>
      <c r="Q46" s="1430">
        <f>$G46</f>
        <v>83976.400000000009</v>
      </c>
      <c r="R46" s="1202"/>
      <c r="S46" s="1419"/>
    </row>
    <row r="47" spans="1:19">
      <c r="A47" s="1412"/>
      <c r="B47" s="1447" t="s">
        <v>1261</v>
      </c>
      <c r="C47" s="23"/>
      <c r="D47" s="345">
        <f>574+164</f>
        <v>738</v>
      </c>
      <c r="E47" s="86" t="s">
        <v>511</v>
      </c>
      <c r="F47" s="431">
        <f t="shared" ref="F47:F48" si="0">528375/7500</f>
        <v>70.45</v>
      </c>
      <c r="G47" s="1402">
        <f t="shared" ref="G47:G48" si="1">D47*F47</f>
        <v>51992.1</v>
      </c>
      <c r="H47" s="1202"/>
      <c r="I47" s="1419"/>
      <c r="J47" s="1202"/>
      <c r="K47" s="1430">
        <f t="shared" ref="K47:Q48" si="2">$G47</f>
        <v>51992.1</v>
      </c>
      <c r="L47" s="1202"/>
      <c r="M47" s="1419"/>
      <c r="N47" s="1202"/>
      <c r="O47" s="1419"/>
      <c r="P47" s="1202"/>
      <c r="Q47" s="1430">
        <f t="shared" si="2"/>
        <v>51992.1</v>
      </c>
      <c r="R47" s="1202"/>
      <c r="S47" s="1419"/>
    </row>
    <row r="48" spans="1:19">
      <c r="A48" s="1412"/>
      <c r="B48" s="1447" t="s">
        <v>1262</v>
      </c>
      <c r="C48" s="23"/>
      <c r="D48" s="345">
        <f>(133+44)*2</f>
        <v>354</v>
      </c>
      <c r="E48" s="86" t="s">
        <v>511</v>
      </c>
      <c r="F48" s="431">
        <f t="shared" si="0"/>
        <v>70.45</v>
      </c>
      <c r="G48" s="1402">
        <f t="shared" si="1"/>
        <v>24939.3</v>
      </c>
      <c r="H48" s="1202"/>
      <c r="I48" s="1419"/>
      <c r="J48" s="1202"/>
      <c r="K48" s="1430">
        <f t="shared" si="2"/>
        <v>24939.3</v>
      </c>
      <c r="L48" s="1202"/>
      <c r="M48" s="1419"/>
      <c r="N48" s="1202"/>
      <c r="O48" s="1419"/>
      <c r="P48" s="1202"/>
      <c r="Q48" s="1430">
        <f t="shared" si="2"/>
        <v>24939.3</v>
      </c>
      <c r="R48" s="1202"/>
      <c r="S48" s="1419"/>
    </row>
    <row r="49" spans="1:34">
      <c r="A49" s="1412"/>
      <c r="B49" s="1113"/>
      <c r="C49" s="23"/>
      <c r="D49" s="345"/>
      <c r="E49" s="86"/>
      <c r="F49" s="431"/>
      <c r="G49" s="830"/>
      <c r="H49" s="1202"/>
      <c r="I49" s="1419"/>
      <c r="J49" s="1202"/>
      <c r="K49" s="1419"/>
      <c r="L49" s="1202"/>
      <c r="M49" s="1419"/>
      <c r="N49" s="1202"/>
      <c r="O49" s="1419"/>
      <c r="P49" s="1202"/>
      <c r="Q49" s="1419"/>
      <c r="R49" s="1202"/>
      <c r="S49" s="1419"/>
    </row>
    <row r="50" spans="1:34" ht="15.75" thickBot="1">
      <c r="A50" s="1412"/>
      <c r="B50" s="1113"/>
      <c r="C50" s="23"/>
      <c r="D50" s="345"/>
      <c r="E50" s="86"/>
      <c r="F50" s="431"/>
      <c r="G50" s="830"/>
      <c r="H50" s="1202"/>
      <c r="I50" s="1419"/>
      <c r="J50" s="1202"/>
      <c r="K50" s="1419"/>
      <c r="L50" s="1202"/>
      <c r="M50" s="1419"/>
      <c r="N50" s="1202"/>
      <c r="O50" s="1419"/>
      <c r="P50" s="1202"/>
      <c r="Q50" s="1419"/>
      <c r="R50" s="1202"/>
      <c r="S50" s="1419"/>
    </row>
    <row r="51" spans="1:34" ht="15.75" thickTop="1">
      <c r="A51" s="296"/>
      <c r="B51" s="301"/>
      <c r="C51" s="297"/>
      <c r="D51" s="346"/>
      <c r="E51" s="16"/>
      <c r="F51" s="282" t="s">
        <v>753</v>
      </c>
      <c r="G51" s="272"/>
      <c r="H51" s="273"/>
      <c r="I51" s="273">
        <f>SUM(I12:I50)</f>
        <v>1286770</v>
      </c>
      <c r="J51" s="273"/>
      <c r="K51" s="273">
        <f>SUM(K12:K50)</f>
        <v>1219213.8</v>
      </c>
      <c r="L51" s="273"/>
      <c r="M51" s="273">
        <f>SUM(M12:M50)</f>
        <v>1359108</v>
      </c>
      <c r="N51" s="273"/>
      <c r="O51" s="273">
        <f>SUM(O12:O50)</f>
        <v>1430850</v>
      </c>
      <c r="P51" s="273"/>
      <c r="Q51" s="273">
        <f>SUM(Q12:Q50)</f>
        <v>2063012.8</v>
      </c>
      <c r="R51" s="273"/>
      <c r="S51" s="273">
        <f>SUM(S12:S50)</f>
        <v>0</v>
      </c>
    </row>
    <row r="52" spans="1:34">
      <c r="A52" s="1114"/>
      <c r="B52" s="1164"/>
      <c r="C52" s="432"/>
      <c r="D52" s="452"/>
      <c r="E52" s="434"/>
      <c r="F52" s="435" t="s">
        <v>754</v>
      </c>
      <c r="G52" s="436"/>
      <c r="H52" s="1255">
        <v>5.0000000000000001E-3</v>
      </c>
      <c r="I52" s="1166"/>
      <c r="J52" s="1165">
        <v>0</v>
      </c>
      <c r="K52" s="1166"/>
      <c r="L52" s="1165">
        <v>0</v>
      </c>
      <c r="M52" s="1166"/>
      <c r="N52" s="1165">
        <v>0</v>
      </c>
      <c r="O52" s="1166"/>
      <c r="P52" s="1165">
        <v>0</v>
      </c>
      <c r="Q52" s="1166"/>
      <c r="R52" s="1165">
        <v>0</v>
      </c>
      <c r="S52" s="1166"/>
    </row>
    <row r="53" spans="1:34">
      <c r="A53" s="1114"/>
      <c r="B53" s="1164"/>
      <c r="C53" s="432"/>
      <c r="D53" s="452"/>
      <c r="E53" s="434"/>
      <c r="F53" s="435" t="s">
        <v>755</v>
      </c>
      <c r="G53" s="436"/>
      <c r="H53" s="1166"/>
      <c r="I53" s="1166">
        <f>I51*H52</f>
        <v>6433.85</v>
      </c>
      <c r="J53" s="1166"/>
      <c r="K53" s="1166">
        <f>K51*J52</f>
        <v>0</v>
      </c>
      <c r="L53" s="1166"/>
      <c r="M53" s="1166">
        <f>M51*L52</f>
        <v>0</v>
      </c>
      <c r="N53" s="1166"/>
      <c r="O53" s="1166">
        <f>O51*N52</f>
        <v>0</v>
      </c>
      <c r="P53" s="1166"/>
      <c r="Q53" s="1166">
        <f>Q51*P52</f>
        <v>0</v>
      </c>
      <c r="R53" s="1166"/>
      <c r="S53" s="1166">
        <f>S51*R52</f>
        <v>0</v>
      </c>
    </row>
    <row r="54" spans="1:34">
      <c r="A54" s="1114"/>
      <c r="B54" s="1164"/>
      <c r="C54" s="432"/>
      <c r="D54" s="452"/>
      <c r="E54" s="434"/>
      <c r="F54" s="435"/>
      <c r="G54" s="436"/>
      <c r="H54" s="1166"/>
      <c r="I54" s="1166"/>
      <c r="J54" s="1166"/>
      <c r="K54" s="1166"/>
      <c r="L54" s="1166"/>
      <c r="M54" s="1166"/>
      <c r="N54" s="1166"/>
      <c r="O54" s="1166"/>
      <c r="P54" s="1166"/>
      <c r="Q54" s="1166"/>
      <c r="R54" s="1166"/>
      <c r="S54" s="1166"/>
    </row>
    <row r="55" spans="1:34">
      <c r="A55" s="1114"/>
      <c r="B55" s="1164"/>
      <c r="C55" s="432"/>
      <c r="D55" s="452"/>
      <c r="E55" s="434"/>
      <c r="F55" s="435" t="s">
        <v>756</v>
      </c>
      <c r="G55" s="436"/>
      <c r="H55" s="1166"/>
      <c r="I55" s="1166">
        <f>SUM(I51:I54)</f>
        <v>1293203.8500000001</v>
      </c>
      <c r="J55" s="1166"/>
      <c r="K55" s="1166">
        <f>SUM(K51:K54)</f>
        <v>1219213.8</v>
      </c>
      <c r="L55" s="1166"/>
      <c r="M55" s="1166">
        <f>SUM(M51:M54)</f>
        <v>1359108</v>
      </c>
      <c r="N55" s="1166"/>
      <c r="O55" s="1166">
        <f>SUM(O51:O54)</f>
        <v>1430850</v>
      </c>
      <c r="P55" s="1166"/>
      <c r="Q55" s="1166">
        <f>SUM(Q51:Q54)</f>
        <v>2063012.8</v>
      </c>
      <c r="R55" s="1166"/>
      <c r="S55" s="1166">
        <f>SUM(S51:S54)</f>
        <v>0</v>
      </c>
    </row>
    <row r="56" spans="1:34">
      <c r="A56" s="1114"/>
      <c r="B56" s="1164"/>
      <c r="C56" s="432"/>
      <c r="D56" s="452"/>
      <c r="E56" s="434"/>
      <c r="F56" s="437" t="s">
        <v>757</v>
      </c>
      <c r="G56" s="438"/>
      <c r="H56" s="1167"/>
      <c r="I56" s="1167">
        <f>I55/'Area Calculations'!$G$4</f>
        <v>2.234813440638161</v>
      </c>
      <c r="J56" s="1167"/>
      <c r="K56" s="1167">
        <f>K55/'Area Calculations'!$G$4</f>
        <v>2.106949640809936</v>
      </c>
      <c r="L56" s="1167"/>
      <c r="M56" s="1167">
        <f>M55/'Area Calculations'!$G$4</f>
        <v>2.3487038224320544</v>
      </c>
      <c r="N56" s="1167"/>
      <c r="O56" s="1167">
        <f>O55/'Area Calculations'!$G$4</f>
        <v>2.4726827186116962</v>
      </c>
      <c r="P56" s="1167"/>
      <c r="Q56" s="1167">
        <f>Q55/'Area Calculations'!$G$4</f>
        <v>3.5651368758673012</v>
      </c>
      <c r="R56" s="1167"/>
      <c r="S56" s="1167">
        <f>S55/'Area Calculations'!$G$4</f>
        <v>0</v>
      </c>
    </row>
    <row r="57" spans="1:34">
      <c r="A57" s="1114"/>
      <c r="B57" s="1164"/>
      <c r="C57" s="432"/>
      <c r="D57" s="452"/>
      <c r="E57" s="434"/>
      <c r="F57" s="437" t="s">
        <v>758</v>
      </c>
      <c r="G57" s="438"/>
      <c r="H57" s="1167"/>
      <c r="I57" s="1167">
        <f>I55/'Area Calculations'!$G$9</f>
        <v>12086.017289719626</v>
      </c>
      <c r="J57" s="1167"/>
      <c r="K57" s="1167">
        <f>K55/'Area Calculations'!$G$9</f>
        <v>11394.521495327102</v>
      </c>
      <c r="L57" s="1167"/>
      <c r="M57" s="1167">
        <f>M55/'Area Calculations'!$G$9</f>
        <v>12701.943925233645</v>
      </c>
      <c r="N57" s="1167"/>
      <c r="O57" s="1167">
        <f>O55/'Area Calculations'!$G$9</f>
        <v>13372.429906542056</v>
      </c>
      <c r="P57" s="1167"/>
      <c r="Q57" s="1167">
        <f>Q55/'Area Calculations'!$G$9</f>
        <v>19280.493457943925</v>
      </c>
      <c r="R57" s="1167"/>
      <c r="S57" s="1167">
        <f>S55/'Area Calculations'!$G$9</f>
        <v>0</v>
      </c>
    </row>
    <row r="58" spans="1:34" ht="15.75" thickBot="1">
      <c r="A58" s="1114"/>
      <c r="B58" s="1164"/>
      <c r="C58" s="432"/>
      <c r="D58" s="452"/>
      <c r="E58" s="434"/>
      <c r="F58" s="439"/>
      <c r="G58" s="436"/>
      <c r="H58" s="1168"/>
      <c r="I58" s="1168"/>
      <c r="J58" s="1168"/>
      <c r="K58" s="1168"/>
      <c r="L58" s="1168"/>
      <c r="M58" s="1168"/>
      <c r="N58" s="1168"/>
      <c r="O58" s="1168"/>
      <c r="P58" s="1168"/>
      <c r="Q58" s="1168"/>
      <c r="R58" s="1168"/>
      <c r="S58" s="1168"/>
    </row>
    <row r="59" spans="1:34" ht="16.5" thickTop="1" thickBot="1">
      <c r="A59" s="2331" t="s">
        <v>759</v>
      </c>
      <c r="B59" s="2332"/>
      <c r="C59" s="298"/>
      <c r="D59" s="347"/>
      <c r="E59" s="12"/>
      <c r="F59" s="12"/>
      <c r="G59" s="26"/>
      <c r="H59" s="20"/>
      <c r="I59" s="20"/>
      <c r="J59" s="20"/>
      <c r="K59" s="20"/>
      <c r="L59" s="20"/>
      <c r="M59" s="20"/>
      <c r="N59" s="20"/>
      <c r="O59" s="20"/>
      <c r="P59" s="24"/>
      <c r="Q59" s="20"/>
      <c r="R59" s="20"/>
      <c r="S59" s="20"/>
    </row>
    <row r="60" spans="1:34" ht="15.75" thickTop="1">
      <c r="A60" s="1403"/>
      <c r="B60" s="1105"/>
      <c r="C60" s="1396"/>
      <c r="D60" s="1414"/>
      <c r="E60" s="1435"/>
      <c r="F60" s="1435"/>
      <c r="G60" s="1404"/>
      <c r="H60" s="1406"/>
      <c r="I60" s="1406"/>
      <c r="J60" s="1406"/>
      <c r="K60" s="1406"/>
      <c r="L60" s="1406"/>
      <c r="M60" s="1406"/>
      <c r="N60" s="1406"/>
      <c r="O60" s="1406"/>
      <c r="P60" s="1405"/>
      <c r="Q60" s="1406"/>
      <c r="R60" s="1406"/>
      <c r="S60" s="1406"/>
    </row>
    <row r="61" spans="1:34">
      <c r="A61" s="1403"/>
      <c r="B61" s="1105"/>
      <c r="C61" s="1396"/>
      <c r="D61" s="1414"/>
      <c r="E61" s="1435"/>
      <c r="F61" s="1435"/>
      <c r="G61" s="1404"/>
      <c r="H61" s="1406"/>
      <c r="I61" s="1406"/>
      <c r="J61" s="1406"/>
      <c r="K61" s="1406"/>
      <c r="L61" s="1406"/>
      <c r="M61" s="1406"/>
      <c r="N61" s="1406"/>
      <c r="O61" s="1406"/>
      <c r="P61" s="1405"/>
      <c r="Q61" s="1406"/>
      <c r="R61" s="1406"/>
      <c r="S61" s="1406"/>
    </row>
    <row r="62" spans="1:34" ht="15.75" thickBot="1">
      <c r="A62" s="1403"/>
      <c r="B62" s="1105"/>
      <c r="C62" s="1396"/>
      <c r="D62" s="1414"/>
      <c r="E62" s="1435"/>
      <c r="F62" s="1435"/>
      <c r="G62" s="1404"/>
      <c r="H62" s="1406"/>
      <c r="I62" s="1406"/>
      <c r="J62" s="1406"/>
      <c r="K62" s="1406"/>
      <c r="L62" s="1406"/>
      <c r="M62" s="1406"/>
      <c r="N62" s="1406"/>
      <c r="O62" s="1406"/>
      <c r="P62" s="1405"/>
      <c r="Q62" s="1406"/>
      <c r="R62" s="1406"/>
      <c r="S62" s="1406"/>
    </row>
    <row r="63" spans="1:34" s="2" customFormat="1" ht="16.5" thickTop="1" thickBot="1">
      <c r="A63" s="2331" t="s">
        <v>760</v>
      </c>
      <c r="B63" s="2332"/>
      <c r="C63" s="298"/>
      <c r="D63" s="347"/>
      <c r="E63" s="12"/>
      <c r="F63" s="12"/>
      <c r="G63" s="26"/>
      <c r="H63" s="20"/>
      <c r="I63" s="20"/>
      <c r="J63" s="20"/>
      <c r="K63" s="20"/>
      <c r="L63" s="20"/>
      <c r="M63" s="20"/>
      <c r="N63" s="20"/>
      <c r="O63" s="20"/>
      <c r="P63" s="24"/>
      <c r="Q63" s="20"/>
      <c r="R63" s="20"/>
      <c r="S63" s="20"/>
      <c r="T63"/>
      <c r="U63"/>
      <c r="V63"/>
      <c r="W63"/>
      <c r="X63"/>
      <c r="Y63"/>
      <c r="Z63"/>
      <c r="AA63"/>
      <c r="AB63"/>
      <c r="AC63"/>
      <c r="AD63"/>
      <c r="AE63"/>
      <c r="AF63"/>
      <c r="AG63"/>
      <c r="AH63"/>
    </row>
    <row r="64" spans="1:34" s="2" customFormat="1" ht="15.75" thickTop="1">
      <c r="A64" s="1403"/>
      <c r="B64" s="1105"/>
      <c r="C64" s="1396"/>
      <c r="D64" s="1414"/>
      <c r="E64" s="1435"/>
      <c r="F64" s="1435"/>
      <c r="G64" s="1404"/>
      <c r="H64" s="1406"/>
      <c r="I64" s="1406"/>
      <c r="J64" s="1406"/>
      <c r="K64" s="1406"/>
      <c r="L64" s="1406"/>
      <c r="M64" s="1406"/>
      <c r="N64" s="1406"/>
      <c r="O64" s="1406"/>
      <c r="P64" s="1405"/>
      <c r="Q64" s="1406"/>
      <c r="R64" s="1406"/>
      <c r="S64" s="1406"/>
      <c r="T64"/>
      <c r="U64"/>
      <c r="V64"/>
      <c r="W64"/>
      <c r="X64"/>
      <c r="Y64"/>
      <c r="Z64"/>
      <c r="AA64"/>
      <c r="AB64"/>
      <c r="AC64"/>
      <c r="AD64"/>
      <c r="AE64"/>
      <c r="AF64"/>
      <c r="AG64"/>
      <c r="AH64"/>
    </row>
    <row r="65" spans="1:34" s="2" customFormat="1">
      <c r="A65" s="1403"/>
      <c r="B65" s="1105"/>
      <c r="C65" s="1396"/>
      <c r="D65" s="1414"/>
      <c r="E65" s="1435"/>
      <c r="F65" s="1435"/>
      <c r="G65" s="1404"/>
      <c r="H65" s="1406"/>
      <c r="I65" s="1406"/>
      <c r="J65" s="1406"/>
      <c r="K65" s="1406"/>
      <c r="L65" s="1406"/>
      <c r="M65" s="1406"/>
      <c r="N65" s="1406"/>
      <c r="O65" s="1406"/>
      <c r="P65" s="1405"/>
      <c r="Q65" s="1406"/>
      <c r="R65" s="1406"/>
      <c r="S65" s="1406"/>
      <c r="T65"/>
      <c r="U65"/>
      <c r="V65"/>
      <c r="W65"/>
      <c r="X65"/>
      <c r="Y65"/>
      <c r="Z65"/>
      <c r="AA65"/>
      <c r="AB65"/>
      <c r="AC65"/>
      <c r="AD65"/>
      <c r="AE65"/>
      <c r="AF65"/>
      <c r="AG65"/>
      <c r="AH65"/>
    </row>
    <row r="66" spans="1:34" ht="15.75" thickBot="1">
      <c r="A66" s="1403"/>
      <c r="B66" s="1105"/>
      <c r="C66" s="1396"/>
      <c r="D66" s="1414"/>
      <c r="E66" s="1435"/>
      <c r="F66" s="1435"/>
      <c r="G66" s="1404"/>
      <c r="H66" s="1406"/>
      <c r="I66" s="1406"/>
      <c r="J66" s="1406"/>
      <c r="K66" s="1406"/>
      <c r="L66" s="1406"/>
      <c r="M66" s="1406"/>
      <c r="N66" s="1406"/>
      <c r="O66" s="1406"/>
      <c r="P66" s="1405"/>
      <c r="Q66" s="1406"/>
      <c r="R66" s="1406"/>
      <c r="S66" s="1406"/>
    </row>
    <row r="67" spans="1:34" s="2" customFormat="1" ht="16.5" thickTop="1" thickBot="1">
      <c r="A67" s="2331" t="s">
        <v>761</v>
      </c>
      <c r="B67" s="2332"/>
      <c r="C67" s="298"/>
      <c r="D67" s="347"/>
      <c r="E67" s="12"/>
      <c r="F67" s="12"/>
      <c r="G67" s="26"/>
      <c r="H67" s="20"/>
      <c r="I67" s="20"/>
      <c r="J67" s="20"/>
      <c r="K67" s="20"/>
      <c r="L67" s="20"/>
      <c r="M67" s="20"/>
      <c r="N67" s="20"/>
      <c r="O67" s="20"/>
      <c r="P67" s="24"/>
      <c r="Q67" s="20"/>
      <c r="R67" s="20"/>
      <c r="S67" s="20"/>
      <c r="T67"/>
      <c r="U67"/>
      <c r="V67"/>
      <c r="W67"/>
      <c r="X67"/>
      <c r="Y67"/>
      <c r="Z67"/>
      <c r="AA67"/>
      <c r="AB67"/>
      <c r="AC67"/>
      <c r="AD67"/>
      <c r="AE67"/>
      <c r="AF67"/>
      <c r="AG67"/>
      <c r="AH67"/>
    </row>
    <row r="68" spans="1:34" s="2" customFormat="1" ht="15.75" thickTop="1">
      <c r="A68" s="1403"/>
      <c r="B68" s="1105"/>
      <c r="C68" s="1396"/>
      <c r="D68" s="1414"/>
      <c r="E68" s="1435"/>
      <c r="F68" s="1435"/>
      <c r="G68" s="1404"/>
      <c r="H68" s="1406"/>
      <c r="I68" s="1406"/>
      <c r="J68" s="1406"/>
      <c r="K68" s="1406"/>
      <c r="L68" s="1406"/>
      <c r="M68" s="1406"/>
      <c r="N68" s="1406"/>
      <c r="O68" s="1406"/>
      <c r="P68" s="1405"/>
      <c r="Q68" s="1406"/>
      <c r="R68" s="1406"/>
      <c r="S68" s="1406"/>
      <c r="T68"/>
      <c r="U68"/>
      <c r="V68"/>
      <c r="W68"/>
      <c r="X68"/>
      <c r="Y68"/>
      <c r="Z68"/>
      <c r="AA68"/>
      <c r="AB68"/>
      <c r="AC68"/>
      <c r="AD68"/>
      <c r="AE68"/>
      <c r="AF68"/>
      <c r="AG68"/>
      <c r="AH68"/>
    </row>
    <row r="69" spans="1:34" s="2" customFormat="1">
      <c r="A69" s="1124"/>
      <c r="B69" s="1105"/>
      <c r="C69" s="415"/>
      <c r="D69" s="416"/>
      <c r="E69" s="422"/>
      <c r="F69" s="422"/>
      <c r="G69" s="831"/>
      <c r="H69" s="1173"/>
      <c r="I69" s="1173"/>
      <c r="J69" s="1173"/>
      <c r="K69" s="1173"/>
      <c r="L69" s="1173"/>
      <c r="M69" s="1173"/>
      <c r="N69" s="1173"/>
      <c r="O69" s="1173"/>
      <c r="P69" s="440"/>
      <c r="Q69" s="1173"/>
      <c r="R69" s="1173"/>
      <c r="S69" s="1173"/>
      <c r="T69"/>
      <c r="U69"/>
      <c r="V69"/>
      <c r="W69"/>
      <c r="X69"/>
      <c r="Y69"/>
      <c r="Z69"/>
      <c r="AA69"/>
      <c r="AB69"/>
      <c r="AC69"/>
      <c r="AD69"/>
      <c r="AE69"/>
      <c r="AF69"/>
      <c r="AG69"/>
      <c r="AH69"/>
    </row>
    <row r="70" spans="1:34" s="2" customFormat="1" ht="15.75" thickBot="1">
      <c r="A70" s="1126"/>
      <c r="B70" s="1174"/>
      <c r="C70" s="415"/>
      <c r="D70" s="416"/>
      <c r="E70" s="422"/>
      <c r="F70" s="422"/>
      <c r="G70" s="831"/>
      <c r="H70" s="1175"/>
      <c r="I70" s="1175"/>
      <c r="J70" s="1175"/>
      <c r="K70" s="1175"/>
      <c r="L70" s="1175"/>
      <c r="M70" s="1175"/>
      <c r="N70" s="1175"/>
      <c r="O70" s="1175"/>
      <c r="P70" s="441"/>
      <c r="Q70" s="1175"/>
      <c r="R70" s="1175"/>
      <c r="S70" s="1175"/>
    </row>
    <row r="71" spans="1:34" s="2" customFormat="1" ht="16.5" thickTop="1" thickBot="1">
      <c r="A71" s="2331" t="s">
        <v>762</v>
      </c>
      <c r="B71" s="2332"/>
      <c r="C71" s="298"/>
      <c r="D71" s="347"/>
      <c r="E71" s="12"/>
      <c r="F71" s="12"/>
      <c r="G71" s="26"/>
      <c r="H71" s="20"/>
      <c r="I71" s="20"/>
      <c r="J71" s="20"/>
      <c r="K71" s="20"/>
      <c r="L71" s="20"/>
      <c r="M71" s="20"/>
      <c r="N71" s="20"/>
      <c r="O71" s="20"/>
      <c r="P71" s="24"/>
      <c r="Q71" s="20"/>
      <c r="R71" s="20"/>
      <c r="S71" s="20"/>
      <c r="T71"/>
      <c r="U71"/>
      <c r="V71"/>
      <c r="W71"/>
      <c r="X71"/>
      <c r="Y71"/>
      <c r="Z71"/>
      <c r="AA71"/>
      <c r="AB71"/>
      <c r="AC71"/>
      <c r="AD71"/>
      <c r="AE71"/>
      <c r="AF71"/>
      <c r="AG71"/>
      <c r="AH71"/>
    </row>
    <row r="72" spans="1:34" ht="15.75" thickTop="1">
      <c r="A72" s="1407"/>
      <c r="B72" s="1408"/>
      <c r="C72" s="1396"/>
      <c r="D72" s="1414"/>
      <c r="E72" s="1435"/>
      <c r="F72" s="1435"/>
      <c r="G72" s="1404"/>
      <c r="H72" s="1406"/>
      <c r="I72" s="1406"/>
      <c r="J72" s="1406"/>
      <c r="K72" s="1406"/>
      <c r="L72" s="1406"/>
      <c r="M72" s="1406"/>
      <c r="N72" s="1406"/>
      <c r="O72" s="1406"/>
      <c r="P72" s="1405"/>
      <c r="Q72" s="1406"/>
      <c r="R72" s="1406"/>
      <c r="S72" s="1406"/>
      <c r="T72" s="2"/>
      <c r="U72" s="2"/>
      <c r="V72" s="2"/>
      <c r="W72" s="2"/>
      <c r="X72" s="2"/>
      <c r="Y72" s="2"/>
      <c r="Z72" s="2"/>
      <c r="AA72" s="2"/>
      <c r="AB72" s="2"/>
      <c r="AC72" s="2"/>
      <c r="AD72" s="2"/>
      <c r="AE72" s="2"/>
      <c r="AF72" s="2"/>
      <c r="AG72" s="2"/>
      <c r="AH72" s="2"/>
    </row>
    <row r="73" spans="1:34">
      <c r="A73" s="1126"/>
      <c r="B73" s="1174"/>
      <c r="C73" s="415"/>
      <c r="D73" s="416"/>
      <c r="E73" s="422"/>
      <c r="F73" s="422"/>
      <c r="G73" s="831"/>
      <c r="H73" s="1178"/>
      <c r="I73" s="1178"/>
      <c r="J73" s="1178"/>
      <c r="K73" s="1178"/>
      <c r="L73" s="1178"/>
      <c r="M73" s="1178"/>
      <c r="N73" s="1178"/>
      <c r="O73" s="1178"/>
      <c r="P73" s="442"/>
      <c r="Q73" s="1178"/>
      <c r="R73" s="1178"/>
      <c r="S73" s="1178"/>
      <c r="T73" s="2"/>
      <c r="U73" s="2"/>
      <c r="V73" s="2"/>
      <c r="W73" s="2"/>
      <c r="X73" s="2"/>
      <c r="Y73" s="2"/>
      <c r="Z73" s="2"/>
      <c r="AA73" s="2"/>
      <c r="AB73" s="2"/>
      <c r="AC73" s="2"/>
      <c r="AD73" s="2"/>
      <c r="AE73" s="2"/>
      <c r="AF73" s="2"/>
      <c r="AG73" s="2"/>
      <c r="AH73" s="2"/>
    </row>
    <row r="74" spans="1:34" ht="15.75" thickBot="1">
      <c r="A74" s="1126"/>
      <c r="B74" s="1174"/>
      <c r="C74" s="415"/>
      <c r="D74" s="416"/>
      <c r="E74" s="422"/>
      <c r="F74" s="422"/>
      <c r="G74" s="831"/>
      <c r="H74" s="1178"/>
      <c r="I74" s="1178"/>
      <c r="J74" s="1178"/>
      <c r="K74" s="1178"/>
      <c r="L74" s="1178"/>
      <c r="M74" s="1178"/>
      <c r="N74" s="1178"/>
      <c r="O74" s="1178"/>
      <c r="P74" s="442"/>
      <c r="Q74" s="1178"/>
      <c r="R74" s="1178"/>
      <c r="S74" s="1178"/>
      <c r="T74" s="2"/>
      <c r="U74" s="2"/>
      <c r="V74" s="2"/>
      <c r="W74" s="2"/>
      <c r="X74" s="2"/>
      <c r="Y74" s="2"/>
      <c r="Z74" s="2"/>
      <c r="AA74" s="2"/>
      <c r="AB74" s="2"/>
      <c r="AC74" s="2"/>
      <c r="AD74" s="2"/>
      <c r="AE74" s="2"/>
      <c r="AF74" s="2"/>
      <c r="AG74" s="2"/>
      <c r="AH74" s="2"/>
    </row>
    <row r="75" spans="1:34" ht="16.5" thickTop="1" thickBot="1">
      <c r="A75" s="2331" t="s">
        <v>763</v>
      </c>
      <c r="B75" s="2332"/>
      <c r="C75" s="298"/>
      <c r="D75" s="347"/>
      <c r="E75" s="12"/>
      <c r="F75" s="12"/>
      <c r="G75" s="26"/>
      <c r="H75" s="20"/>
      <c r="I75" s="20"/>
      <c r="J75" s="20"/>
      <c r="K75" s="20"/>
      <c r="L75" s="20"/>
      <c r="M75" s="20"/>
      <c r="N75" s="20"/>
      <c r="O75" s="20"/>
      <c r="P75" s="24"/>
      <c r="Q75" s="20"/>
      <c r="R75" s="20"/>
      <c r="S75" s="20"/>
    </row>
    <row r="76" spans="1:34" ht="15.75" thickTop="1">
      <c r="A76" s="1124"/>
      <c r="B76" s="1105" t="s">
        <v>764</v>
      </c>
      <c r="C76" s="415"/>
      <c r="D76" s="416"/>
      <c r="E76" s="422"/>
      <c r="F76" s="422"/>
      <c r="G76" s="831"/>
      <c r="H76" s="1178"/>
      <c r="I76" s="1178"/>
      <c r="J76" s="1178"/>
      <c r="K76" s="1178"/>
      <c r="L76" s="1178"/>
      <c r="M76" s="1178"/>
      <c r="N76" s="1178"/>
      <c r="O76" s="1178"/>
      <c r="P76" s="442"/>
      <c r="Q76" s="1178"/>
      <c r="R76" s="1178"/>
      <c r="S76" s="1178"/>
    </row>
    <row r="77" spans="1:34">
      <c r="A77" s="1124"/>
      <c r="B77" s="1105" t="s">
        <v>765</v>
      </c>
      <c r="C77" s="415"/>
      <c r="D77" s="416"/>
      <c r="E77" s="422"/>
      <c r="F77" s="422"/>
      <c r="G77" s="831"/>
      <c r="H77" s="1178"/>
      <c r="I77" s="1178"/>
      <c r="J77" s="1178"/>
      <c r="K77" s="1178"/>
      <c r="L77" s="1178"/>
      <c r="M77" s="1178"/>
      <c r="N77" s="1178"/>
      <c r="O77" s="1178"/>
      <c r="P77" s="442"/>
      <c r="Q77" s="1178"/>
      <c r="R77" s="1178"/>
      <c r="S77" s="1178"/>
    </row>
    <row r="78" spans="1:34">
      <c r="A78" s="1124"/>
      <c r="B78" s="1105" t="s">
        <v>766</v>
      </c>
      <c r="C78" s="415"/>
      <c r="D78" s="416"/>
      <c r="E78" s="422"/>
      <c r="F78" s="422"/>
      <c r="G78" s="831"/>
      <c r="H78" s="1178"/>
      <c r="I78" s="1178"/>
      <c r="J78" s="1178"/>
      <c r="K78" s="1178"/>
      <c r="L78" s="1178"/>
      <c r="M78" s="1178"/>
      <c r="N78" s="1178"/>
      <c r="O78" s="1178"/>
      <c r="P78" s="442"/>
      <c r="Q78" s="1178"/>
      <c r="R78" s="1178"/>
      <c r="S78" s="1178"/>
    </row>
    <row r="79" spans="1:34">
      <c r="A79" s="1124"/>
      <c r="B79" s="1105" t="s">
        <v>767</v>
      </c>
      <c r="C79" s="415"/>
      <c r="D79" s="416"/>
      <c r="E79" s="422"/>
      <c r="F79" s="422"/>
      <c r="G79" s="831"/>
      <c r="H79" s="1178"/>
      <c r="I79" s="1178"/>
      <c r="J79" s="1178"/>
      <c r="K79" s="1178"/>
      <c r="L79" s="1178"/>
      <c r="M79" s="1178"/>
      <c r="N79" s="1178"/>
      <c r="O79" s="1178"/>
      <c r="P79" s="442"/>
      <c r="Q79" s="1178"/>
      <c r="R79" s="1178"/>
      <c r="S79" s="1178"/>
    </row>
    <row r="80" spans="1:34" ht="15.75" thickBot="1">
      <c r="A80" s="443"/>
      <c r="B80" s="421"/>
      <c r="C80" s="23"/>
      <c r="D80" s="265"/>
      <c r="E80" s="86"/>
      <c r="F80" s="86"/>
      <c r="G80" s="27"/>
      <c r="H80" s="444"/>
      <c r="I80" s="444"/>
      <c r="J80" s="444"/>
      <c r="K80" s="444"/>
      <c r="L80" s="444"/>
      <c r="M80" s="444"/>
      <c r="N80" s="444"/>
      <c r="O80" s="444"/>
      <c r="P80" s="25"/>
      <c r="Q80" s="444"/>
      <c r="R80" s="444"/>
      <c r="S80" s="444"/>
    </row>
    <row r="81" spans="1:19" ht="16.5" thickTop="1" thickBot="1">
      <c r="A81" s="72" t="s">
        <v>768</v>
      </c>
      <c r="B81" s="73"/>
      <c r="C81" s="298"/>
      <c r="D81" s="347"/>
      <c r="E81" s="12"/>
      <c r="F81" s="12"/>
      <c r="G81" s="26"/>
      <c r="H81" s="20"/>
      <c r="I81" s="20"/>
      <c r="J81" s="20"/>
      <c r="K81" s="20"/>
      <c r="L81" s="20"/>
      <c r="M81" s="20"/>
      <c r="N81" s="20"/>
      <c r="O81" s="20"/>
      <c r="P81" s="24"/>
      <c r="Q81" s="20"/>
      <c r="R81" s="20"/>
      <c r="S81" s="20"/>
    </row>
    <row r="82" spans="1:19" ht="15.75" thickTop="1">
      <c r="A82" s="1403"/>
      <c r="B82" s="1409" t="s">
        <v>769</v>
      </c>
      <c r="C82" s="1396"/>
      <c r="D82" s="1414"/>
      <c r="E82" s="1435"/>
      <c r="F82" s="1435"/>
      <c r="G82" s="1404"/>
      <c r="H82" s="1411"/>
      <c r="I82" s="1411"/>
      <c r="J82" s="1411"/>
      <c r="K82" s="1411"/>
      <c r="L82" s="1411"/>
      <c r="M82" s="1411"/>
      <c r="N82" s="1411"/>
      <c r="O82" s="1411"/>
      <c r="P82" s="1410"/>
      <c r="Q82" s="1411"/>
      <c r="R82" s="1411"/>
      <c r="S82" s="1411"/>
    </row>
    <row r="83" spans="1:19">
      <c r="A83" s="1124"/>
      <c r="B83" s="1105" t="s">
        <v>770</v>
      </c>
      <c r="C83" s="415"/>
      <c r="D83" s="416"/>
      <c r="E83" s="422"/>
      <c r="F83" s="422"/>
      <c r="G83" s="831"/>
      <c r="H83" s="1182"/>
      <c r="I83" s="1182"/>
      <c r="J83" s="1182"/>
      <c r="K83" s="1182"/>
      <c r="L83" s="1182"/>
      <c r="M83" s="1182"/>
      <c r="N83" s="1182"/>
      <c r="O83" s="1182"/>
      <c r="P83" s="445"/>
      <c r="Q83" s="1182"/>
      <c r="R83" s="1182"/>
      <c r="S83" s="1182"/>
    </row>
    <row r="84" spans="1:19" ht="15.75" thickBot="1">
      <c r="A84" s="1376"/>
      <c r="B84" s="1377" t="s">
        <v>771</v>
      </c>
      <c r="C84" s="1378"/>
      <c r="D84" s="1436"/>
      <c r="E84" s="1379"/>
      <c r="F84" s="1379"/>
      <c r="G84" s="1380"/>
      <c r="H84" s="1382"/>
      <c r="I84" s="1382"/>
      <c r="J84" s="1382"/>
      <c r="K84" s="1382"/>
      <c r="L84" s="1382"/>
      <c r="M84" s="1382"/>
      <c r="N84" s="1382"/>
      <c r="O84" s="1382"/>
      <c r="P84" s="1381"/>
      <c r="Q84" s="1382"/>
      <c r="R84" s="1382"/>
      <c r="S84" s="1382"/>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256" t="str">
        <f>H5</f>
        <v>Cladding &amp; Component</v>
      </c>
      <c r="F87" s="2"/>
      <c r="G87" s="2"/>
      <c r="H87" s="2"/>
      <c r="I87" s="2"/>
      <c r="J87" s="2"/>
      <c r="K87" s="2"/>
      <c r="L87" s="2"/>
      <c r="M87" s="2"/>
      <c r="N87" s="2"/>
      <c r="O87" s="2"/>
      <c r="P87" s="2"/>
      <c r="Q87" s="2"/>
      <c r="R87" s="2"/>
      <c r="S87" s="2"/>
    </row>
    <row r="88" spans="1:19">
      <c r="A88" s="1142" t="s">
        <v>702</v>
      </c>
      <c r="B88" s="1256" t="str">
        <f t="shared" ref="B88:B90" si="3">H6</f>
        <v xml:space="preserve">Randy Sargent </v>
      </c>
      <c r="F88" s="2"/>
      <c r="G88" s="2"/>
      <c r="H88" s="2"/>
      <c r="I88" s="2"/>
      <c r="J88" s="2"/>
      <c r="K88" s="2"/>
      <c r="L88" s="2"/>
      <c r="M88" s="2"/>
      <c r="N88" s="2"/>
      <c r="O88" s="2"/>
      <c r="P88" s="2"/>
      <c r="Q88" s="2"/>
      <c r="R88" s="2"/>
      <c r="S88" s="2"/>
    </row>
    <row r="89" spans="1:19">
      <c r="A89" s="1191" t="s">
        <v>708</v>
      </c>
      <c r="B89" s="1256" t="str">
        <f t="shared" si="3"/>
        <v>(770) 887-2777</v>
      </c>
      <c r="F89" s="2"/>
      <c r="G89" s="2"/>
      <c r="H89" s="2"/>
      <c r="I89" s="2"/>
      <c r="J89" s="2"/>
      <c r="K89" s="2"/>
      <c r="L89" s="2"/>
      <c r="M89" s="2"/>
      <c r="N89" s="2"/>
      <c r="O89" s="2"/>
      <c r="P89" s="2"/>
      <c r="Q89" s="2"/>
      <c r="R89" s="2"/>
      <c r="S89" s="2"/>
    </row>
    <row r="90" spans="1:19">
      <c r="A90" s="1191" t="s">
        <v>713</v>
      </c>
      <c r="B90" s="1256" t="str">
        <f t="shared" si="3"/>
        <v xml:space="preserve">jcumbess@ccsimagegroup.com </v>
      </c>
      <c r="F90" s="2"/>
      <c r="G90" s="2"/>
      <c r="H90" s="2"/>
      <c r="I90" s="2"/>
      <c r="J90" s="2"/>
      <c r="K90" s="2"/>
      <c r="L90" s="2"/>
      <c r="M90" s="2"/>
      <c r="N90" s="2"/>
      <c r="O90" s="2"/>
      <c r="P90" s="2"/>
      <c r="Q90" s="2"/>
      <c r="R90" s="2"/>
      <c r="S90" s="2"/>
    </row>
    <row r="91" spans="1:19" ht="15.75" thickBot="1">
      <c r="A91" s="1383" t="s">
        <v>69</v>
      </c>
      <c r="B91" s="1397">
        <f>I55</f>
        <v>1293203.8500000001</v>
      </c>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5:S5"/>
    <mergeCell ref="P4:Q4"/>
    <mergeCell ref="L4:M4"/>
    <mergeCell ref="J4:K4"/>
    <mergeCell ref="H4:I4"/>
    <mergeCell ref="N4:O4"/>
    <mergeCell ref="R4:S4"/>
    <mergeCell ref="P5:Q5"/>
    <mergeCell ref="L5:M5"/>
    <mergeCell ref="J5:K5"/>
    <mergeCell ref="H5:I5"/>
    <mergeCell ref="N5:O5"/>
    <mergeCell ref="R7:S7"/>
    <mergeCell ref="P6:Q6"/>
    <mergeCell ref="L6:M6"/>
    <mergeCell ref="J6:K6"/>
    <mergeCell ref="H6:I6"/>
    <mergeCell ref="N6:O6"/>
    <mergeCell ref="R6:S6"/>
    <mergeCell ref="P7:Q7"/>
    <mergeCell ref="L7:M7"/>
    <mergeCell ref="J7:K7"/>
    <mergeCell ref="H7:I7"/>
    <mergeCell ref="N7:O7"/>
    <mergeCell ref="R9:S9"/>
    <mergeCell ref="P8:Q8"/>
    <mergeCell ref="L8:M8"/>
    <mergeCell ref="J8:K8"/>
    <mergeCell ref="H8:I8"/>
    <mergeCell ref="N8:O8"/>
    <mergeCell ref="R8:S8"/>
    <mergeCell ref="P9:Q9"/>
    <mergeCell ref="L9:M9"/>
    <mergeCell ref="J9:K9"/>
    <mergeCell ref="H9:I9"/>
    <mergeCell ref="N9:O9"/>
  </mergeCells>
  <conditionalFormatting sqref="H11:H19">
    <cfRule type="cellIs" dxfId="501" priority="1" operator="equal">
      <formula>"X"</formula>
    </cfRule>
    <cfRule type="cellIs" dxfId="500" priority="2" operator="equal">
      <formula>"I"</formula>
    </cfRule>
  </conditionalFormatting>
  <conditionalFormatting sqref="J11:J19 L11:L19 N11:N19 P11:P19 R11:R19 H21:H50 J21:J50 L21:L50 N21:N50 P21:P50 R21:R50">
    <cfRule type="cellIs" dxfId="499" priority="15" operator="equal">
      <formula>"X"</formula>
    </cfRule>
    <cfRule type="cellIs" dxfId="498" priority="16" operator="equal">
      <formula>"I"</formula>
    </cfRule>
  </conditionalFormatting>
  <hyperlinks>
    <hyperlink ref="B4" location="'Cost Summary'!A1" display="BACK TO SUMMARY SHEET" xr:uid="{73CE9600-3F67-422E-843B-46B4DA29A0DA}"/>
    <hyperlink ref="P8" r:id="rId1" xr:uid="{7E00A237-CD31-4804-94E0-640FE40B93B1}"/>
    <hyperlink ref="L8" r:id="rId2" xr:uid="{48AC2175-0337-4828-9E42-B023EC43FDEC}"/>
    <hyperlink ref="H8" r:id="rId3" xr:uid="{69510BF8-1794-4875-A483-92E8532D624E}"/>
    <hyperlink ref="N8" r:id="rId4" xr:uid="{5479CBDA-EA98-40E6-B628-30E9497A7059}"/>
    <hyperlink ref="R8:S8" r:id="rId5" display="zt@radaf.com" xr:uid="{26BD46E2-CA82-4B71-B1EA-7C949D935B24}"/>
    <hyperlink ref="J8" r:id="rId6" xr:uid="{FB8D7131-0AB1-41B6-92E7-447D696C3805}"/>
  </hyperlinks>
  <pageMargins left="0.7" right="0.7" top="0.75" bottom="0.75" header="0.3" footer="0.3"/>
  <pageSetup orientation="portrait" r:id="rId7"/>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CF0FF-0A35-400F-AD3D-0F727CDF7D70}">
  <dimension ref="A1:AO92"/>
  <sheetViews>
    <sheetView zoomScale="90" zoomScaleNormal="90" workbookViewId="0">
      <pane xSplit="2" ySplit="10" topLeftCell="H52" activePane="bottomRight" state="frozen"/>
      <selection pane="topRight" activeCell="C1" sqref="C1"/>
      <selection pane="bottomLeft" activeCell="A11" sqref="A11"/>
      <selection pane="bottomRight" activeCell="H52" sqref="H52"/>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1196" t="s">
        <v>1263</v>
      </c>
      <c r="C6" s="415"/>
      <c r="D6" s="416"/>
      <c r="E6" s="417"/>
      <c r="F6" s="418"/>
      <c r="G6" s="419" t="s">
        <v>702</v>
      </c>
      <c r="H6" s="2325"/>
      <c r="I6" s="2326"/>
      <c r="J6" s="2325"/>
      <c r="K6" s="2326"/>
      <c r="L6" s="2325"/>
      <c r="M6" s="2326"/>
      <c r="N6" s="2325"/>
      <c r="O6" s="2326"/>
      <c r="P6" s="2313"/>
      <c r="Q6" s="2314"/>
      <c r="R6" s="2313"/>
      <c r="S6" s="2314"/>
      <c r="X6" s="261"/>
    </row>
    <row r="7" spans="1:24">
      <c r="A7" s="1082" t="s">
        <v>706</v>
      </c>
      <c r="B7" s="1197" t="s">
        <v>1264</v>
      </c>
      <c r="C7" s="415"/>
      <c r="D7" s="416"/>
      <c r="E7" s="417"/>
      <c r="F7" s="418"/>
      <c r="G7" s="829" t="s">
        <v>708</v>
      </c>
      <c r="H7" s="2325"/>
      <c r="I7" s="2326"/>
      <c r="J7" s="2325"/>
      <c r="K7" s="2326"/>
      <c r="L7" s="2325"/>
      <c r="M7" s="2326"/>
      <c r="N7" s="2325"/>
      <c r="O7" s="2326"/>
      <c r="P7" s="2313"/>
      <c r="Q7" s="2314"/>
      <c r="R7" s="2313"/>
      <c r="S7" s="2314"/>
      <c r="X7" s="261"/>
    </row>
    <row r="8" spans="1:24">
      <c r="A8" s="1082" t="s">
        <v>712</v>
      </c>
      <c r="B8" s="1198"/>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0</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412"/>
      <c r="B11" s="1413" t="s">
        <v>725</v>
      </c>
      <c r="C11" s="1398"/>
      <c r="D11" s="1435"/>
      <c r="E11" s="1435"/>
      <c r="F11" s="1416"/>
      <c r="G11" s="1417"/>
      <c r="H11" s="1418"/>
      <c r="I11" s="1420"/>
      <c r="J11" s="1418"/>
      <c r="K11" s="285"/>
      <c r="L11" s="1418"/>
      <c r="M11" s="1419"/>
      <c r="N11" s="1418"/>
      <c r="O11" s="1419"/>
      <c r="P11" s="1418"/>
      <c r="Q11" s="1419"/>
      <c r="R11" s="1418"/>
      <c r="S11" s="1419"/>
    </row>
    <row r="12" spans="1:24">
      <c r="A12" s="1412"/>
      <c r="B12" s="1263" t="s">
        <v>726</v>
      </c>
      <c r="C12" s="446"/>
      <c r="D12" s="422"/>
      <c r="E12" s="422"/>
      <c r="F12" s="418"/>
      <c r="G12" s="423"/>
      <c r="H12" s="1264"/>
      <c r="I12" s="1420"/>
      <c r="J12" s="1264"/>
      <c r="K12" s="1419"/>
      <c r="L12" s="1264"/>
      <c r="M12" s="1419"/>
      <c r="N12" s="1264"/>
      <c r="O12" s="1419"/>
      <c r="P12" s="1264"/>
      <c r="Q12" s="1419"/>
      <c r="R12" s="1264"/>
      <c r="S12" s="1419"/>
    </row>
    <row r="13" spans="1:24">
      <c r="A13" s="1097"/>
      <c r="B13" s="1263" t="s">
        <v>728</v>
      </c>
      <c r="C13" s="446"/>
      <c r="D13" s="422"/>
      <c r="E13" s="422"/>
      <c r="F13" s="418"/>
      <c r="G13" s="423"/>
      <c r="H13" s="1264"/>
      <c r="I13" s="1420"/>
      <c r="J13" s="1264"/>
      <c r="K13" s="1419"/>
      <c r="L13" s="1264"/>
      <c r="M13" s="1419"/>
      <c r="N13" s="1264"/>
      <c r="O13" s="1419"/>
      <c r="P13" s="1264"/>
      <c r="Q13" s="1419"/>
      <c r="R13" s="1264"/>
      <c r="S13" s="1419"/>
    </row>
    <row r="14" spans="1:24">
      <c r="A14" s="1412"/>
      <c r="B14" s="1265" t="s">
        <v>729</v>
      </c>
      <c r="C14" s="446"/>
      <c r="D14" s="422"/>
      <c r="E14" s="422"/>
      <c r="F14" s="418"/>
      <c r="G14" s="423"/>
      <c r="H14" s="1264"/>
      <c r="I14" s="1420"/>
      <c r="J14" s="1264"/>
      <c r="K14" s="1419"/>
      <c r="L14" s="1264"/>
      <c r="M14" s="1419"/>
      <c r="N14" s="1264"/>
      <c r="O14" s="1419"/>
      <c r="P14" s="1264"/>
      <c r="Q14" s="1419"/>
      <c r="R14" s="1264"/>
      <c r="S14" s="1419"/>
    </row>
    <row r="15" spans="1:24">
      <c r="A15" s="1097"/>
      <c r="B15" s="1265" t="s">
        <v>731</v>
      </c>
      <c r="C15" s="446"/>
      <c r="D15" s="422"/>
      <c r="E15" s="422"/>
      <c r="F15" s="418"/>
      <c r="G15" s="423"/>
      <c r="H15" s="1264"/>
      <c r="I15" s="1420"/>
      <c r="J15" s="1264"/>
      <c r="K15" s="1420"/>
      <c r="L15" s="1264"/>
      <c r="M15" s="1420"/>
      <c r="N15" s="1264"/>
      <c r="O15" s="1420"/>
      <c r="P15" s="1264"/>
      <c r="Q15" s="1420"/>
      <c r="R15" s="1264"/>
      <c r="S15" s="1420"/>
    </row>
    <row r="16" spans="1:24">
      <c r="A16" s="1412"/>
      <c r="B16" s="1265" t="s">
        <v>732</v>
      </c>
      <c r="C16" s="446"/>
      <c r="D16" s="422"/>
      <c r="E16" s="422"/>
      <c r="F16" s="418"/>
      <c r="G16" s="423"/>
      <c r="H16" s="1264"/>
      <c r="I16" s="1420"/>
      <c r="J16" s="1264"/>
      <c r="K16" s="1419"/>
      <c r="L16" s="1264"/>
      <c r="M16" s="1419"/>
      <c r="N16" s="1264"/>
      <c r="O16" s="1419"/>
      <c r="P16" s="1264"/>
      <c r="Q16" s="1419"/>
      <c r="R16" s="1264"/>
      <c r="S16" s="1419"/>
    </row>
    <row r="17" spans="1:41">
      <c r="A17" s="1097"/>
      <c r="B17" s="1265" t="s">
        <v>733</v>
      </c>
      <c r="C17" s="446"/>
      <c r="D17" s="422"/>
      <c r="E17" s="422"/>
      <c r="F17" s="418"/>
      <c r="G17" s="423"/>
      <c r="H17" s="1264"/>
      <c r="I17" s="1420"/>
      <c r="J17" s="1264"/>
      <c r="K17" s="1419"/>
      <c r="L17" s="1264"/>
      <c r="M17" s="1419"/>
      <c r="N17" s="1264"/>
      <c r="O17" s="1419"/>
      <c r="P17" s="1264"/>
      <c r="Q17" s="1419"/>
      <c r="R17" s="1264"/>
      <c r="S17" s="1419"/>
    </row>
    <row r="18" spans="1:41">
      <c r="A18" s="1412"/>
      <c r="B18" s="1154" t="s">
        <v>736</v>
      </c>
      <c r="C18" s="446"/>
      <c r="D18" s="422"/>
      <c r="E18" s="422"/>
      <c r="F18" s="418"/>
      <c r="G18" s="423"/>
      <c r="H18" s="1264"/>
      <c r="I18" s="1420"/>
      <c r="J18" s="1264"/>
      <c r="K18" s="1419"/>
      <c r="L18" s="1264"/>
      <c r="M18" s="1419"/>
      <c r="N18" s="1264"/>
      <c r="O18" s="1419"/>
      <c r="P18" s="1264"/>
      <c r="Q18" s="1419"/>
      <c r="R18" s="1264"/>
      <c r="S18" s="1419"/>
    </row>
    <row r="19" spans="1:41">
      <c r="A19" s="1097"/>
      <c r="B19" s="1421" t="s">
        <v>737</v>
      </c>
      <c r="C19" s="447"/>
      <c r="D19" s="425"/>
      <c r="E19" s="425"/>
      <c r="F19" s="426"/>
      <c r="G19" s="427"/>
      <c r="H19" s="1156"/>
      <c r="I19" s="1423"/>
      <c r="J19" s="1156"/>
      <c r="K19" s="1422"/>
      <c r="L19" s="1156"/>
      <c r="M19" s="1422"/>
      <c r="N19" s="1156"/>
      <c r="O19" s="1422"/>
      <c r="P19" s="1156"/>
      <c r="Q19" s="1422"/>
      <c r="R19" s="1156"/>
      <c r="S19" s="1422"/>
    </row>
    <row r="20" spans="1:41">
      <c r="A20" s="1412"/>
      <c r="B20" s="1369"/>
      <c r="C20" s="70"/>
      <c r="D20" s="86"/>
      <c r="E20" s="86"/>
      <c r="F20" s="280"/>
      <c r="G20" s="274"/>
      <c r="H20" s="1264"/>
      <c r="I20" s="428"/>
      <c r="J20" s="1264"/>
      <c r="K20" s="428"/>
      <c r="L20" s="1264"/>
      <c r="M20" s="428"/>
      <c r="N20" s="1264"/>
      <c r="O20" s="428"/>
      <c r="P20" s="1264"/>
      <c r="Q20" s="428"/>
      <c r="R20" s="1264"/>
      <c r="S20" s="428"/>
    </row>
    <row r="21" spans="1:41" s="69" customFormat="1">
      <c r="A21" s="1097"/>
      <c r="B21" s="1105"/>
      <c r="C21" s="415"/>
      <c r="D21" s="422"/>
      <c r="E21" s="422"/>
      <c r="F21" s="429"/>
      <c r="G21" s="423"/>
      <c r="H21" s="1264"/>
      <c r="I21" s="1107"/>
      <c r="J21" s="1264"/>
      <c r="K21" s="1106"/>
      <c r="L21" s="1264"/>
      <c r="M21" s="1106"/>
      <c r="N21" s="1264"/>
      <c r="O21" s="1107"/>
      <c r="P21" s="1264"/>
      <c r="Q21" s="1107"/>
      <c r="R21" s="1264"/>
      <c r="S21" s="1106"/>
      <c r="T21"/>
      <c r="U21"/>
      <c r="V21"/>
      <c r="W21"/>
      <c r="X21"/>
      <c r="Y21"/>
      <c r="Z21"/>
      <c r="AA21"/>
      <c r="AB21"/>
      <c r="AC21"/>
      <c r="AD21"/>
      <c r="AE21"/>
      <c r="AF21"/>
      <c r="AG21"/>
      <c r="AH21"/>
      <c r="AI21"/>
      <c r="AJ21"/>
      <c r="AK21"/>
      <c r="AL21"/>
      <c r="AM21"/>
      <c r="AN21"/>
      <c r="AO21"/>
    </row>
    <row r="22" spans="1:41">
      <c r="A22" s="1412"/>
      <c r="B22" s="1425"/>
      <c r="C22" s="1396"/>
      <c r="D22" s="1400"/>
      <c r="E22" s="1435"/>
      <c r="F22" s="1401"/>
      <c r="G22" s="1402"/>
      <c r="H22" s="1264"/>
      <c r="I22" s="1419"/>
      <c r="J22" s="1264"/>
      <c r="K22" s="1419"/>
      <c r="L22" s="1264"/>
      <c r="M22" s="1419"/>
      <c r="N22" s="1264"/>
      <c r="O22" s="1419"/>
      <c r="P22" s="1264"/>
      <c r="Q22" s="1419"/>
      <c r="R22" s="1264"/>
      <c r="S22" s="1419"/>
    </row>
    <row r="23" spans="1:41">
      <c r="A23" s="1097"/>
      <c r="B23" s="1425"/>
      <c r="C23" s="415"/>
      <c r="D23" s="430"/>
      <c r="E23" s="422"/>
      <c r="F23" s="431"/>
      <c r="G23" s="1402"/>
      <c r="H23" s="1264"/>
      <c r="I23" s="1419"/>
      <c r="J23" s="1264"/>
      <c r="K23" s="1419"/>
      <c r="L23" s="1264"/>
      <c r="M23" s="1419"/>
      <c r="N23" s="1264"/>
      <c r="O23" s="1419"/>
      <c r="P23" s="1264"/>
      <c r="Q23" s="1419"/>
      <c r="R23" s="1264"/>
      <c r="S23" s="1419"/>
    </row>
    <row r="24" spans="1:41">
      <c r="A24" s="1412"/>
      <c r="B24" s="1425"/>
      <c r="C24" s="415"/>
      <c r="D24" s="430"/>
      <c r="E24" s="422"/>
      <c r="F24" s="431"/>
      <c r="G24" s="1402"/>
      <c r="H24" s="1264"/>
      <c r="I24" s="1419"/>
      <c r="J24" s="1264"/>
      <c r="K24" s="1419"/>
      <c r="L24" s="1264"/>
      <c r="M24" s="1419"/>
      <c r="N24" s="1264"/>
      <c r="O24" s="1419"/>
      <c r="P24" s="1264"/>
      <c r="Q24" s="1419"/>
      <c r="R24" s="1264"/>
      <c r="S24" s="1419"/>
    </row>
    <row r="25" spans="1:41">
      <c r="A25" s="1097"/>
      <c r="B25" s="1425"/>
      <c r="C25" s="415"/>
      <c r="D25" s="430"/>
      <c r="E25" s="422"/>
      <c r="F25" s="431"/>
      <c r="G25" s="1402"/>
      <c r="H25" s="1264"/>
      <c r="I25" s="1419"/>
      <c r="J25" s="1264"/>
      <c r="K25" s="1419"/>
      <c r="L25" s="1264"/>
      <c r="M25" s="1419"/>
      <c r="N25" s="1264"/>
      <c r="O25" s="1419"/>
      <c r="P25" s="1264"/>
      <c r="Q25" s="1419"/>
      <c r="R25" s="1264"/>
      <c r="S25" s="1419"/>
    </row>
    <row r="26" spans="1:41">
      <c r="A26" s="1412"/>
      <c r="B26" s="1425"/>
      <c r="C26" s="415"/>
      <c r="D26" s="430"/>
      <c r="E26" s="422"/>
      <c r="F26" s="431"/>
      <c r="G26" s="1402"/>
      <c r="H26" s="1264"/>
      <c r="I26" s="1419"/>
      <c r="J26" s="1264"/>
      <c r="K26" s="1419"/>
      <c r="L26" s="1264"/>
      <c r="M26" s="1419"/>
      <c r="N26" s="1264"/>
      <c r="O26" s="1419"/>
      <c r="P26" s="1264"/>
      <c r="Q26" s="1419"/>
      <c r="R26" s="1264"/>
      <c r="S26" s="1419"/>
    </row>
    <row r="27" spans="1:41">
      <c r="A27" s="1097"/>
      <c r="B27" s="1425"/>
      <c r="C27" s="415"/>
      <c r="D27" s="430"/>
      <c r="E27" s="422"/>
      <c r="F27" s="431"/>
      <c r="G27" s="1402"/>
      <c r="H27" s="1264"/>
      <c r="I27" s="1419"/>
      <c r="J27" s="1264"/>
      <c r="K27" s="1419"/>
      <c r="L27" s="1264"/>
      <c r="M27" s="1419"/>
      <c r="N27" s="1264"/>
      <c r="O27" s="1419"/>
      <c r="P27" s="1264"/>
      <c r="Q27" s="1419"/>
      <c r="R27" s="1264"/>
      <c r="S27" s="1419"/>
    </row>
    <row r="28" spans="1:41">
      <c r="A28" s="1412"/>
      <c r="B28" s="1425"/>
      <c r="C28" s="415"/>
      <c r="D28" s="430"/>
      <c r="E28" s="422"/>
      <c r="F28" s="431"/>
      <c r="G28" s="1402"/>
      <c r="H28" s="1264"/>
      <c r="I28" s="1419"/>
      <c r="J28" s="1264"/>
      <c r="K28" s="1419"/>
      <c r="L28" s="1264"/>
      <c r="M28" s="1419"/>
      <c r="N28" s="1264"/>
      <c r="O28" s="1419"/>
      <c r="P28" s="1264"/>
      <c r="Q28" s="1419"/>
      <c r="R28" s="1264"/>
      <c r="S28" s="1419"/>
    </row>
    <row r="29" spans="1:41">
      <c r="A29" s="1097"/>
      <c r="B29" s="1425"/>
      <c r="C29" s="415"/>
      <c r="D29" s="430"/>
      <c r="E29" s="422"/>
      <c r="F29" s="431"/>
      <c r="G29" s="1402"/>
      <c r="H29" s="1264"/>
      <c r="I29" s="1419"/>
      <c r="J29" s="1264"/>
      <c r="K29" s="1419"/>
      <c r="L29" s="1264"/>
      <c r="M29" s="1419"/>
      <c r="N29" s="1264"/>
      <c r="O29" s="1419"/>
      <c r="P29" s="1264"/>
      <c r="Q29" s="1419"/>
      <c r="R29" s="1264"/>
      <c r="S29" s="1419"/>
    </row>
    <row r="30" spans="1:41">
      <c r="A30" s="1412"/>
      <c r="B30" s="1425"/>
      <c r="C30" s="415"/>
      <c r="D30" s="430"/>
      <c r="E30" s="422"/>
      <c r="F30" s="431"/>
      <c r="G30" s="1402"/>
      <c r="H30" s="1264"/>
      <c r="I30" s="1419"/>
      <c r="J30" s="1264"/>
      <c r="K30" s="1419"/>
      <c r="L30" s="1264"/>
      <c r="M30" s="1419"/>
      <c r="N30" s="1264"/>
      <c r="O30" s="1419"/>
      <c r="P30" s="1264"/>
      <c r="Q30" s="1419"/>
      <c r="R30" s="1264"/>
      <c r="S30" s="1419"/>
    </row>
    <row r="31" spans="1:41">
      <c r="A31" s="1097"/>
      <c r="B31" s="1425"/>
      <c r="C31" s="415"/>
      <c r="D31" s="430"/>
      <c r="E31" s="422"/>
      <c r="F31" s="431"/>
      <c r="G31" s="1402"/>
      <c r="H31" s="1264"/>
      <c r="I31" s="1419"/>
      <c r="J31" s="1264"/>
      <c r="K31" s="1419"/>
      <c r="L31" s="1264"/>
      <c r="M31" s="1419"/>
      <c r="N31" s="1264"/>
      <c r="O31" s="1419"/>
      <c r="P31" s="1264"/>
      <c r="Q31" s="1419"/>
      <c r="R31" s="1264"/>
      <c r="S31" s="1419"/>
    </row>
    <row r="32" spans="1:41">
      <c r="A32" s="1412"/>
      <c r="B32" s="1163"/>
      <c r="C32" s="23"/>
      <c r="D32" s="430"/>
      <c r="E32" s="422"/>
      <c r="F32" s="431"/>
      <c r="G32" s="1402"/>
      <c r="H32" s="1264"/>
      <c r="I32" s="1419"/>
      <c r="J32" s="1264"/>
      <c r="K32" s="1419"/>
      <c r="L32" s="1264"/>
      <c r="M32" s="1419"/>
      <c r="N32" s="1264"/>
      <c r="O32" s="1419"/>
      <c r="P32" s="1264"/>
      <c r="Q32" s="1419"/>
      <c r="R32" s="1264"/>
      <c r="S32" s="1419"/>
    </row>
    <row r="33" spans="1:19">
      <c r="A33" s="1097"/>
      <c r="B33" s="1163"/>
      <c r="C33" s="23"/>
      <c r="D33" s="87"/>
      <c r="E33" s="86"/>
      <c r="F33" s="431"/>
      <c r="G33" s="1402"/>
      <c r="H33" s="1264"/>
      <c r="I33" s="1419"/>
      <c r="J33" s="1264"/>
      <c r="K33" s="1419"/>
      <c r="L33" s="1264"/>
      <c r="M33" s="1419"/>
      <c r="N33" s="1264"/>
      <c r="O33" s="1419"/>
      <c r="P33" s="1264"/>
      <c r="Q33" s="1419"/>
      <c r="R33" s="1264"/>
      <c r="S33" s="1419"/>
    </row>
    <row r="34" spans="1:19">
      <c r="A34" s="1412"/>
      <c r="B34" s="1163"/>
      <c r="C34" s="23"/>
      <c r="D34" s="87"/>
      <c r="E34" s="86"/>
      <c r="F34" s="431"/>
      <c r="G34" s="1402"/>
      <c r="H34" s="1264"/>
      <c r="I34" s="1419"/>
      <c r="J34" s="1264"/>
      <c r="K34" s="1419"/>
      <c r="L34" s="1264"/>
      <c r="M34" s="1419"/>
      <c r="N34" s="1264"/>
      <c r="O34" s="1419"/>
      <c r="P34" s="1264"/>
      <c r="Q34" s="1419"/>
      <c r="R34" s="1264"/>
      <c r="S34" s="1419"/>
    </row>
    <row r="35" spans="1:19">
      <c r="A35" s="1412"/>
      <c r="B35" s="1163"/>
      <c r="C35" s="23"/>
      <c r="D35" s="87"/>
      <c r="E35" s="86"/>
      <c r="F35" s="431"/>
      <c r="G35" s="1402"/>
      <c r="H35" s="1264"/>
      <c r="I35" s="1419"/>
      <c r="J35" s="1264"/>
      <c r="K35" s="1419"/>
      <c r="L35" s="1264"/>
      <c r="M35" s="1419"/>
      <c r="N35" s="1264"/>
      <c r="O35" s="1419"/>
      <c r="P35" s="1264"/>
      <c r="Q35" s="1419"/>
      <c r="R35" s="1264"/>
      <c r="S35" s="1419"/>
    </row>
    <row r="36" spans="1:19">
      <c r="A36" s="1412"/>
      <c r="B36" s="1163"/>
      <c r="C36" s="23"/>
      <c r="D36" s="87"/>
      <c r="E36" s="86"/>
      <c r="F36" s="431"/>
      <c r="G36" s="1402"/>
      <c r="H36" s="1264"/>
      <c r="I36" s="1419"/>
      <c r="J36" s="1264"/>
      <c r="K36" s="1419"/>
      <c r="L36" s="1264"/>
      <c r="M36" s="1419"/>
      <c r="N36" s="1264"/>
      <c r="O36" s="1419"/>
      <c r="P36" s="1264"/>
      <c r="Q36" s="1419"/>
      <c r="R36" s="1264"/>
      <c r="S36" s="1419"/>
    </row>
    <row r="37" spans="1:19">
      <c r="A37" s="1412"/>
      <c r="B37" s="1163"/>
      <c r="C37" s="23"/>
      <c r="D37" s="87"/>
      <c r="E37" s="86"/>
      <c r="F37" s="431"/>
      <c r="G37" s="1402"/>
      <c r="H37" s="1264"/>
      <c r="I37" s="1419"/>
      <c r="J37" s="1264"/>
      <c r="K37" s="1419"/>
      <c r="L37" s="1264"/>
      <c r="M37" s="1419"/>
      <c r="N37" s="1264"/>
      <c r="O37" s="1419"/>
      <c r="P37" s="1264"/>
      <c r="Q37" s="1419"/>
      <c r="R37" s="1264"/>
      <c r="S37" s="1419"/>
    </row>
    <row r="38" spans="1:19">
      <c r="A38" s="1412"/>
      <c r="B38" s="1163"/>
      <c r="C38" s="23"/>
      <c r="D38" s="87"/>
      <c r="E38" s="86"/>
      <c r="F38" s="431"/>
      <c r="G38" s="1402"/>
      <c r="H38" s="1264"/>
      <c r="I38" s="1419"/>
      <c r="J38" s="1264"/>
      <c r="K38" s="1419"/>
      <c r="L38" s="1264"/>
      <c r="M38" s="1419"/>
      <c r="N38" s="1264"/>
      <c r="O38" s="1419"/>
      <c r="P38" s="1264"/>
      <c r="Q38" s="1419"/>
      <c r="R38" s="1264"/>
      <c r="S38" s="1419"/>
    </row>
    <row r="39" spans="1:19">
      <c r="A39" s="1412"/>
      <c r="B39" s="1163"/>
      <c r="C39" s="23"/>
      <c r="D39" s="87"/>
      <c r="E39" s="86"/>
      <c r="F39" s="431"/>
      <c r="G39" s="1402"/>
      <c r="H39" s="1264"/>
      <c r="I39" s="1419"/>
      <c r="J39" s="1264"/>
      <c r="K39" s="1419"/>
      <c r="L39" s="1264"/>
      <c r="M39" s="1419"/>
      <c r="N39" s="1264"/>
      <c r="O39" s="1419"/>
      <c r="P39" s="1264"/>
      <c r="Q39" s="1419"/>
      <c r="R39" s="1264"/>
      <c r="S39" s="1419"/>
    </row>
    <row r="40" spans="1:19">
      <c r="A40" s="1412"/>
      <c r="B40" s="1163"/>
      <c r="C40" s="23"/>
      <c r="D40" s="87"/>
      <c r="E40" s="86"/>
      <c r="F40" s="431"/>
      <c r="G40" s="1402"/>
      <c r="H40" s="1264"/>
      <c r="I40" s="1419"/>
      <c r="J40" s="1264"/>
      <c r="K40" s="1419"/>
      <c r="L40" s="1264"/>
      <c r="M40" s="1419"/>
      <c r="N40" s="1264"/>
      <c r="O40" s="1419"/>
      <c r="P40" s="1264"/>
      <c r="Q40" s="1419"/>
      <c r="R40" s="1264"/>
      <c r="S40" s="1419"/>
    </row>
    <row r="41" spans="1:19">
      <c r="A41" s="1412"/>
      <c r="B41" s="1163"/>
      <c r="C41" s="23"/>
      <c r="D41" s="87"/>
      <c r="E41" s="86"/>
      <c r="F41" s="431"/>
      <c r="G41" s="1402"/>
      <c r="H41" s="1264"/>
      <c r="I41" s="1419"/>
      <c r="J41" s="1264"/>
      <c r="K41" s="1419"/>
      <c r="L41" s="1264"/>
      <c r="M41" s="1419"/>
      <c r="N41" s="1264"/>
      <c r="O41" s="1419"/>
      <c r="P41" s="1264"/>
      <c r="Q41" s="1419"/>
      <c r="R41" s="1264"/>
      <c r="S41" s="1419"/>
    </row>
    <row r="42" spans="1:19">
      <c r="A42" s="1412"/>
      <c r="B42" s="1163"/>
      <c r="C42" s="23"/>
      <c r="D42" s="87"/>
      <c r="E42" s="86"/>
      <c r="F42" s="431"/>
      <c r="G42" s="1402"/>
      <c r="H42" s="1264"/>
      <c r="I42" s="1419"/>
      <c r="J42" s="1264"/>
      <c r="K42" s="1419"/>
      <c r="L42" s="1264"/>
      <c r="M42" s="1419"/>
      <c r="N42" s="1264"/>
      <c r="O42" s="1419"/>
      <c r="P42" s="1264"/>
      <c r="Q42" s="1419"/>
      <c r="R42" s="1264"/>
      <c r="S42" s="1419"/>
    </row>
    <row r="43" spans="1:19">
      <c r="A43" s="1412"/>
      <c r="B43" s="1163"/>
      <c r="C43" s="23"/>
      <c r="D43" s="87"/>
      <c r="E43" s="86"/>
      <c r="F43" s="431"/>
      <c r="G43" s="1402"/>
      <c r="H43" s="1264"/>
      <c r="I43" s="1419"/>
      <c r="J43" s="1264"/>
      <c r="K43" s="1419"/>
      <c r="L43" s="1264"/>
      <c r="M43" s="1419"/>
      <c r="N43" s="1264"/>
      <c r="O43" s="1419"/>
      <c r="P43" s="1264"/>
      <c r="Q43" s="1419"/>
      <c r="R43" s="1264"/>
      <c r="S43" s="1419"/>
    </row>
    <row r="44" spans="1:19">
      <c r="A44" s="1412"/>
      <c r="B44" s="1163"/>
      <c r="C44" s="23"/>
      <c r="D44" s="87"/>
      <c r="E44" s="86"/>
      <c r="F44" s="431"/>
      <c r="G44" s="1402"/>
      <c r="H44" s="1264"/>
      <c r="I44" s="1419"/>
      <c r="J44" s="1264"/>
      <c r="K44" s="1419"/>
      <c r="L44" s="1264"/>
      <c r="M44" s="1419"/>
      <c r="N44" s="1264"/>
      <c r="O44" s="1419"/>
      <c r="P44" s="1264"/>
      <c r="Q44" s="1419"/>
      <c r="R44" s="1264"/>
      <c r="S44" s="1419"/>
    </row>
    <row r="45" spans="1:19">
      <c r="A45" s="1412"/>
      <c r="B45" s="1163"/>
      <c r="C45" s="23"/>
      <c r="D45" s="87"/>
      <c r="E45" s="86"/>
      <c r="F45" s="431"/>
      <c r="G45" s="1402"/>
      <c r="H45" s="1264"/>
      <c r="I45" s="1419"/>
      <c r="J45" s="1264"/>
      <c r="K45" s="1419"/>
      <c r="L45" s="1264"/>
      <c r="M45" s="1419"/>
      <c r="N45" s="1264"/>
      <c r="O45" s="1419"/>
      <c r="P45" s="1264"/>
      <c r="Q45" s="1419"/>
      <c r="R45" s="1264"/>
      <c r="S45" s="1419"/>
    </row>
    <row r="46" spans="1:19">
      <c r="A46" s="1412"/>
      <c r="B46" s="1163"/>
      <c r="C46" s="23"/>
      <c r="D46" s="87"/>
      <c r="E46" s="86"/>
      <c r="F46" s="431"/>
      <c r="G46" s="1402"/>
      <c r="H46" s="1264"/>
      <c r="I46" s="1419"/>
      <c r="J46" s="1264"/>
      <c r="K46" s="1419"/>
      <c r="L46" s="1264"/>
      <c r="M46" s="1419"/>
      <c r="N46" s="1264"/>
      <c r="O46" s="1419"/>
      <c r="P46" s="1264"/>
      <c r="Q46" s="1419"/>
      <c r="R46" s="1264"/>
      <c r="S46" s="1419"/>
    </row>
    <row r="47" spans="1:19">
      <c r="A47" s="1412"/>
      <c r="B47" s="1163"/>
      <c r="C47" s="23"/>
      <c r="D47" s="87"/>
      <c r="E47" s="86"/>
      <c r="F47" s="431"/>
      <c r="G47" s="1402"/>
      <c r="H47" s="1264"/>
      <c r="I47" s="1419"/>
      <c r="J47" s="1264"/>
      <c r="K47" s="1419"/>
      <c r="L47" s="1264"/>
      <c r="M47" s="1419"/>
      <c r="N47" s="1264"/>
      <c r="O47" s="1419"/>
      <c r="P47" s="1264"/>
      <c r="Q47" s="1419"/>
      <c r="R47" s="1264"/>
      <c r="S47" s="1419"/>
    </row>
    <row r="48" spans="1:19">
      <c r="A48" s="1412"/>
      <c r="B48" s="1163"/>
      <c r="C48" s="23"/>
      <c r="D48" s="87"/>
      <c r="E48" s="86"/>
      <c r="F48" s="431"/>
      <c r="G48" s="1402"/>
      <c r="H48" s="1264"/>
      <c r="I48" s="1419"/>
      <c r="J48" s="1264"/>
      <c r="K48" s="1419"/>
      <c r="L48" s="1264"/>
      <c r="M48" s="1419"/>
      <c r="N48" s="1264"/>
      <c r="O48" s="1419"/>
      <c r="P48" s="1264"/>
      <c r="Q48" s="1419"/>
      <c r="R48" s="1264"/>
      <c r="S48" s="1419"/>
    </row>
    <row r="49" spans="1:34">
      <c r="A49" s="1412"/>
      <c r="B49" s="1163"/>
      <c r="C49" s="23"/>
      <c r="D49" s="87"/>
      <c r="E49" s="86"/>
      <c r="F49" s="431"/>
      <c r="G49" s="830"/>
      <c r="H49" s="1264"/>
      <c r="I49" s="1419"/>
      <c r="J49" s="1264"/>
      <c r="K49" s="1419"/>
      <c r="L49" s="1264"/>
      <c r="M49" s="1419"/>
      <c r="N49" s="1264"/>
      <c r="O49" s="1419"/>
      <c r="P49" s="1264"/>
      <c r="Q49" s="1419"/>
      <c r="R49" s="1264"/>
      <c r="S49" s="1419"/>
    </row>
    <row r="50" spans="1:34" ht="15.75" thickBot="1">
      <c r="A50" s="1412"/>
      <c r="B50" s="1163"/>
      <c r="C50" s="23"/>
      <c r="D50" s="87"/>
      <c r="E50" s="86"/>
      <c r="F50" s="431"/>
      <c r="G50" s="830"/>
      <c r="H50" s="1264"/>
      <c r="I50" s="1419"/>
      <c r="J50" s="1264"/>
      <c r="K50" s="1419"/>
      <c r="L50" s="1264"/>
      <c r="M50" s="1419"/>
      <c r="N50" s="1264"/>
      <c r="O50" s="1419"/>
      <c r="P50" s="1264"/>
      <c r="Q50" s="1419"/>
      <c r="R50" s="1264"/>
      <c r="S50" s="1419"/>
    </row>
    <row r="51" spans="1:34" ht="15.75" thickTop="1">
      <c r="A51" s="296"/>
      <c r="B51" s="301"/>
      <c r="C51" s="297"/>
      <c r="D51" s="15"/>
      <c r="E51" s="16"/>
      <c r="F51" s="282" t="s">
        <v>753</v>
      </c>
      <c r="G51" s="272"/>
      <c r="H51" s="273"/>
      <c r="I51" s="273">
        <f>SUM(I12:I50)</f>
        <v>0</v>
      </c>
      <c r="J51" s="273"/>
      <c r="K51" s="273">
        <f>SUM(K12:K50)</f>
        <v>0</v>
      </c>
      <c r="L51" s="273"/>
      <c r="M51" s="273">
        <f>SUM(M12:M50)</f>
        <v>0</v>
      </c>
      <c r="N51" s="273"/>
      <c r="O51" s="273">
        <f>SUM(O12:O50)</f>
        <v>0</v>
      </c>
      <c r="P51" s="273"/>
      <c r="Q51" s="273">
        <f>SUM(Q12:Q50)</f>
        <v>0</v>
      </c>
      <c r="R51" s="273"/>
      <c r="S51" s="273">
        <f>SUM(S12:S50)</f>
        <v>0</v>
      </c>
    </row>
    <row r="52" spans="1:34">
      <c r="A52" s="1114"/>
      <c r="B52" s="1164"/>
      <c r="C52" s="432"/>
      <c r="D52" s="433"/>
      <c r="E52" s="434"/>
      <c r="F52" s="435" t="s">
        <v>754</v>
      </c>
      <c r="G52" s="436"/>
      <c r="H52" s="1165">
        <v>0</v>
      </c>
      <c r="I52" s="1166"/>
      <c r="J52" s="1165">
        <v>0</v>
      </c>
      <c r="K52" s="1166"/>
      <c r="L52" s="1165">
        <v>0</v>
      </c>
      <c r="M52" s="1166"/>
      <c r="N52" s="1165">
        <v>0</v>
      </c>
      <c r="O52" s="1166"/>
      <c r="P52" s="1165">
        <v>0</v>
      </c>
      <c r="Q52" s="1166"/>
      <c r="R52" s="1165">
        <v>0</v>
      </c>
      <c r="S52" s="1166"/>
    </row>
    <row r="53" spans="1:34">
      <c r="A53" s="1114"/>
      <c r="B53" s="1164"/>
      <c r="C53" s="432"/>
      <c r="D53" s="433"/>
      <c r="E53" s="434"/>
      <c r="F53" s="435" t="s">
        <v>755</v>
      </c>
      <c r="G53" s="436"/>
      <c r="H53" s="1166"/>
      <c r="I53" s="1166">
        <f>I51*H52</f>
        <v>0</v>
      </c>
      <c r="J53" s="1166"/>
      <c r="K53" s="1166">
        <f>K51*J52</f>
        <v>0</v>
      </c>
      <c r="L53" s="1166"/>
      <c r="M53" s="1166">
        <f>M51*L52</f>
        <v>0</v>
      </c>
      <c r="N53" s="1166"/>
      <c r="O53" s="1166">
        <f>O51*N52</f>
        <v>0</v>
      </c>
      <c r="P53" s="1166"/>
      <c r="Q53" s="1166">
        <f>Q51*P52</f>
        <v>0</v>
      </c>
      <c r="R53" s="1166"/>
      <c r="S53" s="1166">
        <f>S51*R52</f>
        <v>0</v>
      </c>
    </row>
    <row r="54" spans="1:34">
      <c r="A54" s="1114"/>
      <c r="B54" s="1164"/>
      <c r="C54" s="432"/>
      <c r="D54" s="433"/>
      <c r="E54" s="434"/>
      <c r="F54" s="435"/>
      <c r="G54" s="436"/>
      <c r="H54" s="1166"/>
      <c r="I54" s="1166"/>
      <c r="J54" s="1166"/>
      <c r="K54" s="1166"/>
      <c r="L54" s="1166"/>
      <c r="M54" s="1166"/>
      <c r="N54" s="1166"/>
      <c r="O54" s="1166"/>
      <c r="P54" s="1166"/>
      <c r="Q54" s="1166"/>
      <c r="R54" s="1166"/>
      <c r="S54" s="1166"/>
    </row>
    <row r="55" spans="1:34">
      <c r="A55" s="1114"/>
      <c r="B55" s="1164"/>
      <c r="C55" s="432"/>
      <c r="D55" s="433"/>
      <c r="E55" s="434"/>
      <c r="F55" s="435" t="s">
        <v>756</v>
      </c>
      <c r="G55" s="436"/>
      <c r="H55" s="1166"/>
      <c r="I55" s="1166">
        <f>SUM(I51:I54)</f>
        <v>0</v>
      </c>
      <c r="J55" s="1166"/>
      <c r="K55" s="1166">
        <f>SUM(K51:K54)</f>
        <v>0</v>
      </c>
      <c r="L55" s="1166"/>
      <c r="M55" s="1166">
        <f>SUM(M51:M54)</f>
        <v>0</v>
      </c>
      <c r="N55" s="1166"/>
      <c r="O55" s="1166">
        <f>SUM(O51:O54)</f>
        <v>0</v>
      </c>
      <c r="P55" s="1166"/>
      <c r="Q55" s="1166">
        <f>SUM(Q51:Q54)</f>
        <v>0</v>
      </c>
      <c r="R55" s="1166"/>
      <c r="S55" s="1166">
        <f>SUM(S51:S54)</f>
        <v>0</v>
      </c>
    </row>
    <row r="56" spans="1:34">
      <c r="A56" s="1114"/>
      <c r="B56" s="1164"/>
      <c r="C56" s="432"/>
      <c r="D56" s="433"/>
      <c r="E56" s="434"/>
      <c r="F56" s="437" t="s">
        <v>757</v>
      </c>
      <c r="G56" s="438"/>
      <c r="H56" s="1167"/>
      <c r="I56" s="1167">
        <f>I55/'Area Calculations'!$G$4</f>
        <v>0</v>
      </c>
      <c r="J56" s="1167"/>
      <c r="K56" s="1167">
        <f>K55/'Area Calculations'!$G$4</f>
        <v>0</v>
      </c>
      <c r="L56" s="1167"/>
      <c r="M56" s="1167">
        <f>M55/'Area Calculations'!$G$4</f>
        <v>0</v>
      </c>
      <c r="N56" s="1167"/>
      <c r="O56" s="1167">
        <f>O55/'Area Calculations'!$G$4</f>
        <v>0</v>
      </c>
      <c r="P56" s="1167"/>
      <c r="Q56" s="1167">
        <f>Q55/'Area Calculations'!$G$4</f>
        <v>0</v>
      </c>
      <c r="R56" s="1167"/>
      <c r="S56" s="1167">
        <f>S55/'Area Calculations'!$G$4</f>
        <v>0</v>
      </c>
    </row>
    <row r="57" spans="1:34">
      <c r="A57" s="1114"/>
      <c r="B57" s="1164"/>
      <c r="C57" s="432"/>
      <c r="D57" s="433"/>
      <c r="E57" s="434"/>
      <c r="F57" s="437" t="s">
        <v>758</v>
      </c>
      <c r="G57" s="438"/>
      <c r="H57" s="1167"/>
      <c r="I57" s="1167">
        <f>I55/'Area Calculations'!$G$9</f>
        <v>0</v>
      </c>
      <c r="J57" s="1167"/>
      <c r="K57" s="1167">
        <f>K55/'Area Calculations'!$G$9</f>
        <v>0</v>
      </c>
      <c r="L57" s="1167"/>
      <c r="M57" s="1167">
        <f>M55/'Area Calculations'!$G$9</f>
        <v>0</v>
      </c>
      <c r="N57" s="1167"/>
      <c r="O57" s="1167">
        <f>O55/'Area Calculations'!$G$9</f>
        <v>0</v>
      </c>
      <c r="P57" s="1167"/>
      <c r="Q57" s="1167">
        <f>Q55/'Area Calculations'!$G$9</f>
        <v>0</v>
      </c>
      <c r="R57" s="1167"/>
      <c r="S57" s="1167">
        <f>S55/'Area Calculations'!$G$9</f>
        <v>0</v>
      </c>
    </row>
    <row r="58" spans="1:34" ht="15.75" thickBot="1">
      <c r="A58" s="1114"/>
      <c r="B58" s="1164"/>
      <c r="C58" s="432"/>
      <c r="D58" s="433"/>
      <c r="E58" s="434"/>
      <c r="F58" s="439"/>
      <c r="G58" s="436"/>
      <c r="H58" s="1168"/>
      <c r="I58" s="1168"/>
      <c r="J58" s="1168"/>
      <c r="K58" s="1168"/>
      <c r="L58" s="1168"/>
      <c r="M58" s="1168"/>
      <c r="N58" s="1168"/>
      <c r="O58" s="1168"/>
      <c r="P58" s="1168"/>
      <c r="Q58" s="1168"/>
      <c r="R58" s="1168"/>
      <c r="S58" s="1168"/>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1403"/>
      <c r="B60" s="1105"/>
      <c r="C60" s="1396"/>
      <c r="D60" s="1435"/>
      <c r="E60" s="1435"/>
      <c r="F60" s="1435"/>
      <c r="G60" s="1404"/>
      <c r="H60" s="1405"/>
      <c r="I60" s="1406"/>
      <c r="J60" s="1406"/>
      <c r="K60" s="1406"/>
      <c r="L60" s="1406"/>
      <c r="M60" s="1406"/>
      <c r="N60" s="1406"/>
      <c r="O60" s="1406"/>
      <c r="P60" s="1406"/>
      <c r="Q60" s="1406"/>
      <c r="R60" s="1406"/>
      <c r="S60" s="1406"/>
    </row>
    <row r="61" spans="1:34">
      <c r="A61" s="1403"/>
      <c r="B61" s="1105"/>
      <c r="C61" s="1396"/>
      <c r="D61" s="1435"/>
      <c r="E61" s="1435"/>
      <c r="F61" s="1435"/>
      <c r="G61" s="1404"/>
      <c r="H61" s="1405"/>
      <c r="I61" s="1406"/>
      <c r="J61" s="1406"/>
      <c r="K61" s="1406"/>
      <c r="L61" s="1406"/>
      <c r="M61" s="1406"/>
      <c r="N61" s="1406"/>
      <c r="O61" s="1406"/>
      <c r="P61" s="1406"/>
      <c r="Q61" s="1406"/>
      <c r="R61" s="1406"/>
      <c r="S61" s="1406"/>
    </row>
    <row r="62" spans="1:34" ht="15.75" thickBot="1">
      <c r="A62" s="1403"/>
      <c r="B62" s="1105"/>
      <c r="C62" s="1396"/>
      <c r="D62" s="1435"/>
      <c r="E62" s="1435"/>
      <c r="F62" s="1435"/>
      <c r="G62" s="1404"/>
      <c r="H62" s="1405"/>
      <c r="I62" s="1406"/>
      <c r="J62" s="1406"/>
      <c r="K62" s="1406"/>
      <c r="L62" s="1406"/>
      <c r="M62" s="1406"/>
      <c r="N62" s="1406"/>
      <c r="O62" s="1406"/>
      <c r="P62" s="1406"/>
      <c r="Q62" s="1406"/>
      <c r="R62" s="1406"/>
      <c r="S62" s="1406"/>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1403"/>
      <c r="B64" s="1105"/>
      <c r="C64" s="1396"/>
      <c r="D64" s="1435"/>
      <c r="E64" s="1435"/>
      <c r="F64" s="1435"/>
      <c r="G64" s="1404"/>
      <c r="H64" s="1405"/>
      <c r="I64" s="1406"/>
      <c r="J64" s="1406"/>
      <c r="K64" s="1406"/>
      <c r="L64" s="1406"/>
      <c r="M64" s="1406"/>
      <c r="N64" s="1406"/>
      <c r="O64" s="1406"/>
      <c r="P64" s="1406"/>
      <c r="Q64" s="1406"/>
      <c r="R64" s="1406"/>
      <c r="S64" s="1406"/>
      <c r="T64"/>
      <c r="U64"/>
      <c r="V64"/>
      <c r="W64"/>
      <c r="X64"/>
      <c r="Y64"/>
      <c r="Z64"/>
      <c r="AA64"/>
      <c r="AB64"/>
      <c r="AC64"/>
      <c r="AD64"/>
      <c r="AE64"/>
      <c r="AF64"/>
      <c r="AG64"/>
      <c r="AH64"/>
    </row>
    <row r="65" spans="1:34" s="2" customFormat="1">
      <c r="A65" s="1403"/>
      <c r="B65" s="1105"/>
      <c r="C65" s="1396"/>
      <c r="D65" s="1435"/>
      <c r="E65" s="1435"/>
      <c r="F65" s="1435"/>
      <c r="G65" s="1404"/>
      <c r="H65" s="1405"/>
      <c r="I65" s="1406"/>
      <c r="J65" s="1406"/>
      <c r="K65" s="1406"/>
      <c r="L65" s="1406"/>
      <c r="M65" s="1406"/>
      <c r="N65" s="1406"/>
      <c r="O65" s="1406"/>
      <c r="P65" s="1406"/>
      <c r="Q65" s="1406"/>
      <c r="R65" s="1406"/>
      <c r="S65" s="1406"/>
      <c r="T65"/>
      <c r="U65"/>
      <c r="V65"/>
      <c r="W65"/>
      <c r="X65"/>
      <c r="Y65"/>
      <c r="Z65"/>
      <c r="AA65"/>
      <c r="AB65"/>
      <c r="AC65"/>
      <c r="AD65"/>
      <c r="AE65"/>
      <c r="AF65"/>
      <c r="AG65"/>
      <c r="AH65"/>
    </row>
    <row r="66" spans="1:34" ht="15.75" thickBot="1">
      <c r="A66" s="1403"/>
      <c r="B66" s="1105"/>
      <c r="C66" s="1396"/>
      <c r="D66" s="1435"/>
      <c r="E66" s="1435"/>
      <c r="F66" s="1435"/>
      <c r="G66" s="1404"/>
      <c r="H66" s="1405"/>
      <c r="I66" s="1406"/>
      <c r="J66" s="1406"/>
      <c r="K66" s="1406"/>
      <c r="L66" s="1406"/>
      <c r="M66" s="1406"/>
      <c r="N66" s="1406"/>
      <c r="O66" s="1406"/>
      <c r="P66" s="1406"/>
      <c r="Q66" s="1406"/>
      <c r="R66" s="1406"/>
      <c r="S66" s="1406"/>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1403"/>
      <c r="B68" s="1105"/>
      <c r="C68" s="1396"/>
      <c r="D68" s="1435"/>
      <c r="E68" s="1435"/>
      <c r="F68" s="1435"/>
      <c r="G68" s="1404"/>
      <c r="H68" s="1405"/>
      <c r="I68" s="1406"/>
      <c r="J68" s="1406"/>
      <c r="K68" s="1406"/>
      <c r="L68" s="1406"/>
      <c r="M68" s="1406"/>
      <c r="N68" s="1406"/>
      <c r="O68" s="1406"/>
      <c r="P68" s="1406"/>
      <c r="Q68" s="1406"/>
      <c r="R68" s="1406"/>
      <c r="S68" s="1406"/>
      <c r="T68"/>
      <c r="U68"/>
      <c r="V68"/>
      <c r="W68"/>
      <c r="X68"/>
      <c r="Y68"/>
      <c r="Z68"/>
      <c r="AA68"/>
      <c r="AB68"/>
      <c r="AC68"/>
      <c r="AD68"/>
      <c r="AE68"/>
      <c r="AF68"/>
      <c r="AG68"/>
      <c r="AH68"/>
    </row>
    <row r="69" spans="1:34" s="2" customFormat="1">
      <c r="A69" s="1124"/>
      <c r="B69" s="1105"/>
      <c r="C69" s="415"/>
      <c r="D69" s="422"/>
      <c r="E69" s="422"/>
      <c r="F69" s="422"/>
      <c r="G69" s="831"/>
      <c r="H69" s="440"/>
      <c r="I69" s="1173"/>
      <c r="J69" s="1173"/>
      <c r="K69" s="1173"/>
      <c r="L69" s="1173"/>
      <c r="M69" s="1173"/>
      <c r="N69" s="1173"/>
      <c r="O69" s="1173"/>
      <c r="P69" s="1173"/>
      <c r="Q69" s="1173"/>
      <c r="R69" s="1173"/>
      <c r="S69" s="1173"/>
      <c r="T69"/>
      <c r="U69"/>
      <c r="V69"/>
      <c r="W69"/>
      <c r="X69"/>
      <c r="Y69"/>
      <c r="Z69"/>
      <c r="AA69"/>
      <c r="AB69"/>
      <c r="AC69"/>
      <c r="AD69"/>
      <c r="AE69"/>
      <c r="AF69"/>
      <c r="AG69"/>
      <c r="AH69"/>
    </row>
    <row r="70" spans="1:34" s="2" customFormat="1" ht="15.75" thickBot="1">
      <c r="A70" s="1126"/>
      <c r="B70" s="1174"/>
      <c r="C70" s="415"/>
      <c r="D70" s="422"/>
      <c r="E70" s="422"/>
      <c r="F70" s="422"/>
      <c r="G70" s="831"/>
      <c r="H70" s="441"/>
      <c r="I70" s="1175"/>
      <c r="J70" s="1175"/>
      <c r="K70" s="1175"/>
      <c r="L70" s="1175"/>
      <c r="M70" s="1175"/>
      <c r="N70" s="1175"/>
      <c r="O70" s="1175"/>
      <c r="P70" s="1175"/>
      <c r="Q70" s="1175"/>
      <c r="R70" s="1175"/>
      <c r="S70" s="1175"/>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1407"/>
      <c r="B72" s="1408"/>
      <c r="C72" s="1396"/>
      <c r="D72" s="1435"/>
      <c r="E72" s="1435"/>
      <c r="F72" s="1435"/>
      <c r="G72" s="1404"/>
      <c r="H72" s="1405"/>
      <c r="I72" s="1406"/>
      <c r="J72" s="1406"/>
      <c r="K72" s="1406"/>
      <c r="L72" s="1406"/>
      <c r="M72" s="1406"/>
      <c r="N72" s="1406"/>
      <c r="O72" s="1406"/>
      <c r="P72" s="1406"/>
      <c r="Q72" s="1406"/>
      <c r="R72" s="1406"/>
      <c r="S72" s="1406"/>
      <c r="T72" s="2"/>
      <c r="U72" s="2"/>
      <c r="V72" s="2"/>
      <c r="W72" s="2"/>
      <c r="X72" s="2"/>
      <c r="Y72" s="2"/>
      <c r="Z72" s="2"/>
      <c r="AA72" s="2"/>
      <c r="AB72" s="2"/>
      <c r="AC72" s="2"/>
      <c r="AD72" s="2"/>
      <c r="AE72" s="2"/>
      <c r="AF72" s="2"/>
      <c r="AG72" s="2"/>
      <c r="AH72" s="2"/>
    </row>
    <row r="73" spans="1:34">
      <c r="A73" s="1126"/>
      <c r="B73" s="1174"/>
      <c r="C73" s="415"/>
      <c r="D73" s="422"/>
      <c r="E73" s="422"/>
      <c r="F73" s="422"/>
      <c r="G73" s="831"/>
      <c r="H73" s="442"/>
      <c r="I73" s="1178"/>
      <c r="J73" s="1178"/>
      <c r="K73" s="1178"/>
      <c r="L73" s="1178"/>
      <c r="M73" s="1178"/>
      <c r="N73" s="1178"/>
      <c r="O73" s="1178"/>
      <c r="P73" s="1178"/>
      <c r="Q73" s="1178"/>
      <c r="R73" s="1178"/>
      <c r="S73" s="1178"/>
      <c r="T73" s="2"/>
      <c r="U73" s="2"/>
      <c r="V73" s="2"/>
      <c r="W73" s="2"/>
      <c r="X73" s="2"/>
      <c r="Y73" s="2"/>
      <c r="Z73" s="2"/>
      <c r="AA73" s="2"/>
      <c r="AB73" s="2"/>
      <c r="AC73" s="2"/>
      <c r="AD73" s="2"/>
      <c r="AE73" s="2"/>
      <c r="AF73" s="2"/>
      <c r="AG73" s="2"/>
      <c r="AH73" s="2"/>
    </row>
    <row r="74" spans="1:34" ht="15.75" thickBot="1">
      <c r="A74" s="1126"/>
      <c r="B74" s="1174"/>
      <c r="C74" s="415"/>
      <c r="D74" s="422"/>
      <c r="E74" s="422"/>
      <c r="F74" s="422"/>
      <c r="G74" s="831"/>
      <c r="H74" s="442"/>
      <c r="I74" s="1178"/>
      <c r="J74" s="1178"/>
      <c r="K74" s="1178"/>
      <c r="L74" s="1178"/>
      <c r="M74" s="1178"/>
      <c r="N74" s="1178"/>
      <c r="O74" s="1178"/>
      <c r="P74" s="1178"/>
      <c r="Q74" s="1178"/>
      <c r="R74" s="1178"/>
      <c r="S74" s="1178"/>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1105" t="s">
        <v>764</v>
      </c>
      <c r="C76" s="415"/>
      <c r="D76" s="422"/>
      <c r="E76" s="422"/>
      <c r="F76" s="422"/>
      <c r="G76" s="831"/>
      <c r="H76" s="442"/>
      <c r="I76" s="1178"/>
      <c r="J76" s="1178"/>
      <c r="K76" s="1178"/>
      <c r="L76" s="1178"/>
      <c r="M76" s="1178"/>
      <c r="N76" s="1178"/>
      <c r="O76" s="1178"/>
      <c r="P76" s="1178"/>
      <c r="Q76" s="1178"/>
      <c r="R76" s="1178"/>
      <c r="S76" s="1178"/>
    </row>
    <row r="77" spans="1:34">
      <c r="A77" s="1124"/>
      <c r="B77" s="1105" t="s">
        <v>765</v>
      </c>
      <c r="C77" s="415"/>
      <c r="D77" s="422"/>
      <c r="E77" s="422"/>
      <c r="F77" s="422"/>
      <c r="G77" s="831"/>
      <c r="H77" s="442"/>
      <c r="I77" s="1178"/>
      <c r="J77" s="1178"/>
      <c r="K77" s="1178"/>
      <c r="L77" s="1178"/>
      <c r="M77" s="1178"/>
      <c r="N77" s="1178"/>
      <c r="O77" s="1178"/>
      <c r="P77" s="1178"/>
      <c r="Q77" s="1178"/>
      <c r="R77" s="1178"/>
      <c r="S77" s="1178"/>
    </row>
    <row r="78" spans="1:34">
      <c r="A78" s="1124"/>
      <c r="B78" s="1105" t="s">
        <v>766</v>
      </c>
      <c r="C78" s="415"/>
      <c r="D78" s="422"/>
      <c r="E78" s="422"/>
      <c r="F78" s="422"/>
      <c r="G78" s="831"/>
      <c r="H78" s="442"/>
      <c r="I78" s="1178"/>
      <c r="J78" s="1178"/>
      <c r="K78" s="1178"/>
      <c r="L78" s="1178"/>
      <c r="M78" s="1178"/>
      <c r="N78" s="1178"/>
      <c r="O78" s="1178"/>
      <c r="P78" s="1178"/>
      <c r="Q78" s="1178"/>
      <c r="R78" s="1178"/>
      <c r="S78" s="1178"/>
    </row>
    <row r="79" spans="1:34">
      <c r="A79" s="1124"/>
      <c r="B79" s="1105" t="s">
        <v>767</v>
      </c>
      <c r="C79" s="415"/>
      <c r="D79" s="422"/>
      <c r="E79" s="422"/>
      <c r="F79" s="422"/>
      <c r="G79" s="831"/>
      <c r="H79" s="442"/>
      <c r="I79" s="1178"/>
      <c r="J79" s="1178"/>
      <c r="K79" s="1178"/>
      <c r="L79" s="1178"/>
      <c r="M79" s="1178"/>
      <c r="N79" s="1178"/>
      <c r="O79" s="1178"/>
      <c r="P79" s="1178"/>
      <c r="Q79" s="1178"/>
      <c r="R79" s="1178"/>
      <c r="S79" s="1178"/>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1403"/>
      <c r="B82" s="1409" t="s">
        <v>769</v>
      </c>
      <c r="C82" s="1396"/>
      <c r="D82" s="1435"/>
      <c r="E82" s="1435"/>
      <c r="F82" s="1435"/>
      <c r="G82" s="1404"/>
      <c r="H82" s="1410"/>
      <c r="I82" s="1411"/>
      <c r="J82" s="1411"/>
      <c r="K82" s="1411"/>
      <c r="L82" s="1411"/>
      <c r="M82" s="1411"/>
      <c r="N82" s="1411"/>
      <c r="O82" s="1411"/>
      <c r="P82" s="1411"/>
      <c r="Q82" s="1411"/>
      <c r="R82" s="1411"/>
      <c r="S82" s="1411"/>
    </row>
    <row r="83" spans="1:19">
      <c r="A83" s="1124"/>
      <c r="B83" s="1105" t="s">
        <v>770</v>
      </c>
      <c r="C83" s="415"/>
      <c r="D83" s="422"/>
      <c r="E83" s="422"/>
      <c r="F83" s="422"/>
      <c r="G83" s="831"/>
      <c r="H83" s="445"/>
      <c r="I83" s="1182"/>
      <c r="J83" s="1182"/>
      <c r="K83" s="1182"/>
      <c r="L83" s="1182"/>
      <c r="M83" s="1182"/>
      <c r="N83" s="1182"/>
      <c r="O83" s="1182"/>
      <c r="P83" s="1182"/>
      <c r="Q83" s="1182"/>
      <c r="R83" s="1182"/>
      <c r="S83" s="1182"/>
    </row>
    <row r="84" spans="1:19" ht="15.75" thickBot="1">
      <c r="A84" s="1376"/>
      <c r="B84" s="1377" t="s">
        <v>771</v>
      </c>
      <c r="C84" s="1378"/>
      <c r="D84" s="1379"/>
      <c r="E84" s="1379"/>
      <c r="F84" s="1379"/>
      <c r="G84" s="1380"/>
      <c r="H84" s="1381"/>
      <c r="I84" s="1382"/>
      <c r="J84" s="1382"/>
      <c r="K84" s="1382"/>
      <c r="L84" s="1382"/>
      <c r="M84" s="1382"/>
      <c r="N84" s="1382"/>
      <c r="O84" s="1382"/>
      <c r="P84" s="1382"/>
      <c r="Q84" s="1382"/>
      <c r="R84" s="1382"/>
      <c r="S84" s="1382"/>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190"/>
      <c r="F87" s="2"/>
      <c r="G87" s="2"/>
      <c r="H87" s="2"/>
      <c r="I87" s="2"/>
      <c r="J87" s="2"/>
      <c r="K87" s="2"/>
      <c r="L87" s="2"/>
      <c r="M87" s="2"/>
      <c r="N87" s="2"/>
      <c r="O87" s="2"/>
      <c r="P87" s="2"/>
      <c r="Q87" s="2"/>
      <c r="R87" s="2"/>
      <c r="S87" s="2"/>
    </row>
    <row r="88" spans="1:19">
      <c r="A88" s="1142" t="s">
        <v>702</v>
      </c>
      <c r="B88" s="1190"/>
      <c r="F88" s="2"/>
      <c r="G88" s="2"/>
      <c r="H88" s="2"/>
      <c r="I88" s="2"/>
      <c r="J88" s="2"/>
      <c r="K88" s="2"/>
      <c r="L88" s="2"/>
      <c r="M88" s="2"/>
      <c r="N88" s="2"/>
      <c r="O88" s="2"/>
      <c r="P88" s="2"/>
      <c r="Q88" s="2"/>
      <c r="R88" s="2"/>
      <c r="S88" s="2"/>
    </row>
    <row r="89" spans="1:19">
      <c r="A89" s="1191" t="s">
        <v>708</v>
      </c>
      <c r="B89" s="1192"/>
      <c r="F89" s="2"/>
      <c r="G89" s="2"/>
      <c r="H89" s="2"/>
      <c r="I89" s="2"/>
      <c r="J89" s="2"/>
      <c r="K89" s="2"/>
      <c r="L89" s="2"/>
      <c r="M89" s="2"/>
      <c r="N89" s="2"/>
      <c r="O89" s="2"/>
      <c r="P89" s="2"/>
      <c r="Q89" s="2"/>
      <c r="R89" s="2"/>
      <c r="S89" s="2"/>
    </row>
    <row r="90" spans="1:19">
      <c r="A90" s="1191" t="s">
        <v>713</v>
      </c>
      <c r="B90" s="1193"/>
      <c r="F90" s="2"/>
      <c r="G90" s="2"/>
      <c r="H90" s="2"/>
      <c r="I90" s="2"/>
      <c r="J90" s="2"/>
      <c r="K90" s="2"/>
      <c r="L90" s="2"/>
      <c r="M90" s="2"/>
      <c r="N90" s="2"/>
      <c r="O90" s="2"/>
      <c r="P90" s="2"/>
      <c r="Q90" s="2"/>
      <c r="R90" s="2"/>
      <c r="S90" s="2"/>
    </row>
    <row r="91" spans="1:19" ht="15.75" thickBot="1">
      <c r="A91" s="1383" t="s">
        <v>69</v>
      </c>
      <c r="B91" s="1384"/>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5:S5"/>
    <mergeCell ref="H4:I4"/>
    <mergeCell ref="J4:K4"/>
    <mergeCell ref="L4:M4"/>
    <mergeCell ref="N4:O4"/>
    <mergeCell ref="P4:Q4"/>
    <mergeCell ref="R4:S4"/>
    <mergeCell ref="H5:I5"/>
    <mergeCell ref="J5:K5"/>
    <mergeCell ref="L5:M5"/>
    <mergeCell ref="N5:O5"/>
    <mergeCell ref="P5:Q5"/>
    <mergeCell ref="R7:S7"/>
    <mergeCell ref="H6:I6"/>
    <mergeCell ref="J6:K6"/>
    <mergeCell ref="L6:M6"/>
    <mergeCell ref="N6:O6"/>
    <mergeCell ref="P6:Q6"/>
    <mergeCell ref="R6:S6"/>
    <mergeCell ref="H7:I7"/>
    <mergeCell ref="J7:K7"/>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s>
  <conditionalFormatting sqref="H11:H18 J11:J18 L11:L18 N11:N18 P11:P18 R11:R18">
    <cfRule type="cellIs" dxfId="497" priority="13" operator="equal">
      <formula>"X"</formula>
    </cfRule>
    <cfRule type="cellIs" dxfId="496" priority="14" operator="equal">
      <formula>"I"</formula>
    </cfRule>
  </conditionalFormatting>
  <conditionalFormatting sqref="H20:H50">
    <cfRule type="cellIs" dxfId="495" priority="1" operator="equal">
      <formula>"X"</formula>
    </cfRule>
    <cfRule type="cellIs" dxfId="494" priority="2" operator="equal">
      <formula>"I"</formula>
    </cfRule>
  </conditionalFormatting>
  <conditionalFormatting sqref="J20:J50">
    <cfRule type="cellIs" dxfId="493" priority="3" operator="equal">
      <formula>"X"</formula>
    </cfRule>
    <cfRule type="cellIs" dxfId="492" priority="4" operator="equal">
      <formula>"I"</formula>
    </cfRule>
  </conditionalFormatting>
  <conditionalFormatting sqref="L20:L50">
    <cfRule type="cellIs" dxfId="491" priority="5" operator="equal">
      <formula>"X"</formula>
    </cfRule>
    <cfRule type="cellIs" dxfId="490" priority="6" operator="equal">
      <formula>"I"</formula>
    </cfRule>
  </conditionalFormatting>
  <conditionalFormatting sqref="N20:N50">
    <cfRule type="cellIs" dxfId="489" priority="7" operator="equal">
      <formula>"X"</formula>
    </cfRule>
    <cfRule type="cellIs" dxfId="488" priority="8" operator="equal">
      <formula>"I"</formula>
    </cfRule>
  </conditionalFormatting>
  <conditionalFormatting sqref="P20:P50">
    <cfRule type="cellIs" dxfId="487" priority="9" operator="equal">
      <formula>"X"</formula>
    </cfRule>
    <cfRule type="cellIs" dxfId="486" priority="10" operator="equal">
      <formula>"I"</formula>
    </cfRule>
  </conditionalFormatting>
  <conditionalFormatting sqref="R20:R50">
    <cfRule type="cellIs" dxfId="485" priority="11" operator="equal">
      <formula>"X"</formula>
    </cfRule>
    <cfRule type="cellIs" dxfId="484" priority="12" operator="equal">
      <formula>"I"</formula>
    </cfRule>
  </conditionalFormatting>
  <hyperlinks>
    <hyperlink ref="B4" location="'Cost Summary'!A1" display="BACK TO SUMMARY SHEET" xr:uid="{A1803A85-E256-42F9-95CB-E43F052623D6}"/>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923-EBE4-47A1-895F-CEC69C55CC7B}">
  <sheetPr>
    <tabColor rgb="FF00B0F0"/>
  </sheetPr>
  <dimension ref="A1:AO94"/>
  <sheetViews>
    <sheetView zoomScale="90" zoomScaleNormal="90" workbookViewId="0">
      <pane xSplit="2" ySplit="10" topLeftCell="C17" activePane="bottomRight" state="frozen"/>
      <selection pane="topRight" activeCell="C1" sqref="C1"/>
      <selection pane="bottomLeft" activeCell="A10" sqref="A10"/>
      <selection pane="bottomRight" activeCell="B4" sqref="B4"/>
    </sheetView>
  </sheetViews>
  <sheetFormatPr defaultRowHeight="15"/>
  <cols>
    <col min="1" max="1" width="11" customWidth="1"/>
    <col min="2" max="2" width="70.7109375" style="1" customWidth="1"/>
    <col min="3" max="3" width="12.7109375" style="2" customWidth="1"/>
    <col min="4" max="4" width="12.7109375" style="260" customWidth="1"/>
    <col min="5" max="5" width="7.7109375" style="68"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F1" s="275"/>
      <c r="G1" s="269" t="s">
        <v>679</v>
      </c>
      <c r="X1" s="261"/>
    </row>
    <row r="2" spans="1:24">
      <c r="F2" s="276" t="s">
        <v>680</v>
      </c>
      <c r="G2" s="269" t="s">
        <v>681</v>
      </c>
      <c r="X2" s="261"/>
    </row>
    <row r="3" spans="1:24" ht="15.75" thickBot="1">
      <c r="F3" s="277" t="s">
        <v>682</v>
      </c>
      <c r="G3" s="269" t="s">
        <v>683</v>
      </c>
      <c r="X3" s="261"/>
    </row>
    <row r="4" spans="1:24" ht="15.75" thickBot="1">
      <c r="B4" s="262" t="s">
        <v>684</v>
      </c>
      <c r="F4" s="278"/>
      <c r="G4" s="270" t="s">
        <v>685</v>
      </c>
      <c r="H4" s="2323" t="s">
        <v>687</v>
      </c>
      <c r="I4" s="2324"/>
      <c r="J4" s="2319" t="s">
        <v>686</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t="s">
        <v>245</v>
      </c>
      <c r="I5" s="2322"/>
      <c r="J5" s="2321" t="s">
        <v>1265</v>
      </c>
      <c r="K5" s="2322"/>
      <c r="L5" s="2321"/>
      <c r="M5" s="2322"/>
      <c r="N5" s="2321"/>
      <c r="O5" s="2322"/>
      <c r="P5" s="2333"/>
      <c r="Q5" s="2334"/>
      <c r="R5" s="2333"/>
      <c r="S5" s="2334"/>
      <c r="X5" s="261"/>
    </row>
    <row r="6" spans="1:24">
      <c r="A6" s="1082" t="s">
        <v>700</v>
      </c>
      <c r="B6" s="1196" t="s">
        <v>244</v>
      </c>
      <c r="C6" s="415"/>
      <c r="D6" s="416"/>
      <c r="E6" s="417"/>
      <c r="F6" s="418"/>
      <c r="G6" s="419" t="s">
        <v>702</v>
      </c>
      <c r="H6" s="2325" t="s">
        <v>1266</v>
      </c>
      <c r="I6" s="2326"/>
      <c r="J6" s="2325" t="s">
        <v>1267</v>
      </c>
      <c r="K6" s="2326"/>
      <c r="L6" s="2325"/>
      <c r="M6" s="2326"/>
      <c r="N6" s="2325"/>
      <c r="O6" s="2326"/>
      <c r="P6" s="2313"/>
      <c r="Q6" s="2314"/>
      <c r="R6" s="2313"/>
      <c r="S6" s="2314"/>
      <c r="X6" s="261"/>
    </row>
    <row r="7" spans="1:24">
      <c r="A7" s="1082" t="s">
        <v>706</v>
      </c>
      <c r="B7" s="1197" t="s">
        <v>310</v>
      </c>
      <c r="C7" s="415"/>
      <c r="D7" s="416"/>
      <c r="E7" s="417"/>
      <c r="F7" s="418"/>
      <c r="G7" s="829" t="s">
        <v>708</v>
      </c>
      <c r="H7" s="2325" t="s">
        <v>1268</v>
      </c>
      <c r="I7" s="2326"/>
      <c r="J7" s="2325" t="s">
        <v>1269</v>
      </c>
      <c r="K7" s="2326"/>
      <c r="L7" s="2325"/>
      <c r="M7" s="2326"/>
      <c r="N7" s="2325"/>
      <c r="O7" s="2326"/>
      <c r="P7" s="2313"/>
      <c r="Q7" s="2314"/>
      <c r="R7" s="2313"/>
      <c r="S7" s="2314"/>
      <c r="X7" s="261"/>
    </row>
    <row r="8" spans="1:24">
      <c r="A8" s="1082" t="s">
        <v>712</v>
      </c>
      <c r="B8" s="1198"/>
      <c r="C8" s="415"/>
      <c r="D8" s="416"/>
      <c r="E8" s="417"/>
      <c r="F8" s="418"/>
      <c r="G8" s="829" t="s">
        <v>713</v>
      </c>
      <c r="H8" s="2327" t="s">
        <v>1270</v>
      </c>
      <c r="I8" s="2328"/>
      <c r="J8" s="2327" t="s">
        <v>1271</v>
      </c>
      <c r="K8" s="2328"/>
      <c r="L8" s="2329"/>
      <c r="M8" s="2328"/>
      <c r="N8" s="2329"/>
      <c r="O8" s="2328"/>
      <c r="P8" s="2315"/>
      <c r="Q8" s="2316"/>
      <c r="R8" s="2315"/>
      <c r="S8" s="2316"/>
      <c r="X8" s="261"/>
    </row>
    <row r="9" spans="1:24" ht="15.75" thickBot="1">
      <c r="A9" s="420"/>
      <c r="B9" s="421"/>
      <c r="C9" s="23"/>
      <c r="D9" s="265"/>
      <c r="E9" s="266"/>
      <c r="F9" s="283"/>
      <c r="G9" s="284" t="s">
        <v>717</v>
      </c>
      <c r="H9" s="2317">
        <f xml:space="preserve"> I58</f>
        <v>1306500</v>
      </c>
      <c r="I9" s="2318"/>
      <c r="J9" s="2317">
        <f>K58</f>
        <v>1441500</v>
      </c>
      <c r="K9" s="2318"/>
      <c r="L9" s="2317">
        <f>M58</f>
        <v>0</v>
      </c>
      <c r="M9" s="2318"/>
      <c r="N9" s="2330">
        <f>O58</f>
        <v>0</v>
      </c>
      <c r="O9" s="2330"/>
      <c r="P9" s="2317">
        <f>Q58</f>
        <v>0</v>
      </c>
      <c r="Q9" s="2318"/>
      <c r="R9" s="2317">
        <f>S58</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c r="A11" s="1412"/>
      <c r="B11" s="1438" t="s">
        <v>725</v>
      </c>
      <c r="C11" s="1396"/>
      <c r="D11" s="1414"/>
      <c r="E11" s="1415"/>
      <c r="F11" s="1416"/>
      <c r="G11" s="1417"/>
      <c r="H11" s="1439"/>
      <c r="I11" s="348"/>
      <c r="J11" s="1439"/>
      <c r="K11" s="1420"/>
      <c r="L11" s="1439"/>
      <c r="M11" s="1419"/>
      <c r="N11" s="1439"/>
      <c r="O11" s="1419"/>
      <c r="P11" s="1439"/>
      <c r="Q11" s="1419"/>
      <c r="R11" s="1439"/>
      <c r="S11" s="1419"/>
    </row>
    <row r="12" spans="1:24">
      <c r="A12" s="1412"/>
      <c r="B12" s="1201" t="s">
        <v>726</v>
      </c>
      <c r="C12" s="415"/>
      <c r="D12" s="416"/>
      <c r="E12" s="417"/>
      <c r="F12" s="418"/>
      <c r="G12" s="423"/>
      <c r="H12" s="1264" t="s">
        <v>727</v>
      </c>
      <c r="I12" s="1419"/>
      <c r="J12" s="1202"/>
      <c r="K12" s="1420"/>
      <c r="L12" s="1202"/>
      <c r="M12" s="1419"/>
      <c r="N12" s="1202"/>
      <c r="O12" s="1419"/>
      <c r="P12" s="1202"/>
      <c r="Q12" s="1419"/>
      <c r="R12" s="1202"/>
      <c r="S12" s="1419"/>
    </row>
    <row r="13" spans="1:24">
      <c r="A13" s="1097"/>
      <c r="B13" s="1201" t="s">
        <v>728</v>
      </c>
      <c r="C13" s="415"/>
      <c r="D13" s="416"/>
      <c r="E13" s="417"/>
      <c r="F13" s="418"/>
      <c r="G13" s="423"/>
      <c r="H13" s="1264" t="s">
        <v>727</v>
      </c>
      <c r="I13" s="1419"/>
      <c r="J13" s="1202"/>
      <c r="K13" s="1420"/>
      <c r="L13" s="1202"/>
      <c r="M13" s="1419"/>
      <c r="N13" s="1202"/>
      <c r="O13" s="1419"/>
      <c r="P13" s="1202"/>
      <c r="Q13" s="1419"/>
      <c r="R13" s="1202"/>
      <c r="S13" s="1419"/>
    </row>
    <row r="14" spans="1:24">
      <c r="A14" s="1412"/>
      <c r="B14" s="1203" t="s">
        <v>729</v>
      </c>
      <c r="C14" s="415"/>
      <c r="D14" s="416"/>
      <c r="E14" s="417"/>
      <c r="F14" s="418"/>
      <c r="G14" s="423"/>
      <c r="H14" s="1264" t="s">
        <v>730</v>
      </c>
      <c r="I14" s="1440" t="s">
        <v>837</v>
      </c>
      <c r="J14" s="1202"/>
      <c r="K14" s="1420"/>
      <c r="L14" s="1202"/>
      <c r="M14" s="1419"/>
      <c r="N14" s="1202"/>
      <c r="O14" s="1419"/>
      <c r="P14" s="1202"/>
      <c r="Q14" s="1419"/>
      <c r="R14" s="1202"/>
      <c r="S14" s="1419"/>
    </row>
    <row r="15" spans="1:24">
      <c r="A15" s="1097"/>
      <c r="B15" s="1203" t="s">
        <v>731</v>
      </c>
      <c r="C15" s="415"/>
      <c r="D15" s="416"/>
      <c r="E15" s="417"/>
      <c r="F15" s="418"/>
      <c r="G15" s="423"/>
      <c r="H15" s="1264" t="s">
        <v>727</v>
      </c>
      <c r="I15" s="1420"/>
      <c r="J15" s="1202"/>
      <c r="K15" s="1420"/>
      <c r="L15" s="1202"/>
      <c r="M15" s="1420"/>
      <c r="N15" s="1202"/>
      <c r="O15" s="1420"/>
      <c r="P15" s="1202"/>
      <c r="Q15" s="1420"/>
      <c r="R15" s="1202"/>
      <c r="S15" s="1420"/>
    </row>
    <row r="16" spans="1:24">
      <c r="A16" s="1412"/>
      <c r="B16" s="1203" t="s">
        <v>732</v>
      </c>
      <c r="C16" s="415"/>
      <c r="D16" s="416"/>
      <c r="E16" s="417"/>
      <c r="F16" s="418"/>
      <c r="G16" s="423"/>
      <c r="H16" s="1264" t="s">
        <v>727</v>
      </c>
      <c r="I16" s="1419"/>
      <c r="J16" s="1202"/>
      <c r="K16" s="1420"/>
      <c r="L16" s="1202"/>
      <c r="M16" s="1419"/>
      <c r="N16" s="1202"/>
      <c r="O16" s="1419"/>
      <c r="P16" s="1202"/>
      <c r="Q16" s="1419"/>
      <c r="R16" s="1202"/>
      <c r="S16" s="1419"/>
    </row>
    <row r="17" spans="1:41">
      <c r="A17" s="1097"/>
      <c r="B17" s="1203" t="s">
        <v>733</v>
      </c>
      <c r="C17" s="415"/>
      <c r="D17" s="416"/>
      <c r="E17" s="417"/>
      <c r="F17" s="418"/>
      <c r="G17" s="423"/>
      <c r="H17" s="1264" t="s">
        <v>727</v>
      </c>
      <c r="I17" s="1419"/>
      <c r="J17" s="1202"/>
      <c r="K17" s="1420"/>
      <c r="L17" s="1202"/>
      <c r="M17" s="1419"/>
      <c r="N17" s="1202"/>
      <c r="O17" s="1419"/>
      <c r="P17" s="1202"/>
      <c r="Q17" s="1419"/>
      <c r="R17" s="1202"/>
      <c r="S17" s="1419"/>
    </row>
    <row r="18" spans="1:41">
      <c r="A18" s="1412"/>
      <c r="B18" s="726" t="s">
        <v>734</v>
      </c>
      <c r="C18" s="415"/>
      <c r="D18" s="416"/>
      <c r="E18" s="417"/>
      <c r="F18" s="418"/>
      <c r="G18" s="423"/>
      <c r="H18" s="1264" t="s">
        <v>730</v>
      </c>
      <c r="I18" s="1419"/>
      <c r="J18" s="1202"/>
      <c r="K18" s="1420"/>
      <c r="L18" s="1202"/>
      <c r="M18" s="1419"/>
      <c r="N18" s="1202"/>
      <c r="O18" s="1419"/>
      <c r="P18" s="1202"/>
      <c r="Q18" s="1419"/>
      <c r="R18" s="1202"/>
      <c r="S18" s="1419"/>
    </row>
    <row r="19" spans="1:41">
      <c r="A19" s="1412"/>
      <c r="B19" s="1099" t="s">
        <v>736</v>
      </c>
      <c r="C19" s="415"/>
      <c r="D19" s="416"/>
      <c r="E19" s="417"/>
      <c r="F19" s="418"/>
      <c r="G19" s="423"/>
      <c r="H19" s="1202"/>
      <c r="I19" s="1419"/>
      <c r="J19" s="1202"/>
      <c r="K19" s="1420"/>
      <c r="L19" s="1202"/>
      <c r="M19" s="1419"/>
      <c r="N19" s="1202"/>
      <c r="O19" s="1419"/>
      <c r="P19" s="1202"/>
      <c r="Q19" s="1419"/>
      <c r="R19" s="1202"/>
      <c r="S19" s="1419"/>
    </row>
    <row r="20" spans="1:41">
      <c r="A20" s="1097"/>
      <c r="B20" s="1441" t="s">
        <v>737</v>
      </c>
      <c r="C20" s="424"/>
      <c r="D20" s="448"/>
      <c r="E20" s="449"/>
      <c r="F20" s="426"/>
      <c r="G20" s="427"/>
      <c r="H20" s="1101"/>
      <c r="I20" s="1422">
        <f>1100000+100000</f>
        <v>1200000</v>
      </c>
      <c r="J20" s="1101"/>
      <c r="K20" s="1423">
        <v>1353500</v>
      </c>
      <c r="L20" s="1101"/>
      <c r="M20" s="1422"/>
      <c r="N20" s="1101"/>
      <c r="O20" s="1422"/>
      <c r="P20" s="1101"/>
      <c r="Q20" s="1422"/>
      <c r="R20" s="1101"/>
      <c r="S20" s="1422"/>
    </row>
    <row r="21" spans="1:41">
      <c r="A21" s="1412"/>
      <c r="B21" s="1424"/>
      <c r="C21" s="23"/>
      <c r="D21" s="265"/>
      <c r="E21" s="266"/>
      <c r="F21" s="280"/>
      <c r="G21" s="274"/>
      <c r="H21" s="1202"/>
      <c r="I21" s="428"/>
      <c r="J21" s="1202"/>
      <c r="K21" s="428"/>
      <c r="L21" s="1202"/>
      <c r="M21" s="428"/>
      <c r="N21" s="1202"/>
      <c r="O21" s="428"/>
      <c r="P21" s="1202"/>
      <c r="Q21" s="428"/>
      <c r="R21" s="1202"/>
      <c r="S21" s="428"/>
    </row>
    <row r="22" spans="1:41">
      <c r="A22" s="1412"/>
      <c r="B22" s="351" t="s">
        <v>1272</v>
      </c>
      <c r="C22" s="23"/>
      <c r="D22" s="265"/>
      <c r="E22" s="266"/>
      <c r="F22" s="280"/>
      <c r="G22" s="274"/>
      <c r="H22" s="1202"/>
      <c r="I22" s="428"/>
      <c r="J22" s="1202"/>
      <c r="K22" s="461"/>
      <c r="L22" s="1202"/>
      <c r="M22" s="428"/>
      <c r="N22" s="1202"/>
      <c r="O22" s="461"/>
      <c r="P22" s="1202"/>
      <c r="Q22" s="461"/>
      <c r="R22" s="1202"/>
      <c r="S22" s="428"/>
    </row>
    <row r="23" spans="1:41" s="69" customFormat="1" ht="30">
      <c r="A23" s="1097"/>
      <c r="B23" s="1448" t="s">
        <v>1273</v>
      </c>
      <c r="C23" s="415"/>
      <c r="D23" s="416"/>
      <c r="E23" s="417"/>
      <c r="F23" s="429"/>
      <c r="G23" s="423"/>
      <c r="H23" s="1202"/>
      <c r="I23" s="1106"/>
      <c r="J23" s="1202"/>
      <c r="K23" s="1107"/>
      <c r="L23" s="1202"/>
      <c r="M23" s="1106"/>
      <c r="N23" s="1202"/>
      <c r="O23" s="1107"/>
      <c r="P23" s="1202"/>
      <c r="Q23" s="1107"/>
      <c r="R23" s="1202"/>
      <c r="S23" s="1106"/>
      <c r="T23"/>
      <c r="U23"/>
      <c r="V23"/>
      <c r="W23"/>
      <c r="X23"/>
      <c r="Y23"/>
      <c r="Z23"/>
      <c r="AA23"/>
      <c r="AB23"/>
      <c r="AC23"/>
      <c r="AD23"/>
      <c r="AE23"/>
      <c r="AF23"/>
      <c r="AG23"/>
      <c r="AH23"/>
      <c r="AI23"/>
      <c r="AJ23"/>
      <c r="AK23"/>
      <c r="AL23"/>
      <c r="AM23"/>
      <c r="AN23"/>
      <c r="AO23"/>
    </row>
    <row r="24" spans="1:41">
      <c r="A24" s="1412"/>
      <c r="B24" s="1449" t="s">
        <v>1274</v>
      </c>
      <c r="C24" s="1396"/>
      <c r="D24" s="1443"/>
      <c r="E24" s="1415"/>
      <c r="F24" s="1401"/>
      <c r="G24" s="1402"/>
      <c r="H24" s="1202"/>
      <c r="I24" s="1419"/>
      <c r="J24" s="1202"/>
      <c r="K24" s="1419"/>
      <c r="L24" s="1202"/>
      <c r="M24" s="1419"/>
      <c r="N24" s="1202"/>
      <c r="O24" s="1419"/>
      <c r="P24" s="1202"/>
      <c r="Q24" s="1419"/>
      <c r="R24" s="1202"/>
      <c r="S24" s="1419"/>
    </row>
    <row r="25" spans="1:41">
      <c r="A25" s="1097"/>
      <c r="B25" s="1449" t="s">
        <v>1275</v>
      </c>
      <c r="C25" s="415"/>
      <c r="D25" s="450"/>
      <c r="E25" s="417"/>
      <c r="F25" s="431"/>
      <c r="G25" s="1402"/>
      <c r="H25" s="1202"/>
      <c r="I25" s="1419"/>
      <c r="J25" s="1202"/>
      <c r="K25" s="1419"/>
      <c r="L25" s="1202"/>
      <c r="M25" s="1419"/>
      <c r="N25" s="1202"/>
      <c r="O25" s="1419"/>
      <c r="P25" s="1202"/>
      <c r="Q25" s="1419"/>
      <c r="R25" s="1202"/>
      <c r="S25" s="1419"/>
    </row>
    <row r="26" spans="1:41">
      <c r="A26" s="1412"/>
      <c r="B26" s="1449" t="s">
        <v>1276</v>
      </c>
      <c r="C26" s="415"/>
      <c r="D26" s="450"/>
      <c r="E26" s="417"/>
      <c r="F26" s="431"/>
      <c r="G26" s="1402"/>
      <c r="H26" s="1202"/>
      <c r="I26" s="1419"/>
      <c r="J26" s="1202"/>
      <c r="K26" s="1419"/>
      <c r="L26" s="1202"/>
      <c r="M26" s="1419"/>
      <c r="N26" s="1202"/>
      <c r="O26" s="1419"/>
      <c r="P26" s="1202"/>
      <c r="Q26" s="1419"/>
      <c r="R26" s="1202"/>
      <c r="S26" s="1419"/>
    </row>
    <row r="27" spans="1:41">
      <c r="A27" s="1097"/>
      <c r="B27" s="1449" t="s">
        <v>1277</v>
      </c>
      <c r="C27" s="415"/>
      <c r="D27" s="450"/>
      <c r="E27" s="417"/>
      <c r="F27" s="431"/>
      <c r="G27" s="1402"/>
      <c r="H27" s="1202"/>
      <c r="I27" s="1419"/>
      <c r="J27" s="1202"/>
      <c r="K27" s="1419"/>
      <c r="L27" s="1202"/>
      <c r="M27" s="1419"/>
      <c r="N27" s="1202"/>
      <c r="O27" s="1419"/>
      <c r="P27" s="1202"/>
      <c r="Q27" s="1419"/>
      <c r="R27" s="1202"/>
      <c r="S27" s="1419"/>
    </row>
    <row r="28" spans="1:41">
      <c r="A28" s="1412"/>
      <c r="B28" s="1442"/>
      <c r="C28" s="415"/>
      <c r="D28" s="450"/>
      <c r="E28" s="417"/>
      <c r="F28" s="431"/>
      <c r="G28" s="1402"/>
      <c r="H28" s="1202"/>
      <c r="I28" s="1419"/>
      <c r="J28" s="1202"/>
      <c r="K28" s="1419"/>
      <c r="L28" s="1202"/>
      <c r="M28" s="1419"/>
      <c r="N28" s="1202"/>
      <c r="O28" s="1419"/>
      <c r="P28" s="1202"/>
      <c r="Q28" s="1419"/>
      <c r="R28" s="1202"/>
      <c r="S28" s="1419"/>
    </row>
    <row r="29" spans="1:41">
      <c r="A29" s="1097"/>
      <c r="B29" s="1442" t="s">
        <v>1278</v>
      </c>
      <c r="C29" s="415"/>
      <c r="D29" s="450">
        <v>94702</v>
      </c>
      <c r="E29" s="417" t="s">
        <v>511</v>
      </c>
      <c r="F29" s="431"/>
      <c r="G29" s="1402"/>
      <c r="H29" s="1202" t="s">
        <v>682</v>
      </c>
      <c r="I29" s="1450">
        <v>100000</v>
      </c>
      <c r="J29" s="1202" t="s">
        <v>682</v>
      </c>
      <c r="K29" s="1419"/>
      <c r="L29" s="1202"/>
      <c r="M29" s="1419"/>
      <c r="N29" s="1202"/>
      <c r="O29" s="1419"/>
      <c r="P29" s="1202"/>
      <c r="Q29" s="1419"/>
      <c r="R29" s="1202"/>
      <c r="S29" s="1419"/>
    </row>
    <row r="30" spans="1:41">
      <c r="A30" s="1412"/>
      <c r="B30" s="1442" t="s">
        <v>1279</v>
      </c>
      <c r="C30" s="415"/>
      <c r="D30" s="450">
        <v>94702</v>
      </c>
      <c r="E30" s="417" t="s">
        <v>511</v>
      </c>
      <c r="F30" s="431"/>
      <c r="G30" s="1402"/>
      <c r="H30" s="1202" t="s">
        <v>682</v>
      </c>
      <c r="I30" s="1419"/>
      <c r="J30" s="1202" t="s">
        <v>682</v>
      </c>
      <c r="K30" s="1419"/>
      <c r="L30" s="1202"/>
      <c r="M30" s="1419"/>
      <c r="N30" s="1202"/>
      <c r="O30" s="1419"/>
      <c r="P30" s="1202"/>
      <c r="Q30" s="1419"/>
      <c r="R30" s="1202"/>
      <c r="S30" s="1419"/>
    </row>
    <row r="31" spans="1:41">
      <c r="A31" s="1097"/>
      <c r="B31" s="1442" t="s">
        <v>1280</v>
      </c>
      <c r="C31" s="415"/>
      <c r="D31" s="450"/>
      <c r="E31" s="417"/>
      <c r="F31" s="431"/>
      <c r="G31" s="1402"/>
      <c r="H31" s="1202" t="s">
        <v>682</v>
      </c>
      <c r="I31" s="1419"/>
      <c r="J31" s="1202" t="s">
        <v>682</v>
      </c>
      <c r="K31" s="1419"/>
      <c r="L31" s="1202"/>
      <c r="M31" s="1419"/>
      <c r="N31" s="1202"/>
      <c r="O31" s="1419"/>
      <c r="P31" s="1202"/>
      <c r="Q31" s="1419"/>
      <c r="R31" s="1202"/>
      <c r="S31" s="1419"/>
    </row>
    <row r="32" spans="1:41">
      <c r="A32" s="1412"/>
      <c r="B32" s="1451" t="s">
        <v>1281</v>
      </c>
      <c r="C32" s="23"/>
      <c r="D32" s="345">
        <v>42</v>
      </c>
      <c r="E32" s="266" t="s">
        <v>468</v>
      </c>
      <c r="F32" s="431"/>
      <c r="G32" s="1402"/>
      <c r="H32" s="1202" t="s">
        <v>682</v>
      </c>
      <c r="I32" s="1419"/>
      <c r="J32" s="1202" t="s">
        <v>682</v>
      </c>
      <c r="K32" s="1419"/>
      <c r="L32" s="1202"/>
      <c r="M32" s="1419"/>
      <c r="N32" s="1202"/>
      <c r="O32" s="1419"/>
      <c r="P32" s="1202"/>
      <c r="Q32" s="1419"/>
      <c r="R32" s="1202"/>
      <c r="S32" s="1419"/>
    </row>
    <row r="33" spans="1:19">
      <c r="A33" s="1412"/>
      <c r="B33" s="1442" t="s">
        <v>1282</v>
      </c>
      <c r="C33" s="415"/>
      <c r="D33" s="450"/>
      <c r="E33" s="417"/>
      <c r="F33" s="431"/>
      <c r="G33" s="1402"/>
      <c r="H33" s="1202" t="s">
        <v>682</v>
      </c>
      <c r="I33" s="1419"/>
      <c r="J33" s="1202" t="s">
        <v>682</v>
      </c>
      <c r="K33" s="1419"/>
      <c r="L33" s="1202"/>
      <c r="M33" s="1419"/>
      <c r="N33" s="1202"/>
      <c r="O33" s="1419"/>
      <c r="P33" s="1202"/>
      <c r="Q33" s="1419"/>
      <c r="R33" s="1202"/>
      <c r="S33" s="1419"/>
    </row>
    <row r="34" spans="1:19">
      <c r="A34" s="1412"/>
      <c r="B34" s="1444" t="s">
        <v>1283</v>
      </c>
      <c r="C34" s="415"/>
      <c r="D34" s="450">
        <v>1652</v>
      </c>
      <c r="E34" s="417" t="s">
        <v>529</v>
      </c>
      <c r="F34" s="431"/>
      <c r="G34" s="1402"/>
      <c r="H34" s="1202"/>
      <c r="I34" s="1419"/>
      <c r="J34" s="1202"/>
      <c r="K34" s="1419"/>
      <c r="L34" s="1202"/>
      <c r="M34" s="1419"/>
      <c r="N34" s="1202"/>
      <c r="O34" s="1419"/>
      <c r="P34" s="1202"/>
      <c r="Q34" s="1419"/>
      <c r="R34" s="1202"/>
      <c r="S34" s="1419"/>
    </row>
    <row r="35" spans="1:19">
      <c r="A35" s="1412"/>
      <c r="B35" s="1444" t="s">
        <v>1284</v>
      </c>
      <c r="C35" s="415"/>
      <c r="D35" s="450">
        <v>359</v>
      </c>
      <c r="E35" s="417" t="s">
        <v>529</v>
      </c>
      <c r="F35" s="431"/>
      <c r="G35" s="1402"/>
      <c r="H35" s="1202"/>
      <c r="I35" s="1419"/>
      <c r="J35" s="1202"/>
      <c r="K35" s="1419"/>
      <c r="L35" s="1202"/>
      <c r="M35" s="1419"/>
      <c r="N35" s="1202"/>
      <c r="O35" s="1419"/>
      <c r="P35" s="1202"/>
      <c r="Q35" s="1419"/>
      <c r="R35" s="1202"/>
      <c r="S35" s="1419"/>
    </row>
    <row r="36" spans="1:19">
      <c r="A36" s="1412"/>
      <c r="B36" s="1444" t="s">
        <v>1285</v>
      </c>
      <c r="C36" s="415"/>
      <c r="D36" s="450">
        <v>946</v>
      </c>
      <c r="E36" s="417" t="s">
        <v>529</v>
      </c>
      <c r="F36" s="431"/>
      <c r="G36" s="1402"/>
      <c r="H36" s="1202"/>
      <c r="I36" s="1419"/>
      <c r="J36" s="1202"/>
      <c r="K36" s="1419"/>
      <c r="L36" s="1202"/>
      <c r="M36" s="1419"/>
      <c r="N36" s="1202"/>
      <c r="O36" s="1419"/>
      <c r="P36" s="1202"/>
      <c r="Q36" s="1419"/>
      <c r="R36" s="1202"/>
      <c r="S36" s="1419"/>
    </row>
    <row r="37" spans="1:19">
      <c r="A37" s="1097"/>
      <c r="B37" s="1442" t="s">
        <v>1286</v>
      </c>
      <c r="C37" s="415"/>
      <c r="D37" s="450">
        <v>102</v>
      </c>
      <c r="E37" s="417" t="s">
        <v>529</v>
      </c>
      <c r="F37" s="431">
        <v>250</v>
      </c>
      <c r="G37" s="1402">
        <f>F37*D37</f>
        <v>25500</v>
      </c>
      <c r="H37" s="1202" t="s">
        <v>682</v>
      </c>
      <c r="I37" s="1419"/>
      <c r="J37" s="1202" t="s">
        <v>682</v>
      </c>
      <c r="K37" s="1419"/>
      <c r="L37" s="1202"/>
      <c r="M37" s="1419"/>
      <c r="N37" s="1202"/>
      <c r="O37" s="1419"/>
      <c r="P37" s="1202"/>
      <c r="Q37" s="1419"/>
      <c r="R37" s="1202"/>
      <c r="S37" s="1419"/>
    </row>
    <row r="38" spans="1:19">
      <c r="A38" s="1412"/>
      <c r="B38" s="1113" t="s">
        <v>1287</v>
      </c>
      <c r="C38" s="23"/>
      <c r="D38" s="450"/>
      <c r="E38" s="417"/>
      <c r="F38" s="431"/>
      <c r="G38" s="1402"/>
      <c r="H38" s="1202" t="s">
        <v>682</v>
      </c>
      <c r="I38" s="1419"/>
      <c r="J38" s="1202" t="s">
        <v>682</v>
      </c>
      <c r="K38" s="1419"/>
      <c r="L38" s="1202"/>
      <c r="M38" s="1419"/>
      <c r="N38" s="1202"/>
      <c r="O38" s="1419"/>
      <c r="P38" s="1202"/>
      <c r="Q38" s="1419"/>
      <c r="R38" s="1202"/>
      <c r="S38" s="1419"/>
    </row>
    <row r="39" spans="1:19">
      <c r="A39" s="1097"/>
      <c r="B39" s="1113" t="s">
        <v>1288</v>
      </c>
      <c r="C39" s="23"/>
      <c r="D39" s="345"/>
      <c r="E39" s="266"/>
      <c r="F39" s="431"/>
      <c r="G39" s="1402"/>
      <c r="H39" s="1202" t="s">
        <v>682</v>
      </c>
      <c r="I39" s="1419"/>
      <c r="J39" s="1202" t="s">
        <v>682</v>
      </c>
      <c r="K39" s="1419"/>
      <c r="L39" s="1202"/>
      <c r="M39" s="1419"/>
      <c r="N39" s="1202"/>
      <c r="O39" s="1419"/>
      <c r="P39" s="1202"/>
      <c r="Q39" s="1419"/>
      <c r="R39" s="1202"/>
      <c r="S39" s="1419"/>
    </row>
    <row r="40" spans="1:19">
      <c r="A40" s="1412"/>
      <c r="B40" s="1113" t="s">
        <v>1289</v>
      </c>
      <c r="C40" s="23"/>
      <c r="D40" s="345">
        <v>32</v>
      </c>
      <c r="E40" s="266" t="s">
        <v>468</v>
      </c>
      <c r="F40" s="431">
        <v>250</v>
      </c>
      <c r="G40" s="1402">
        <f t="shared" ref="G40:G41" si="0">F40*D40</f>
        <v>8000</v>
      </c>
      <c r="H40" s="1202" t="s">
        <v>682</v>
      </c>
      <c r="I40" s="1419"/>
      <c r="J40" s="1202" t="s">
        <v>682</v>
      </c>
      <c r="K40" s="1419"/>
      <c r="L40" s="1202"/>
      <c r="M40" s="1419"/>
      <c r="N40" s="1202"/>
      <c r="O40" s="1419"/>
      <c r="P40" s="1202"/>
      <c r="Q40" s="1419"/>
      <c r="R40" s="1202"/>
      <c r="S40" s="1419"/>
    </row>
    <row r="41" spans="1:19">
      <c r="A41" s="1412"/>
      <c r="B41" s="1113" t="s">
        <v>1290</v>
      </c>
      <c r="C41" s="23"/>
      <c r="D41" s="345">
        <v>4</v>
      </c>
      <c r="E41" s="266" t="s">
        <v>468</v>
      </c>
      <c r="F41" s="431">
        <v>750</v>
      </c>
      <c r="G41" s="1402">
        <f t="shared" si="0"/>
        <v>3000</v>
      </c>
      <c r="H41" s="1202" t="s">
        <v>682</v>
      </c>
      <c r="I41" s="1419"/>
      <c r="J41" s="1202" t="s">
        <v>682</v>
      </c>
      <c r="K41" s="1419"/>
      <c r="L41" s="1202"/>
      <c r="M41" s="1419"/>
      <c r="N41" s="1202"/>
      <c r="O41" s="1419"/>
      <c r="P41" s="1202"/>
      <c r="Q41" s="1419"/>
      <c r="R41" s="1202"/>
      <c r="S41" s="1419"/>
    </row>
    <row r="42" spans="1:19">
      <c r="A42" s="1412"/>
      <c r="B42" s="1113"/>
      <c r="C42" s="23"/>
      <c r="D42" s="345"/>
      <c r="E42" s="266"/>
      <c r="F42" s="431"/>
      <c r="G42" s="1402"/>
      <c r="H42" s="1202"/>
      <c r="I42" s="1419"/>
      <c r="J42" s="1202"/>
      <c r="K42" s="1419"/>
      <c r="L42" s="1202"/>
      <c r="M42" s="1419"/>
      <c r="N42" s="1202"/>
      <c r="O42" s="1419"/>
      <c r="P42" s="1202"/>
      <c r="Q42" s="1419"/>
      <c r="R42" s="1202"/>
      <c r="S42" s="1419"/>
    </row>
    <row r="43" spans="1:19">
      <c r="A43" s="1412"/>
      <c r="B43" s="1113" t="s">
        <v>1291</v>
      </c>
      <c r="C43" s="23"/>
      <c r="D43" s="345"/>
      <c r="E43" s="266"/>
      <c r="F43" s="431"/>
      <c r="G43" s="1402"/>
      <c r="H43" s="1202" t="s">
        <v>682</v>
      </c>
      <c r="I43" s="1419"/>
      <c r="J43" s="1202" t="s">
        <v>682</v>
      </c>
      <c r="K43" s="1452">
        <v>88000</v>
      </c>
      <c r="L43" s="1202"/>
      <c r="M43" s="1419"/>
      <c r="N43" s="1202"/>
      <c r="O43" s="1419"/>
      <c r="P43" s="1202"/>
      <c r="Q43" s="1419"/>
      <c r="R43" s="1202"/>
      <c r="S43" s="1419"/>
    </row>
    <row r="44" spans="1:19">
      <c r="A44" s="1412"/>
      <c r="B44" s="1447" t="s">
        <v>1260</v>
      </c>
      <c r="C44" s="23"/>
      <c r="D44" s="345">
        <f>(188)*4</f>
        <v>752</v>
      </c>
      <c r="E44" s="266" t="s">
        <v>511</v>
      </c>
      <c r="F44" s="431"/>
      <c r="G44" s="1402"/>
      <c r="H44" s="1202"/>
      <c r="I44" s="1419"/>
      <c r="J44" s="1202"/>
      <c r="K44" s="1419"/>
      <c r="L44" s="1202"/>
      <c r="M44" s="1419"/>
      <c r="N44" s="1202"/>
      <c r="O44" s="1419"/>
      <c r="P44" s="1202"/>
      <c r="Q44" s="1419"/>
      <c r="R44" s="1202"/>
      <c r="S44" s="1419"/>
    </row>
    <row r="45" spans="1:19">
      <c r="A45" s="1412"/>
      <c r="B45" s="1447" t="s">
        <v>1261</v>
      </c>
      <c r="C45" s="23"/>
      <c r="D45" s="345">
        <f>574</f>
        <v>574</v>
      </c>
      <c r="E45" s="266" t="s">
        <v>511</v>
      </c>
      <c r="F45" s="431"/>
      <c r="G45" s="1402"/>
      <c r="H45" s="1202"/>
      <c r="I45" s="1419"/>
      <c r="J45" s="1202"/>
      <c r="K45" s="1419"/>
      <c r="L45" s="1202"/>
      <c r="M45" s="1419"/>
      <c r="N45" s="1202"/>
      <c r="O45" s="1419"/>
      <c r="P45" s="1202"/>
      <c r="Q45" s="1419"/>
      <c r="R45" s="1202"/>
      <c r="S45" s="1419"/>
    </row>
    <row r="46" spans="1:19">
      <c r="A46" s="1412"/>
      <c r="B46" s="1447" t="s">
        <v>1262</v>
      </c>
      <c r="C46" s="23"/>
      <c r="D46" s="345">
        <f>(133)*2</f>
        <v>266</v>
      </c>
      <c r="E46" s="266" t="s">
        <v>511</v>
      </c>
      <c r="F46" s="431"/>
      <c r="G46" s="1402"/>
      <c r="H46" s="1202"/>
      <c r="I46" s="1419"/>
      <c r="J46" s="1202"/>
      <c r="K46" s="1419"/>
      <c r="L46" s="1202"/>
      <c r="M46" s="1419"/>
      <c r="N46" s="1202"/>
      <c r="O46" s="1419"/>
      <c r="P46" s="1202"/>
      <c r="Q46" s="1419"/>
      <c r="R46" s="1202"/>
      <c r="S46" s="1419"/>
    </row>
    <row r="47" spans="1:19">
      <c r="A47" s="1412"/>
      <c r="B47" s="1113"/>
      <c r="C47" s="23"/>
      <c r="D47" s="345"/>
      <c r="E47" s="266"/>
      <c r="F47" s="431"/>
      <c r="G47" s="1402"/>
      <c r="H47" s="1202"/>
      <c r="I47" s="1419"/>
      <c r="J47" s="1202"/>
      <c r="K47" s="1419"/>
      <c r="L47" s="1202"/>
      <c r="M47" s="1419"/>
      <c r="N47" s="1202"/>
      <c r="O47" s="1419"/>
      <c r="P47" s="1202"/>
      <c r="Q47" s="1419"/>
      <c r="R47" s="1202"/>
      <c r="S47" s="1419"/>
    </row>
    <row r="48" spans="1:19">
      <c r="A48" s="1412"/>
      <c r="B48" s="1113"/>
      <c r="C48" s="23"/>
      <c r="D48" s="345"/>
      <c r="E48" s="266"/>
      <c r="F48" s="431"/>
      <c r="G48" s="1402"/>
      <c r="H48" s="1202"/>
      <c r="I48" s="1419"/>
      <c r="J48" s="1202"/>
      <c r="K48" s="1419"/>
      <c r="L48" s="1202"/>
      <c r="M48" s="1419"/>
      <c r="N48" s="1202"/>
      <c r="O48" s="1419"/>
      <c r="P48" s="1202"/>
      <c r="Q48" s="1419"/>
      <c r="R48" s="1202"/>
      <c r="S48" s="1419"/>
    </row>
    <row r="49" spans="1:19">
      <c r="A49" s="1412"/>
      <c r="B49" s="1113"/>
      <c r="C49" s="23"/>
      <c r="D49" s="345"/>
      <c r="E49" s="266"/>
      <c r="F49" s="431"/>
      <c r="G49" s="1402"/>
      <c r="H49" s="1202"/>
      <c r="I49" s="1419"/>
      <c r="J49" s="1202"/>
      <c r="K49" s="1419"/>
      <c r="L49" s="1202"/>
      <c r="M49" s="1419"/>
      <c r="N49" s="1202"/>
      <c r="O49" s="1419"/>
      <c r="P49" s="1202"/>
      <c r="Q49" s="1419"/>
      <c r="R49" s="1202"/>
      <c r="S49" s="1419"/>
    </row>
    <row r="50" spans="1:19">
      <c r="A50" s="1412"/>
      <c r="B50" s="1113"/>
      <c r="C50" s="23"/>
      <c r="D50" s="345"/>
      <c r="E50" s="266"/>
      <c r="F50" s="431"/>
      <c r="G50" s="1402"/>
      <c r="H50" s="1202"/>
      <c r="I50" s="1419"/>
      <c r="J50" s="1202"/>
      <c r="K50" s="1419"/>
      <c r="L50" s="1202"/>
      <c r="M50" s="1419"/>
      <c r="N50" s="1202"/>
      <c r="O50" s="1419"/>
      <c r="P50" s="1202"/>
      <c r="Q50" s="1419"/>
      <c r="R50" s="1202"/>
      <c r="S50" s="1419"/>
    </row>
    <row r="51" spans="1:19">
      <c r="A51" s="1412"/>
      <c r="B51" s="1113"/>
      <c r="C51" s="23"/>
      <c r="D51" s="345"/>
      <c r="E51" s="266"/>
      <c r="F51" s="431"/>
      <c r="G51" s="1402"/>
      <c r="H51" s="1202"/>
      <c r="I51" s="1419"/>
      <c r="J51" s="1202"/>
      <c r="K51" s="1419"/>
      <c r="L51" s="1202"/>
      <c r="M51" s="1419"/>
      <c r="N51" s="1202"/>
      <c r="O51" s="1419"/>
      <c r="P51" s="1202"/>
      <c r="Q51" s="1419"/>
      <c r="R51" s="1202"/>
      <c r="S51" s="1419"/>
    </row>
    <row r="52" spans="1:19">
      <c r="A52" s="1412"/>
      <c r="B52" s="1113"/>
      <c r="C52" s="23"/>
      <c r="D52" s="345"/>
      <c r="E52" s="266"/>
      <c r="F52" s="431"/>
      <c r="G52" s="830"/>
      <c r="H52" s="1202"/>
      <c r="I52" s="1419"/>
      <c r="J52" s="1202"/>
      <c r="K52" s="1419"/>
      <c r="L52" s="1202"/>
      <c r="M52" s="1419"/>
      <c r="N52" s="1202"/>
      <c r="O52" s="1419"/>
      <c r="P52" s="1202"/>
      <c r="Q52" s="1419"/>
      <c r="R52" s="1202"/>
      <c r="S52" s="1419"/>
    </row>
    <row r="53" spans="1:19" ht="15.75" thickBot="1">
      <c r="A53" s="1412"/>
      <c r="B53" s="1113"/>
      <c r="C53" s="23"/>
      <c r="D53" s="345"/>
      <c r="E53" s="266"/>
      <c r="F53" s="431"/>
      <c r="G53" s="830"/>
      <c r="H53" s="1202"/>
      <c r="I53" s="1419"/>
      <c r="J53" s="1202"/>
      <c r="K53" s="1419"/>
      <c r="L53" s="1202"/>
      <c r="M53" s="1419"/>
      <c r="N53" s="1202"/>
      <c r="O53" s="1419"/>
      <c r="P53" s="1202"/>
      <c r="Q53" s="1419"/>
      <c r="R53" s="1202"/>
      <c r="S53" s="1419"/>
    </row>
    <row r="54" spans="1:19" ht="15.75" thickTop="1">
      <c r="A54" s="296"/>
      <c r="B54" s="301"/>
      <c r="C54" s="297"/>
      <c r="D54" s="346"/>
      <c r="E54" s="349"/>
      <c r="F54" s="282" t="s">
        <v>753</v>
      </c>
      <c r="G54" s="272"/>
      <c r="H54" s="273"/>
      <c r="I54" s="273">
        <f>SUM(I11:I53)</f>
        <v>1300000</v>
      </c>
      <c r="J54" s="273"/>
      <c r="K54" s="273">
        <f>SUM(K20:K53)</f>
        <v>1441500</v>
      </c>
      <c r="L54" s="273"/>
      <c r="M54" s="273">
        <f>SUM(M11:M53)</f>
        <v>0</v>
      </c>
      <c r="N54" s="273"/>
      <c r="O54" s="273">
        <f>SUM(O11:O53)</f>
        <v>0</v>
      </c>
      <c r="P54" s="273"/>
      <c r="Q54" s="273">
        <f>SUM(Q11:Q53)</f>
        <v>0</v>
      </c>
      <c r="R54" s="273"/>
      <c r="S54" s="273">
        <f>SUM(S11:S53)</f>
        <v>0</v>
      </c>
    </row>
    <row r="55" spans="1:19">
      <c r="A55" s="1114"/>
      <c r="B55" s="1164"/>
      <c r="C55" s="432"/>
      <c r="D55" s="452"/>
      <c r="E55" s="453"/>
      <c r="F55" s="435" t="s">
        <v>754</v>
      </c>
      <c r="G55" s="436"/>
      <c r="H55" s="1395">
        <v>5.0000000000000001E-3</v>
      </c>
      <c r="I55" s="1166"/>
      <c r="J55" s="1165">
        <v>0</v>
      </c>
      <c r="K55" s="1166"/>
      <c r="L55" s="1165">
        <v>0</v>
      </c>
      <c r="M55" s="1166"/>
      <c r="N55" s="1165">
        <v>0</v>
      </c>
      <c r="O55" s="1166"/>
      <c r="P55" s="1165">
        <v>0</v>
      </c>
      <c r="Q55" s="1166"/>
      <c r="R55" s="1165">
        <v>0</v>
      </c>
      <c r="S55" s="1166"/>
    </row>
    <row r="56" spans="1:19">
      <c r="A56" s="1114"/>
      <c r="B56" s="1164"/>
      <c r="C56" s="432"/>
      <c r="D56" s="452"/>
      <c r="E56" s="453"/>
      <c r="F56" s="435" t="s">
        <v>755</v>
      </c>
      <c r="G56" s="436"/>
      <c r="H56" s="1166"/>
      <c r="I56" s="1166">
        <f>I54*H55</f>
        <v>6500</v>
      </c>
      <c r="J56" s="1166"/>
      <c r="K56" s="1166">
        <f>K54*J55</f>
        <v>0</v>
      </c>
      <c r="L56" s="1166"/>
      <c r="M56" s="1166">
        <f>M54*L55</f>
        <v>0</v>
      </c>
      <c r="N56" s="1166"/>
      <c r="O56" s="1166">
        <f>O54*N55</f>
        <v>0</v>
      </c>
      <c r="P56" s="1166"/>
      <c r="Q56" s="1166">
        <f>Q54*P55</f>
        <v>0</v>
      </c>
      <c r="R56" s="1166"/>
      <c r="S56" s="1166">
        <f>S54*R55</f>
        <v>0</v>
      </c>
    </row>
    <row r="57" spans="1:19">
      <c r="A57" s="1114"/>
      <c r="B57" s="1164"/>
      <c r="C57" s="432"/>
      <c r="D57" s="452"/>
      <c r="E57" s="453"/>
      <c r="F57" s="435"/>
      <c r="G57" s="436"/>
      <c r="H57" s="1166"/>
      <c r="I57" s="1166"/>
      <c r="J57" s="1166"/>
      <c r="K57" s="1166"/>
      <c r="L57" s="1166"/>
      <c r="M57" s="1166"/>
      <c r="N57" s="1166"/>
      <c r="O57" s="1166"/>
      <c r="P57" s="1166"/>
      <c r="Q57" s="1166"/>
      <c r="R57" s="1166"/>
      <c r="S57" s="1166"/>
    </row>
    <row r="58" spans="1:19">
      <c r="A58" s="1114"/>
      <c r="B58" s="1164"/>
      <c r="C58" s="432"/>
      <c r="D58" s="452"/>
      <c r="E58" s="453"/>
      <c r="F58" s="435" t="s">
        <v>756</v>
      </c>
      <c r="G58" s="436"/>
      <c r="H58" s="1166"/>
      <c r="I58" s="1166">
        <f>SUM(I54:I57)</f>
        <v>1306500</v>
      </c>
      <c r="J58" s="1166"/>
      <c r="K58" s="1166">
        <f>SUM(K54:K57)</f>
        <v>1441500</v>
      </c>
      <c r="L58" s="1166"/>
      <c r="M58" s="1166">
        <f>SUM(M54:M56)</f>
        <v>0</v>
      </c>
      <c r="N58" s="1166"/>
      <c r="O58" s="1166">
        <f>SUM(O54:O56)</f>
        <v>0</v>
      </c>
      <c r="P58" s="1166"/>
      <c r="Q58" s="1166">
        <f>SUM(Q54:Q56)</f>
        <v>0</v>
      </c>
      <c r="R58" s="1166"/>
      <c r="S58" s="1166">
        <f>SUM(S54:S56)</f>
        <v>0</v>
      </c>
    </row>
    <row r="59" spans="1:19">
      <c r="A59" s="1114"/>
      <c r="B59" s="1164"/>
      <c r="C59" s="432"/>
      <c r="D59" s="452"/>
      <c r="E59" s="453"/>
      <c r="F59" s="437" t="s">
        <v>757</v>
      </c>
      <c r="G59" s="438"/>
      <c r="H59" s="1167"/>
      <c r="I59" s="1167">
        <f>I58/'Area Calculations'!$G$4</f>
        <v>2.2577908039739882</v>
      </c>
      <c r="J59" s="1167"/>
      <c r="K59" s="1167">
        <f>K58/'Area Calculations'!$G$4</f>
        <v>2.4910872131102213</v>
      </c>
      <c r="L59" s="1167"/>
      <c r="M59" s="1167">
        <f>M58/'Area Calculations'!$G$4</f>
        <v>0</v>
      </c>
      <c r="N59" s="1167"/>
      <c r="O59" s="1167">
        <f>O58/'Area Calculations'!$G$4</f>
        <v>0</v>
      </c>
      <c r="P59" s="1167"/>
      <c r="Q59" s="1167">
        <f>Q58/'Area Calculations'!$G$4</f>
        <v>0</v>
      </c>
      <c r="R59" s="1167"/>
      <c r="S59" s="1167">
        <f>S58/'Area Calculations'!$G$4</f>
        <v>0</v>
      </c>
    </row>
    <row r="60" spans="1:19">
      <c r="A60" s="1114"/>
      <c r="B60" s="1164"/>
      <c r="C60" s="432"/>
      <c r="D60" s="452"/>
      <c r="E60" s="453"/>
      <c r="F60" s="437" t="s">
        <v>758</v>
      </c>
      <c r="G60" s="438"/>
      <c r="H60" s="1167"/>
      <c r="I60" s="1167">
        <f>I58/'Area Calculations'!$G$9</f>
        <v>12210.280373831776</v>
      </c>
      <c r="J60" s="1167"/>
      <c r="K60" s="1167">
        <f>K58/'Area Calculations'!$G$9</f>
        <v>13471.962616822429</v>
      </c>
      <c r="L60" s="1167"/>
      <c r="M60" s="1167">
        <f>M58/'Area Calculations'!$G$9</f>
        <v>0</v>
      </c>
      <c r="N60" s="1167"/>
      <c r="O60" s="1167">
        <f>O58/'Area Calculations'!$G$9</f>
        <v>0</v>
      </c>
      <c r="P60" s="1167"/>
      <c r="Q60" s="1167">
        <f>Q58/'Area Calculations'!$G$9</f>
        <v>0</v>
      </c>
      <c r="R60" s="1167"/>
      <c r="S60" s="1167">
        <f>S58/'Area Calculations'!$G$9</f>
        <v>0</v>
      </c>
    </row>
    <row r="61" spans="1:19" ht="15.75" thickBot="1">
      <c r="A61" s="1114"/>
      <c r="B61" s="1164"/>
      <c r="C61" s="432"/>
      <c r="D61" s="452"/>
      <c r="E61" s="453"/>
      <c r="F61" s="439"/>
      <c r="G61" s="436"/>
      <c r="H61" s="1168"/>
      <c r="I61" s="1168"/>
      <c r="J61" s="1168"/>
      <c r="K61" s="1168"/>
      <c r="L61" s="1168"/>
      <c r="M61" s="1168"/>
      <c r="N61" s="1168"/>
      <c r="O61" s="1168"/>
      <c r="P61" s="1168"/>
      <c r="Q61" s="1168"/>
      <c r="R61" s="1168"/>
      <c r="S61" s="1168"/>
    </row>
    <row r="62" spans="1:19" ht="16.5" thickTop="1" thickBot="1">
      <c r="A62" s="2331" t="s">
        <v>759</v>
      </c>
      <c r="B62" s="2332"/>
      <c r="C62" s="298"/>
      <c r="D62" s="347"/>
      <c r="E62" s="350"/>
      <c r="F62" s="12"/>
      <c r="G62" s="26"/>
      <c r="H62" s="20"/>
      <c r="I62" s="20"/>
      <c r="J62" s="24"/>
      <c r="K62" s="20"/>
      <c r="L62" s="20"/>
      <c r="M62" s="20"/>
      <c r="N62" s="20"/>
      <c r="O62" s="20"/>
      <c r="P62" s="20"/>
      <c r="Q62" s="20"/>
      <c r="R62" s="20"/>
      <c r="S62" s="20"/>
    </row>
    <row r="63" spans="1:19" ht="15.75" thickTop="1">
      <c r="A63" s="1403"/>
      <c r="B63" s="1105"/>
      <c r="C63" s="1396"/>
      <c r="D63" s="1414"/>
      <c r="E63" s="1415"/>
      <c r="F63" s="1435"/>
      <c r="G63" s="1404"/>
      <c r="H63" s="1406"/>
      <c r="I63" s="1406"/>
      <c r="J63" s="1405"/>
      <c r="K63" s="1406"/>
      <c r="L63" s="1406"/>
      <c r="M63" s="1406"/>
      <c r="N63" s="1406"/>
      <c r="O63" s="1406"/>
      <c r="P63" s="1406"/>
      <c r="Q63" s="1406"/>
      <c r="R63" s="1406"/>
      <c r="S63" s="1406"/>
    </row>
    <row r="64" spans="1:19">
      <c r="A64" s="1403"/>
      <c r="B64" s="1105"/>
      <c r="C64" s="1396"/>
      <c r="D64" s="1414"/>
      <c r="E64" s="1415"/>
      <c r="F64" s="1435"/>
      <c r="G64" s="1404"/>
      <c r="H64" s="1406"/>
      <c r="I64" s="1406"/>
      <c r="J64" s="1405"/>
      <c r="K64" s="1406"/>
      <c r="L64" s="1406"/>
      <c r="M64" s="1406"/>
      <c r="N64" s="1406"/>
      <c r="O64" s="1406"/>
      <c r="P64" s="1406"/>
      <c r="Q64" s="1406"/>
      <c r="R64" s="1406"/>
      <c r="S64" s="1406"/>
    </row>
    <row r="65" spans="1:34" ht="15.75" thickBot="1">
      <c r="A65" s="1403"/>
      <c r="B65" s="1105"/>
      <c r="C65" s="1396"/>
      <c r="D65" s="1414"/>
      <c r="E65" s="1415"/>
      <c r="F65" s="1435"/>
      <c r="G65" s="1404"/>
      <c r="H65" s="1406"/>
      <c r="I65" s="1406"/>
      <c r="J65" s="1405"/>
      <c r="K65" s="1406"/>
      <c r="L65" s="1406"/>
      <c r="M65" s="1406"/>
      <c r="N65" s="1406"/>
      <c r="O65" s="1406"/>
      <c r="P65" s="1406"/>
      <c r="Q65" s="1406"/>
      <c r="R65" s="1406"/>
      <c r="S65" s="1406"/>
    </row>
    <row r="66" spans="1:34" s="2" customFormat="1" ht="16.5" thickTop="1" thickBot="1">
      <c r="A66" s="2331" t="s">
        <v>760</v>
      </c>
      <c r="B66" s="2332"/>
      <c r="C66" s="298"/>
      <c r="D66" s="347"/>
      <c r="E66" s="350"/>
      <c r="F66" s="12"/>
      <c r="G66" s="26"/>
      <c r="H66" s="20"/>
      <c r="I66" s="20"/>
      <c r="J66" s="24"/>
      <c r="K66" s="20"/>
      <c r="L66" s="20"/>
      <c r="M66" s="20"/>
      <c r="N66" s="20"/>
      <c r="O66" s="20"/>
      <c r="P66" s="20"/>
      <c r="Q66" s="20"/>
      <c r="R66" s="20"/>
      <c r="S66" s="20"/>
      <c r="T66"/>
      <c r="U66"/>
      <c r="V66"/>
      <c r="W66"/>
      <c r="X66"/>
      <c r="Y66"/>
      <c r="Z66"/>
      <c r="AA66"/>
      <c r="AB66"/>
      <c r="AC66"/>
      <c r="AD66"/>
      <c r="AE66"/>
      <c r="AF66"/>
      <c r="AG66"/>
      <c r="AH66"/>
    </row>
    <row r="67" spans="1:34" s="2" customFormat="1" ht="15.75" thickTop="1">
      <c r="A67" s="1403"/>
      <c r="B67" s="1105"/>
      <c r="C67" s="1396"/>
      <c r="D67" s="1414"/>
      <c r="E67" s="1415"/>
      <c r="F67" s="1435"/>
      <c r="G67" s="1404"/>
      <c r="H67" s="1406"/>
      <c r="I67" s="1406"/>
      <c r="J67" s="1405"/>
      <c r="K67" s="1406"/>
      <c r="L67" s="1406"/>
      <c r="M67" s="1406"/>
      <c r="N67" s="1406"/>
      <c r="O67" s="1406"/>
      <c r="P67" s="1406"/>
      <c r="Q67" s="1406"/>
      <c r="R67" s="1406"/>
      <c r="S67" s="1406"/>
      <c r="T67"/>
      <c r="U67"/>
      <c r="V67"/>
      <c r="W67"/>
      <c r="X67"/>
      <c r="Y67"/>
      <c r="Z67"/>
      <c r="AA67"/>
      <c r="AB67"/>
      <c r="AC67"/>
      <c r="AD67"/>
      <c r="AE67"/>
      <c r="AF67"/>
      <c r="AG67"/>
      <c r="AH67"/>
    </row>
    <row r="68" spans="1:34" s="2" customFormat="1">
      <c r="A68" s="1403"/>
      <c r="B68" s="1105"/>
      <c r="C68" s="1396"/>
      <c r="D68" s="1414"/>
      <c r="E68" s="1415"/>
      <c r="F68" s="1435"/>
      <c r="G68" s="1404"/>
      <c r="H68" s="1406"/>
      <c r="I68" s="1406"/>
      <c r="J68" s="1405"/>
      <c r="K68" s="1406"/>
      <c r="L68" s="1406"/>
      <c r="M68" s="1406"/>
      <c r="N68" s="1406"/>
      <c r="O68" s="1406"/>
      <c r="P68" s="1406"/>
      <c r="Q68" s="1406"/>
      <c r="R68" s="1406"/>
      <c r="S68" s="1406"/>
      <c r="T68"/>
      <c r="U68"/>
      <c r="V68"/>
      <c r="W68"/>
      <c r="X68"/>
      <c r="Y68"/>
      <c r="Z68"/>
      <c r="AA68"/>
      <c r="AB68"/>
      <c r="AC68"/>
      <c r="AD68"/>
      <c r="AE68"/>
      <c r="AF68"/>
      <c r="AG68"/>
      <c r="AH68"/>
    </row>
    <row r="69" spans="1:34" ht="15.75" thickBot="1">
      <c r="A69" s="1403"/>
      <c r="B69" s="1105"/>
      <c r="C69" s="1396"/>
      <c r="D69" s="1414"/>
      <c r="E69" s="1415"/>
      <c r="F69" s="1435"/>
      <c r="G69" s="1404"/>
      <c r="H69" s="1406"/>
      <c r="I69" s="1406"/>
      <c r="J69" s="1405"/>
      <c r="K69" s="1406"/>
      <c r="L69" s="1406"/>
      <c r="M69" s="1406"/>
      <c r="N69" s="1406"/>
      <c r="O69" s="1406"/>
      <c r="P69" s="1406"/>
      <c r="Q69" s="1406"/>
      <c r="R69" s="1406"/>
      <c r="S69" s="1406"/>
    </row>
    <row r="70" spans="1:34" s="2" customFormat="1" ht="16.5" thickTop="1" thickBot="1">
      <c r="A70" s="2331" t="s">
        <v>761</v>
      </c>
      <c r="B70" s="2332"/>
      <c r="C70" s="298"/>
      <c r="D70" s="347"/>
      <c r="E70" s="350"/>
      <c r="F70" s="12"/>
      <c r="G70" s="26"/>
      <c r="H70" s="20"/>
      <c r="I70" s="20"/>
      <c r="J70" s="24"/>
      <c r="K70" s="20"/>
      <c r="L70" s="20"/>
      <c r="M70" s="20"/>
      <c r="N70" s="20"/>
      <c r="O70" s="20"/>
      <c r="P70" s="20"/>
      <c r="Q70" s="20"/>
      <c r="R70" s="20"/>
      <c r="S70" s="20"/>
      <c r="T70"/>
      <c r="U70"/>
      <c r="V70"/>
      <c r="W70"/>
      <c r="X70"/>
      <c r="Y70"/>
      <c r="Z70"/>
      <c r="AA70"/>
      <c r="AB70"/>
      <c r="AC70"/>
      <c r="AD70"/>
      <c r="AE70"/>
      <c r="AF70"/>
      <c r="AG70"/>
      <c r="AH70"/>
    </row>
    <row r="71" spans="1:34" s="2" customFormat="1" ht="15.75" thickTop="1">
      <c r="A71" s="1403"/>
      <c r="B71" s="1105"/>
      <c r="C71" s="1396"/>
      <c r="D71" s="1414"/>
      <c r="E71" s="1415"/>
      <c r="F71" s="1435"/>
      <c r="G71" s="1404"/>
      <c r="H71" s="1406"/>
      <c r="I71" s="1406"/>
      <c r="J71" s="1405"/>
      <c r="K71" s="1406"/>
      <c r="L71" s="1406"/>
      <c r="M71" s="1406"/>
      <c r="N71" s="1406"/>
      <c r="O71" s="1406"/>
      <c r="P71" s="1406"/>
      <c r="Q71" s="1406"/>
      <c r="R71" s="1406"/>
      <c r="S71" s="1406"/>
      <c r="T71"/>
      <c r="U71"/>
      <c r="V71"/>
      <c r="W71"/>
      <c r="X71"/>
      <c r="Y71"/>
      <c r="Z71"/>
      <c r="AA71"/>
      <c r="AB71"/>
      <c r="AC71"/>
      <c r="AD71"/>
      <c r="AE71"/>
      <c r="AF71"/>
      <c r="AG71"/>
      <c r="AH71"/>
    </row>
    <row r="72" spans="1:34" s="2" customFormat="1">
      <c r="A72" s="1124"/>
      <c r="B72" s="1105"/>
      <c r="C72" s="415"/>
      <c r="D72" s="416"/>
      <c r="E72" s="417"/>
      <c r="F72" s="422"/>
      <c r="G72" s="831"/>
      <c r="H72" s="1173"/>
      <c r="I72" s="1173"/>
      <c r="J72" s="440"/>
      <c r="K72" s="1173"/>
      <c r="L72" s="1173"/>
      <c r="M72" s="1173"/>
      <c r="N72" s="1173"/>
      <c r="O72" s="1173"/>
      <c r="P72" s="1173"/>
      <c r="Q72" s="1173"/>
      <c r="R72" s="1173"/>
      <c r="S72" s="1173"/>
      <c r="T72"/>
      <c r="U72"/>
      <c r="V72"/>
      <c r="W72"/>
      <c r="X72"/>
      <c r="Y72"/>
      <c r="Z72"/>
      <c r="AA72"/>
      <c r="AB72"/>
      <c r="AC72"/>
      <c r="AD72"/>
      <c r="AE72"/>
      <c r="AF72"/>
      <c r="AG72"/>
      <c r="AH72"/>
    </row>
    <row r="73" spans="1:34" s="2" customFormat="1" ht="15.75" thickBot="1">
      <c r="A73" s="1126"/>
      <c r="B73" s="1174"/>
      <c r="C73" s="415"/>
      <c r="D73" s="416"/>
      <c r="E73" s="417"/>
      <c r="F73" s="422"/>
      <c r="G73" s="831"/>
      <c r="H73" s="1175"/>
      <c r="I73" s="1175"/>
      <c r="J73" s="441"/>
      <c r="K73" s="1175"/>
      <c r="L73" s="1175"/>
      <c r="M73" s="1175"/>
      <c r="N73" s="1175"/>
      <c r="O73" s="1175"/>
      <c r="P73" s="1175"/>
      <c r="Q73" s="1175"/>
      <c r="R73" s="1175"/>
      <c r="S73" s="1175"/>
    </row>
    <row r="74" spans="1:34" s="2" customFormat="1" ht="16.5" thickTop="1" thickBot="1">
      <c r="A74" s="2331" t="s">
        <v>762</v>
      </c>
      <c r="B74" s="2332"/>
      <c r="C74" s="298"/>
      <c r="D74" s="347"/>
      <c r="E74" s="350"/>
      <c r="F74" s="12"/>
      <c r="G74" s="26"/>
      <c r="H74" s="20"/>
      <c r="I74" s="20"/>
      <c r="J74" s="24"/>
      <c r="K74" s="20"/>
      <c r="L74" s="20"/>
      <c r="M74" s="20"/>
      <c r="N74" s="20"/>
      <c r="O74" s="20"/>
      <c r="P74" s="20"/>
      <c r="Q74" s="20"/>
      <c r="R74" s="20"/>
      <c r="S74" s="20"/>
      <c r="T74"/>
      <c r="U74"/>
      <c r="V74"/>
      <c r="W74"/>
      <c r="X74"/>
      <c r="Y74"/>
      <c r="Z74"/>
      <c r="AA74"/>
      <c r="AB74"/>
      <c r="AC74"/>
      <c r="AD74"/>
      <c r="AE74"/>
      <c r="AF74"/>
      <c r="AG74"/>
      <c r="AH74"/>
    </row>
    <row r="75" spans="1:34" ht="15.75" thickTop="1">
      <c r="A75" s="1407"/>
      <c r="B75" s="1408"/>
      <c r="C75" s="1396"/>
      <c r="D75" s="1414"/>
      <c r="E75" s="1415"/>
      <c r="F75" s="1435"/>
      <c r="G75" s="1404"/>
      <c r="H75" s="1406"/>
      <c r="I75" s="1406"/>
      <c r="J75" s="1405"/>
      <c r="K75" s="1406"/>
      <c r="L75" s="1406"/>
      <c r="M75" s="1406"/>
      <c r="N75" s="1406"/>
      <c r="O75" s="1406"/>
      <c r="P75" s="1406"/>
      <c r="Q75" s="1406"/>
      <c r="R75" s="1406"/>
      <c r="S75" s="1406"/>
      <c r="T75" s="2"/>
      <c r="U75" s="2"/>
      <c r="V75" s="2"/>
      <c r="W75" s="2"/>
      <c r="X75" s="2"/>
      <c r="Y75" s="2"/>
      <c r="Z75" s="2"/>
      <c r="AA75" s="2"/>
      <c r="AB75" s="2"/>
      <c r="AC75" s="2"/>
      <c r="AD75" s="2"/>
      <c r="AE75" s="2"/>
      <c r="AF75" s="2"/>
      <c r="AG75" s="2"/>
      <c r="AH75" s="2"/>
    </row>
    <row r="76" spans="1:34">
      <c r="A76" s="1126"/>
      <c r="B76" s="1174"/>
      <c r="C76" s="415"/>
      <c r="D76" s="416"/>
      <c r="E76" s="417"/>
      <c r="F76" s="422"/>
      <c r="G76" s="831"/>
      <c r="H76" s="1178"/>
      <c r="I76" s="1178"/>
      <c r="J76" s="442"/>
      <c r="K76" s="1178"/>
      <c r="L76" s="1178"/>
      <c r="M76" s="1178"/>
      <c r="N76" s="1178"/>
      <c r="O76" s="1178"/>
      <c r="P76" s="1178"/>
      <c r="Q76" s="1178"/>
      <c r="R76" s="1178"/>
      <c r="S76" s="1178"/>
      <c r="T76" s="2"/>
      <c r="U76" s="2"/>
      <c r="V76" s="2"/>
      <c r="W76" s="2"/>
      <c r="X76" s="2"/>
      <c r="Y76" s="2"/>
      <c r="Z76" s="2"/>
      <c r="AA76" s="2"/>
      <c r="AB76" s="2"/>
      <c r="AC76" s="2"/>
      <c r="AD76" s="2"/>
      <c r="AE76" s="2"/>
      <c r="AF76" s="2"/>
      <c r="AG76" s="2"/>
      <c r="AH76" s="2"/>
    </row>
    <row r="77" spans="1:34" ht="15.75" thickBot="1">
      <c r="A77" s="1126"/>
      <c r="B77" s="1174"/>
      <c r="C77" s="415"/>
      <c r="D77" s="416"/>
      <c r="E77" s="417"/>
      <c r="F77" s="422"/>
      <c r="G77" s="831"/>
      <c r="H77" s="1178"/>
      <c r="I77" s="1178"/>
      <c r="J77" s="442"/>
      <c r="K77" s="1178"/>
      <c r="L77" s="1178"/>
      <c r="M77" s="1178"/>
      <c r="N77" s="1178"/>
      <c r="O77" s="1178"/>
      <c r="P77" s="1178"/>
      <c r="Q77" s="1178"/>
      <c r="R77" s="1178"/>
      <c r="S77" s="1178"/>
      <c r="T77" s="2"/>
      <c r="U77" s="2"/>
      <c r="V77" s="2"/>
      <c r="W77" s="2"/>
      <c r="X77" s="2"/>
      <c r="Y77" s="2"/>
      <c r="Z77" s="2"/>
      <c r="AA77" s="2"/>
      <c r="AB77" s="2"/>
      <c r="AC77" s="2"/>
      <c r="AD77" s="2"/>
      <c r="AE77" s="2"/>
      <c r="AF77" s="2"/>
      <c r="AG77" s="2"/>
      <c r="AH77" s="2"/>
    </row>
    <row r="78" spans="1:34" ht="16.5" thickTop="1" thickBot="1">
      <c r="A78" s="2331" t="s">
        <v>763</v>
      </c>
      <c r="B78" s="2332"/>
      <c r="C78" s="298"/>
      <c r="D78" s="347"/>
      <c r="E78" s="350"/>
      <c r="F78" s="12"/>
      <c r="G78" s="26"/>
      <c r="H78" s="20"/>
      <c r="I78" s="20"/>
      <c r="J78" s="24"/>
      <c r="K78" s="20"/>
      <c r="L78" s="20"/>
      <c r="M78" s="20"/>
      <c r="N78" s="20"/>
      <c r="O78" s="20"/>
      <c r="P78" s="20"/>
      <c r="Q78" s="20"/>
      <c r="R78" s="20"/>
      <c r="S78" s="20"/>
    </row>
    <row r="79" spans="1:34" ht="15.75" thickTop="1">
      <c r="A79" s="1124"/>
      <c r="B79" s="1105" t="s">
        <v>764</v>
      </c>
      <c r="C79" s="415"/>
      <c r="D79" s="416"/>
      <c r="E79" s="417"/>
      <c r="F79" s="422"/>
      <c r="G79" s="831"/>
      <c r="H79" s="1178"/>
      <c r="I79" s="1178"/>
      <c r="J79" s="442"/>
      <c r="K79" s="1178"/>
      <c r="L79" s="1178"/>
      <c r="M79" s="1178"/>
      <c r="N79" s="1178"/>
      <c r="O79" s="1178"/>
      <c r="P79" s="1178"/>
      <c r="Q79" s="1178"/>
      <c r="R79" s="1178"/>
      <c r="S79" s="1178"/>
    </row>
    <row r="80" spans="1:34">
      <c r="A80" s="1124"/>
      <c r="B80" s="1105" t="s">
        <v>765</v>
      </c>
      <c r="C80" s="415"/>
      <c r="D80" s="416"/>
      <c r="E80" s="417"/>
      <c r="F80" s="422"/>
      <c r="G80" s="831"/>
      <c r="H80" s="1178"/>
      <c r="I80" s="1178"/>
      <c r="J80" s="442"/>
      <c r="K80" s="1178"/>
      <c r="L80" s="1178"/>
      <c r="M80" s="1178"/>
      <c r="N80" s="1178"/>
      <c r="O80" s="1178"/>
      <c r="P80" s="1178"/>
      <c r="Q80" s="1178"/>
      <c r="R80" s="1178"/>
      <c r="S80" s="1178"/>
    </row>
    <row r="81" spans="1:19">
      <c r="A81" s="1124"/>
      <c r="B81" s="1105" t="s">
        <v>766</v>
      </c>
      <c r="C81" s="415"/>
      <c r="D81" s="416"/>
      <c r="E81" s="417"/>
      <c r="F81" s="422"/>
      <c r="G81" s="831"/>
      <c r="H81" s="1178"/>
      <c r="I81" s="1178"/>
      <c r="J81" s="442"/>
      <c r="K81" s="1178"/>
      <c r="L81" s="1178"/>
      <c r="M81" s="1178"/>
      <c r="N81" s="1178"/>
      <c r="O81" s="1178"/>
      <c r="P81" s="1178"/>
      <c r="Q81" s="1178"/>
      <c r="R81" s="1178"/>
      <c r="S81" s="1178"/>
    </row>
    <row r="82" spans="1:19">
      <c r="A82" s="1124"/>
      <c r="B82" s="1105" t="s">
        <v>767</v>
      </c>
      <c r="C82" s="415"/>
      <c r="D82" s="416"/>
      <c r="E82" s="417"/>
      <c r="F82" s="422"/>
      <c r="G82" s="831"/>
      <c r="H82" s="1178"/>
      <c r="I82" s="1178"/>
      <c r="J82" s="442"/>
      <c r="K82" s="1178"/>
      <c r="L82" s="1178"/>
      <c r="M82" s="1178"/>
      <c r="N82" s="1178"/>
      <c r="O82" s="1178"/>
      <c r="P82" s="1178"/>
      <c r="Q82" s="1178"/>
      <c r="R82" s="1178"/>
      <c r="S82" s="1178"/>
    </row>
    <row r="83" spans="1:19" ht="15.75" thickBot="1">
      <c r="A83" s="443"/>
      <c r="B83" s="421"/>
      <c r="C83" s="23"/>
      <c r="D83" s="265"/>
      <c r="E83" s="266"/>
      <c r="F83" s="86"/>
      <c r="G83" s="27"/>
      <c r="H83" s="444"/>
      <c r="I83" s="444"/>
      <c r="J83" s="25"/>
      <c r="K83" s="444"/>
      <c r="L83" s="444"/>
      <c r="M83" s="444"/>
      <c r="N83" s="444"/>
      <c r="O83" s="444"/>
      <c r="P83" s="444"/>
      <c r="Q83" s="444"/>
      <c r="R83" s="444"/>
      <c r="S83" s="444"/>
    </row>
    <row r="84" spans="1:19" ht="16.5" thickTop="1" thickBot="1">
      <c r="A84" s="72" t="s">
        <v>768</v>
      </c>
      <c r="B84" s="73"/>
      <c r="C84" s="298"/>
      <c r="D84" s="347"/>
      <c r="E84" s="350"/>
      <c r="F84" s="12"/>
      <c r="G84" s="26"/>
      <c r="H84" s="20"/>
      <c r="I84" s="20"/>
      <c r="J84" s="24"/>
      <c r="K84" s="20"/>
      <c r="L84" s="20"/>
      <c r="M84" s="20"/>
      <c r="N84" s="20"/>
      <c r="O84" s="20"/>
      <c r="P84" s="20"/>
      <c r="Q84" s="20"/>
      <c r="R84" s="20"/>
      <c r="S84" s="20"/>
    </row>
    <row r="85" spans="1:19" ht="15.75" thickTop="1">
      <c r="A85" s="1403"/>
      <c r="B85" s="1409" t="s">
        <v>769</v>
      </c>
      <c r="C85" s="1396"/>
      <c r="D85" s="1414"/>
      <c r="E85" s="1415"/>
      <c r="F85" s="1435"/>
      <c r="G85" s="1404"/>
      <c r="H85" s="1411"/>
      <c r="I85" s="1411"/>
      <c r="J85" s="1410"/>
      <c r="K85" s="1411"/>
      <c r="L85" s="1411"/>
      <c r="M85" s="1411"/>
      <c r="N85" s="1411"/>
      <c r="O85" s="1411"/>
      <c r="P85" s="1411"/>
      <c r="Q85" s="1411"/>
      <c r="R85" s="1411"/>
      <c r="S85" s="1411"/>
    </row>
    <row r="86" spans="1:19">
      <c r="A86" s="1124"/>
      <c r="B86" s="1105" t="s">
        <v>770</v>
      </c>
      <c r="C86" s="415"/>
      <c r="D86" s="416"/>
      <c r="E86" s="417"/>
      <c r="F86" s="422"/>
      <c r="G86" s="831"/>
      <c r="H86" s="1182"/>
      <c r="I86" s="1182"/>
      <c r="J86" s="445"/>
      <c r="K86" s="1182"/>
      <c r="L86" s="1182"/>
      <c r="M86" s="1182"/>
      <c r="N86" s="1182"/>
      <c r="O86" s="1182"/>
      <c r="P86" s="1182"/>
      <c r="Q86" s="1182"/>
      <c r="R86" s="1182"/>
      <c r="S86" s="1182"/>
    </row>
    <row r="87" spans="1:19" ht="15.75" thickBot="1">
      <c r="A87" s="1376"/>
      <c r="B87" s="1377" t="s">
        <v>771</v>
      </c>
      <c r="C87" s="1378"/>
      <c r="D87" s="1436"/>
      <c r="E87" s="1437"/>
      <c r="F87" s="1379"/>
      <c r="G87" s="1380"/>
      <c r="H87" s="1382"/>
      <c r="I87" s="1382"/>
      <c r="J87" s="1381"/>
      <c r="K87" s="1382"/>
      <c r="L87" s="1382"/>
      <c r="M87" s="1382"/>
      <c r="N87" s="1382"/>
      <c r="O87" s="1382"/>
      <c r="P87" s="1382"/>
      <c r="Q87" s="1382"/>
      <c r="R87" s="1382"/>
      <c r="S87" s="1382"/>
    </row>
    <row r="88" spans="1:19" ht="16.5" thickTop="1" thickBot="1">
      <c r="F88" s="2"/>
      <c r="G88" s="2"/>
      <c r="H88" s="2"/>
      <c r="I88" s="2"/>
      <c r="J88" s="2"/>
      <c r="K88" s="2"/>
      <c r="L88" s="2"/>
      <c r="M88" s="2"/>
      <c r="N88" s="2"/>
      <c r="O88" s="2"/>
      <c r="P88" s="2"/>
      <c r="Q88" s="2"/>
      <c r="R88" s="2"/>
      <c r="S88" s="2"/>
    </row>
    <row r="89" spans="1:19" ht="16.5" thickTop="1" thickBot="1">
      <c r="A89" s="37" t="s">
        <v>772</v>
      </c>
      <c r="B89" s="39"/>
      <c r="F89" s="2"/>
      <c r="G89" s="2"/>
      <c r="H89" s="2"/>
      <c r="I89" s="2"/>
      <c r="J89" s="2"/>
      <c r="K89" s="2"/>
      <c r="L89" s="2"/>
      <c r="M89" s="2"/>
      <c r="N89" s="2"/>
      <c r="O89" s="2"/>
      <c r="P89" s="2"/>
      <c r="Q89" s="2"/>
      <c r="R89" s="2"/>
      <c r="S89" s="2"/>
    </row>
    <row r="90" spans="1:19" ht="15.75" thickTop="1">
      <c r="A90" s="38" t="s">
        <v>693</v>
      </c>
      <c r="B90" s="1453" t="str">
        <f>H5</f>
        <v>Jenkins Roofing</v>
      </c>
      <c r="F90" s="2"/>
      <c r="G90" s="2"/>
      <c r="H90" s="2"/>
      <c r="I90" s="2"/>
      <c r="J90" s="2"/>
      <c r="K90" s="2"/>
      <c r="L90" s="2"/>
      <c r="M90" s="2"/>
      <c r="N90" s="2"/>
      <c r="O90" s="2"/>
      <c r="P90" s="2"/>
      <c r="Q90" s="2"/>
      <c r="R90" s="2"/>
      <c r="S90" s="2"/>
    </row>
    <row r="91" spans="1:19">
      <c r="A91" s="1142" t="s">
        <v>702</v>
      </c>
      <c r="B91" s="1453" t="str">
        <f t="shared" ref="B91:B93" si="1">H6</f>
        <v>Vince Niesen</v>
      </c>
      <c r="F91" s="2"/>
      <c r="G91" s="2"/>
      <c r="H91" s="2"/>
      <c r="I91" s="2"/>
      <c r="J91" s="2"/>
      <c r="K91" s="2"/>
      <c r="L91" s="2"/>
      <c r="M91" s="2"/>
      <c r="N91" s="2"/>
      <c r="O91" s="2"/>
      <c r="P91" s="2"/>
      <c r="Q91" s="2"/>
      <c r="R91" s="2"/>
      <c r="S91" s="2"/>
    </row>
    <row r="92" spans="1:19">
      <c r="A92" s="1454" t="s">
        <v>708</v>
      </c>
      <c r="B92" s="1453" t="str">
        <f t="shared" si="1"/>
        <v>( 904 ) 304-7400</v>
      </c>
      <c r="F92" s="2"/>
      <c r="G92" s="2"/>
      <c r="H92" s="2"/>
      <c r="I92" s="2"/>
      <c r="J92" s="2"/>
      <c r="K92" s="2"/>
      <c r="L92" s="2"/>
      <c r="M92" s="2"/>
      <c r="N92" s="2"/>
      <c r="O92" s="2"/>
      <c r="P92" s="2"/>
      <c r="Q92" s="2"/>
      <c r="R92" s="2"/>
      <c r="S92" s="2"/>
    </row>
    <row r="93" spans="1:19">
      <c r="A93" s="1454" t="s">
        <v>713</v>
      </c>
      <c r="B93" s="1453" t="str">
        <f t="shared" si="1"/>
        <v>Vince@JenkinsRoofingInc.com</v>
      </c>
      <c r="F93" s="2"/>
      <c r="G93" s="2"/>
      <c r="H93" s="2"/>
      <c r="I93" s="2"/>
      <c r="J93" s="2"/>
      <c r="K93" s="2"/>
      <c r="L93" s="2"/>
      <c r="M93" s="2"/>
      <c r="N93" s="2"/>
      <c r="O93" s="2"/>
      <c r="P93" s="2"/>
      <c r="Q93" s="2"/>
      <c r="R93" s="2"/>
      <c r="S93" s="2"/>
    </row>
    <row r="94" spans="1:19" ht="15.75" thickBot="1">
      <c r="A94" s="1383" t="s">
        <v>69</v>
      </c>
      <c r="B94" s="1397">
        <f>I58</f>
        <v>1306500</v>
      </c>
      <c r="F94" s="2"/>
      <c r="G94" s="2"/>
      <c r="H94" s="2"/>
      <c r="I94" s="2"/>
      <c r="J94" s="2"/>
      <c r="K94" s="2"/>
      <c r="L94" s="2"/>
      <c r="M94" s="2"/>
      <c r="N94" s="2"/>
      <c r="O94" s="2"/>
      <c r="P94" s="2"/>
      <c r="Q94" s="2"/>
      <c r="R94" s="2"/>
      <c r="S94" s="2"/>
    </row>
  </sheetData>
  <mergeCells count="41">
    <mergeCell ref="A62:B62"/>
    <mergeCell ref="A66:B66"/>
    <mergeCell ref="A70:B70"/>
    <mergeCell ref="A74:B74"/>
    <mergeCell ref="A78:B78"/>
    <mergeCell ref="P9:Q9"/>
    <mergeCell ref="R7:S7"/>
    <mergeCell ref="R8:S8"/>
    <mergeCell ref="R9:S9"/>
    <mergeCell ref="R4:S4"/>
    <mergeCell ref="J4:K4"/>
    <mergeCell ref="H4:I4"/>
    <mergeCell ref="L4:M4"/>
    <mergeCell ref="N4:O4"/>
    <mergeCell ref="P4:Q4"/>
    <mergeCell ref="J9:K9"/>
    <mergeCell ref="H9:I9"/>
    <mergeCell ref="L9:M9"/>
    <mergeCell ref="P5:Q5"/>
    <mergeCell ref="P6:Q6"/>
    <mergeCell ref="P7:Q7"/>
    <mergeCell ref="J8:K8"/>
    <mergeCell ref="H5:I5"/>
    <mergeCell ref="H7:I7"/>
    <mergeCell ref="J7:K7"/>
    <mergeCell ref="P8:Q8"/>
    <mergeCell ref="N9:O9"/>
    <mergeCell ref="L6:M6"/>
    <mergeCell ref="N6:O6"/>
    <mergeCell ref="J5:K5"/>
    <mergeCell ref="J6:K6"/>
    <mergeCell ref="L7:M7"/>
    <mergeCell ref="N7:O7"/>
    <mergeCell ref="H8:I8"/>
    <mergeCell ref="L8:M8"/>
    <mergeCell ref="R5:S5"/>
    <mergeCell ref="R6:S6"/>
    <mergeCell ref="L5:M5"/>
    <mergeCell ref="N5:O5"/>
    <mergeCell ref="H6:I6"/>
    <mergeCell ref="N8:O8"/>
  </mergeCells>
  <conditionalFormatting sqref="H11:H19">
    <cfRule type="cellIs" dxfId="483" priority="1" operator="equal">
      <formula>"X"</formula>
    </cfRule>
    <cfRule type="cellIs" dxfId="482" priority="2" operator="equal">
      <formula>"I"</formula>
    </cfRule>
  </conditionalFormatting>
  <conditionalFormatting sqref="J11:J19 L11:L19 N11:N19 P11:P19 R11:R19 H21:H53 J21:J53 L21:L53 N21:N53 P21:P53 R21:R53">
    <cfRule type="cellIs" dxfId="481" priority="15" operator="equal">
      <formula>"X"</formula>
    </cfRule>
    <cfRule type="cellIs" dxfId="480" priority="16" operator="equal">
      <formula>"I"</formula>
    </cfRule>
  </conditionalFormatting>
  <hyperlinks>
    <hyperlink ref="B4" location="'Cost Summary'!A1" display="BACK TO SUMMARY SHEET" xr:uid="{D409B23B-B740-4147-907A-7898DC0A8480}"/>
    <hyperlink ref="J8" r:id="rId1" xr:uid="{0D660F3B-3743-464F-815E-D3789D1967FB}"/>
    <hyperlink ref="H8" r:id="rId2" xr:uid="{3C997C58-F03F-49F1-B9BB-D6D7C9FDD467}"/>
  </hyperlinks>
  <pageMargins left="0.7" right="0.7" top="0.75" bottom="0.75" header="0.3" footer="0.3"/>
  <pageSetup scale="60" orientation="portrait" horizontalDpi="1200" verticalDpi="1200" r:id="rId3"/>
  <rowBreaks count="1" manualBreakCount="1">
    <brk id="53" max="6"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2A26-B747-4CD3-B440-51657DE4153D}">
  <sheetPr>
    <tabColor rgb="FFFF0000"/>
  </sheetPr>
  <dimension ref="A1:AO92"/>
  <sheetViews>
    <sheetView zoomScale="90" zoomScaleNormal="90" workbookViewId="0">
      <pane xSplit="2" ySplit="10" topLeftCell="C11" activePane="bottomRight" state="frozen"/>
      <selection pane="topRight" activeCell="H52" sqref="H52"/>
      <selection pane="bottomLeft" activeCell="H52" sqref="H52"/>
      <selection pane="bottomRight" activeCell="B4" sqref="B4"/>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t="s">
        <v>1292</v>
      </c>
      <c r="I5" s="2322"/>
      <c r="J5" s="2321"/>
      <c r="K5" s="2322"/>
      <c r="L5" s="2321"/>
      <c r="M5" s="2322"/>
      <c r="N5" s="2321"/>
      <c r="O5" s="2322"/>
      <c r="P5" s="2333"/>
      <c r="Q5" s="2334"/>
      <c r="R5" s="2333"/>
      <c r="S5" s="2334"/>
      <c r="X5" s="261"/>
    </row>
    <row r="6" spans="1:24">
      <c r="A6" s="1082" t="s">
        <v>700</v>
      </c>
      <c r="B6" s="1455" t="s">
        <v>312</v>
      </c>
      <c r="C6" s="415"/>
      <c r="D6" s="416"/>
      <c r="E6" s="417"/>
      <c r="F6" s="418"/>
      <c r="G6" s="419" t="s">
        <v>702</v>
      </c>
      <c r="H6" s="2325"/>
      <c r="I6" s="2326"/>
      <c r="J6" s="2325"/>
      <c r="K6" s="2326"/>
      <c r="L6" s="2325"/>
      <c r="M6" s="2326"/>
      <c r="N6" s="2325"/>
      <c r="O6" s="2326"/>
      <c r="P6" s="2313"/>
      <c r="Q6" s="2314"/>
      <c r="R6" s="2313"/>
      <c r="S6" s="2314"/>
      <c r="X6" s="261"/>
    </row>
    <row r="7" spans="1:24">
      <c r="A7" s="1082" t="s">
        <v>706</v>
      </c>
      <c r="B7" s="1456" t="s">
        <v>1293</v>
      </c>
      <c r="C7" s="415"/>
      <c r="D7" s="416"/>
      <c r="E7" s="417"/>
      <c r="F7" s="418"/>
      <c r="G7" s="829" t="s">
        <v>708</v>
      </c>
      <c r="H7" s="2325"/>
      <c r="I7" s="2326"/>
      <c r="J7" s="2325"/>
      <c r="K7" s="2326"/>
      <c r="L7" s="2325"/>
      <c r="M7" s="2326"/>
      <c r="N7" s="2325"/>
      <c r="O7" s="2326"/>
      <c r="P7" s="2313"/>
      <c r="Q7" s="2314"/>
      <c r="R7" s="2313"/>
      <c r="S7" s="2314"/>
      <c r="X7" s="261"/>
    </row>
    <row r="8" spans="1:24">
      <c r="A8" s="1082" t="s">
        <v>712</v>
      </c>
      <c r="B8" s="1457"/>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87200</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412"/>
      <c r="B11" s="1413" t="s">
        <v>725</v>
      </c>
      <c r="C11" s="1398"/>
      <c r="D11" s="1435"/>
      <c r="E11" s="1435"/>
      <c r="F11" s="1416"/>
      <c r="G11" s="1417"/>
      <c r="H11" s="1418"/>
      <c r="I11" s="1420"/>
      <c r="J11" s="1418"/>
      <c r="K11" s="285"/>
      <c r="L11" s="1418"/>
      <c r="M11" s="1419"/>
      <c r="N11" s="1418"/>
      <c r="O11" s="1419"/>
      <c r="P11" s="1418"/>
      <c r="Q11" s="1419"/>
      <c r="R11" s="1418"/>
      <c r="S11" s="1419"/>
    </row>
    <row r="12" spans="1:24">
      <c r="A12" s="1412"/>
      <c r="B12" s="1458" t="s">
        <v>726</v>
      </c>
      <c r="C12" s="446"/>
      <c r="D12" s="422"/>
      <c r="E12" s="422"/>
      <c r="F12" s="418"/>
      <c r="G12" s="423"/>
      <c r="H12" s="1459"/>
      <c r="I12" s="1420"/>
      <c r="J12" s="1459"/>
      <c r="K12" s="1419"/>
      <c r="L12" s="1459"/>
      <c r="M12" s="1419"/>
      <c r="N12" s="1459"/>
      <c r="O12" s="1419"/>
      <c r="P12" s="1459"/>
      <c r="Q12" s="1419"/>
      <c r="R12" s="1459"/>
      <c r="S12" s="1419"/>
    </row>
    <row r="13" spans="1:24">
      <c r="A13" s="1097"/>
      <c r="B13" s="1458" t="s">
        <v>728</v>
      </c>
      <c r="C13" s="446"/>
      <c r="D13" s="422"/>
      <c r="E13" s="422"/>
      <c r="F13" s="418"/>
      <c r="G13" s="423"/>
      <c r="H13" s="1459"/>
      <c r="I13" s="1420"/>
      <c r="J13" s="1459"/>
      <c r="K13" s="1419"/>
      <c r="L13" s="1459"/>
      <c r="M13" s="1419"/>
      <c r="N13" s="1459"/>
      <c r="O13" s="1419"/>
      <c r="P13" s="1459"/>
      <c r="Q13" s="1419"/>
      <c r="R13" s="1459"/>
      <c r="S13" s="1419"/>
    </row>
    <row r="14" spans="1:24">
      <c r="A14" s="1412"/>
      <c r="B14" s="1460" t="s">
        <v>729</v>
      </c>
      <c r="C14" s="446"/>
      <c r="D14" s="422"/>
      <c r="E14" s="422"/>
      <c r="F14" s="418"/>
      <c r="G14" s="423"/>
      <c r="H14" s="1459"/>
      <c r="I14" s="1420"/>
      <c r="J14" s="1459"/>
      <c r="K14" s="1419"/>
      <c r="L14" s="1459"/>
      <c r="M14" s="1419"/>
      <c r="N14" s="1459"/>
      <c r="O14" s="1419"/>
      <c r="P14" s="1459"/>
      <c r="Q14" s="1419"/>
      <c r="R14" s="1459"/>
      <c r="S14" s="1419"/>
    </row>
    <row r="15" spans="1:24">
      <c r="A15" s="1097"/>
      <c r="B15" s="1460" t="s">
        <v>731</v>
      </c>
      <c r="C15" s="446"/>
      <c r="D15" s="422"/>
      <c r="E15" s="422"/>
      <c r="F15" s="418"/>
      <c r="G15" s="423"/>
      <c r="H15" s="1459"/>
      <c r="I15" s="1420"/>
      <c r="J15" s="1459"/>
      <c r="K15" s="1420"/>
      <c r="L15" s="1459"/>
      <c r="M15" s="1420"/>
      <c r="N15" s="1459"/>
      <c r="O15" s="1420"/>
      <c r="P15" s="1459"/>
      <c r="Q15" s="1420"/>
      <c r="R15" s="1459"/>
      <c r="S15" s="1420"/>
    </row>
    <row r="16" spans="1:24">
      <c r="A16" s="1412"/>
      <c r="B16" s="1460" t="s">
        <v>732</v>
      </c>
      <c r="C16" s="446"/>
      <c r="D16" s="422"/>
      <c r="E16" s="422"/>
      <c r="F16" s="418"/>
      <c r="G16" s="423"/>
      <c r="H16" s="1459"/>
      <c r="I16" s="1420"/>
      <c r="J16" s="1459"/>
      <c r="K16" s="1419"/>
      <c r="L16" s="1459"/>
      <c r="M16" s="1419"/>
      <c r="N16" s="1459"/>
      <c r="O16" s="1419"/>
      <c r="P16" s="1459"/>
      <c r="Q16" s="1419"/>
      <c r="R16" s="1459"/>
      <c r="S16" s="1419"/>
    </row>
    <row r="17" spans="1:41">
      <c r="A17" s="1097"/>
      <c r="B17" s="1460" t="s">
        <v>733</v>
      </c>
      <c r="C17" s="446"/>
      <c r="D17" s="422"/>
      <c r="E17" s="422"/>
      <c r="F17" s="418"/>
      <c r="G17" s="423"/>
      <c r="H17" s="1459"/>
      <c r="I17" s="1420"/>
      <c r="J17" s="1459"/>
      <c r="K17" s="1419"/>
      <c r="L17" s="1459"/>
      <c r="M17" s="1419"/>
      <c r="N17" s="1459"/>
      <c r="O17" s="1419"/>
      <c r="P17" s="1459"/>
      <c r="Q17" s="1419"/>
      <c r="R17" s="1459"/>
      <c r="S17" s="1419"/>
    </row>
    <row r="18" spans="1:41">
      <c r="A18" s="1412"/>
      <c r="B18" s="1154" t="s">
        <v>736</v>
      </c>
      <c r="C18" s="446"/>
      <c r="D18" s="422"/>
      <c r="E18" s="422"/>
      <c r="F18" s="418"/>
      <c r="G18" s="423"/>
      <c r="H18" s="1459"/>
      <c r="I18" s="1420"/>
      <c r="J18" s="1459"/>
      <c r="K18" s="1419"/>
      <c r="L18" s="1459"/>
      <c r="M18" s="1419"/>
      <c r="N18" s="1459"/>
      <c r="O18" s="1419"/>
      <c r="P18" s="1459"/>
      <c r="Q18" s="1419"/>
      <c r="R18" s="1459"/>
      <c r="S18" s="1419"/>
    </row>
    <row r="19" spans="1:41">
      <c r="A19" s="1097"/>
      <c r="B19" s="1421" t="s">
        <v>737</v>
      </c>
      <c r="C19" s="447"/>
      <c r="D19" s="425"/>
      <c r="E19" s="425"/>
      <c r="F19" s="426"/>
      <c r="G19" s="427"/>
      <c r="H19" s="1156"/>
      <c r="I19" s="1423">
        <v>87200</v>
      </c>
      <c r="J19" s="1156"/>
      <c r="K19" s="1422"/>
      <c r="L19" s="1156"/>
      <c r="M19" s="1422"/>
      <c r="N19" s="1156"/>
      <c r="O19" s="1422"/>
      <c r="P19" s="1156"/>
      <c r="Q19" s="1422"/>
      <c r="R19" s="1156"/>
      <c r="S19" s="1422"/>
    </row>
    <row r="20" spans="1:41">
      <c r="A20" s="1412"/>
      <c r="B20" s="1461"/>
      <c r="C20" s="70"/>
      <c r="D20" s="86"/>
      <c r="E20" s="86"/>
      <c r="F20" s="280"/>
      <c r="G20" s="274"/>
      <c r="H20" s="1459"/>
      <c r="I20" s="428"/>
      <c r="J20" s="1459"/>
      <c r="K20" s="428"/>
      <c r="L20" s="1459"/>
      <c r="M20" s="428"/>
      <c r="N20" s="1459"/>
      <c r="O20" s="428"/>
      <c r="P20" s="1459"/>
      <c r="Q20" s="428"/>
      <c r="R20" s="1459"/>
      <c r="S20" s="428"/>
    </row>
    <row r="21" spans="1:41" s="69" customFormat="1">
      <c r="A21" s="1097"/>
      <c r="B21" s="1425" t="s">
        <v>1294</v>
      </c>
      <c r="C21" s="415"/>
      <c r="D21" s="422"/>
      <c r="E21" s="422"/>
      <c r="F21" s="429"/>
      <c r="G21" s="423"/>
      <c r="H21" s="1459"/>
      <c r="I21" s="1107"/>
      <c r="J21" s="1459"/>
      <c r="K21" s="1106"/>
      <c r="L21" s="1459"/>
      <c r="M21" s="1106"/>
      <c r="N21" s="1459"/>
      <c r="O21" s="1107"/>
      <c r="P21" s="1459"/>
      <c r="Q21" s="1107"/>
      <c r="R21" s="1459"/>
      <c r="S21" s="1106"/>
      <c r="T21"/>
      <c r="U21"/>
      <c r="V21"/>
      <c r="W21"/>
      <c r="X21"/>
      <c r="Y21"/>
      <c r="Z21"/>
      <c r="AA21"/>
      <c r="AB21"/>
      <c r="AC21"/>
      <c r="AD21"/>
      <c r="AE21"/>
      <c r="AF21"/>
      <c r="AG21"/>
      <c r="AH21"/>
      <c r="AI21"/>
      <c r="AJ21"/>
      <c r="AK21"/>
      <c r="AL21"/>
      <c r="AM21"/>
      <c r="AN21"/>
      <c r="AO21"/>
    </row>
    <row r="22" spans="1:41">
      <c r="A22" s="1412"/>
      <c r="B22" s="1425" t="s">
        <v>1295</v>
      </c>
      <c r="C22" s="1396"/>
      <c r="D22" s="1400"/>
      <c r="E22" s="1435"/>
      <c r="F22" s="1401"/>
      <c r="G22" s="1402"/>
      <c r="H22" s="1459"/>
      <c r="I22" s="1419"/>
      <c r="J22" s="1459"/>
      <c r="K22" s="1419"/>
      <c r="L22" s="1459"/>
      <c r="M22" s="1419"/>
      <c r="N22" s="1459"/>
      <c r="O22" s="1419"/>
      <c r="P22" s="1459"/>
      <c r="Q22" s="1419"/>
      <c r="R22" s="1459"/>
      <c r="S22" s="1419"/>
    </row>
    <row r="23" spans="1:41">
      <c r="A23" s="1097"/>
      <c r="B23" s="1412" t="s">
        <v>1296</v>
      </c>
      <c r="C23" s="415"/>
      <c r="D23" s="430"/>
      <c r="E23" s="422"/>
      <c r="F23" s="431"/>
      <c r="G23" s="1402"/>
      <c r="H23" s="1459"/>
      <c r="I23" s="1419"/>
      <c r="J23" s="1459"/>
      <c r="K23" s="1419"/>
      <c r="L23" s="1459"/>
      <c r="M23" s="1419"/>
      <c r="N23" s="1459"/>
      <c r="O23" s="1419"/>
      <c r="P23" s="1459"/>
      <c r="Q23" s="1419"/>
      <c r="R23" s="1459"/>
      <c r="S23" s="1419"/>
    </row>
    <row r="24" spans="1:41">
      <c r="A24" s="1412"/>
      <c r="B24" s="1425"/>
      <c r="C24" s="415"/>
      <c r="D24" s="430"/>
      <c r="E24" s="422"/>
      <c r="F24" s="431"/>
      <c r="G24" s="1402"/>
      <c r="H24" s="1459"/>
      <c r="I24" s="1419"/>
      <c r="J24" s="1459"/>
      <c r="K24" s="1419"/>
      <c r="L24" s="1459"/>
      <c r="M24" s="1419"/>
      <c r="N24" s="1459"/>
      <c r="O24" s="1419"/>
      <c r="P24" s="1459"/>
      <c r="Q24" s="1419"/>
      <c r="R24" s="1459"/>
      <c r="S24" s="1419"/>
    </row>
    <row r="25" spans="1:41">
      <c r="A25" s="1097"/>
      <c r="B25" s="1425"/>
      <c r="C25" s="415"/>
      <c r="D25" s="430"/>
      <c r="E25" s="422"/>
      <c r="F25" s="431"/>
      <c r="G25" s="1402"/>
      <c r="H25" s="1459"/>
      <c r="I25" s="1419"/>
      <c r="J25" s="1459"/>
      <c r="K25" s="1419"/>
      <c r="L25" s="1459"/>
      <c r="M25" s="1419"/>
      <c r="N25" s="1459"/>
      <c r="O25" s="1419"/>
      <c r="P25" s="1459"/>
      <c r="Q25" s="1419"/>
      <c r="R25" s="1459"/>
      <c r="S25" s="1419"/>
    </row>
    <row r="26" spans="1:41">
      <c r="A26" s="1412"/>
      <c r="B26" s="1425"/>
      <c r="C26" s="415"/>
      <c r="D26" s="430"/>
      <c r="E26" s="422"/>
      <c r="F26" s="431"/>
      <c r="G26" s="1402"/>
      <c r="H26" s="1459"/>
      <c r="I26" s="1419"/>
      <c r="J26" s="1459"/>
      <c r="K26" s="1419"/>
      <c r="L26" s="1459"/>
      <c r="M26" s="1419"/>
      <c r="N26" s="1459"/>
      <c r="O26" s="1419"/>
      <c r="P26" s="1459"/>
      <c r="Q26" s="1419"/>
      <c r="R26" s="1459"/>
      <c r="S26" s="1419"/>
    </row>
    <row r="27" spans="1:41">
      <c r="A27" s="1097"/>
      <c r="B27" s="1425"/>
      <c r="C27" s="415"/>
      <c r="D27" s="430"/>
      <c r="E27" s="422"/>
      <c r="F27" s="431"/>
      <c r="G27" s="1402"/>
      <c r="H27" s="1459"/>
      <c r="I27" s="1419"/>
      <c r="J27" s="1459"/>
      <c r="K27" s="1419"/>
      <c r="L27" s="1459"/>
      <c r="M27" s="1419"/>
      <c r="N27" s="1459"/>
      <c r="O27" s="1419"/>
      <c r="P27" s="1459"/>
      <c r="Q27" s="1419"/>
      <c r="R27" s="1459"/>
      <c r="S27" s="1419"/>
    </row>
    <row r="28" spans="1:41">
      <c r="A28" s="1412"/>
      <c r="B28" s="1412"/>
      <c r="C28" s="415"/>
      <c r="D28" s="430"/>
      <c r="E28" s="422"/>
      <c r="F28" s="431"/>
      <c r="G28" s="1402"/>
      <c r="H28" s="1459"/>
      <c r="I28" s="1419"/>
      <c r="J28" s="1459"/>
      <c r="K28" s="1419"/>
      <c r="L28" s="1459"/>
      <c r="M28" s="1419"/>
      <c r="N28" s="1459"/>
      <c r="O28" s="1419"/>
      <c r="P28" s="1459"/>
      <c r="Q28" s="1419"/>
      <c r="R28" s="1459"/>
      <c r="S28" s="1419"/>
    </row>
    <row r="29" spans="1:41">
      <c r="A29" s="1097"/>
      <c r="B29" s="1425"/>
      <c r="C29" s="415"/>
      <c r="D29" s="430"/>
      <c r="E29" s="422"/>
      <c r="F29" s="431"/>
      <c r="G29" s="1402"/>
      <c r="H29" s="1459"/>
      <c r="I29" s="1419"/>
      <c r="J29" s="1459"/>
      <c r="K29" s="1419"/>
      <c r="L29" s="1459"/>
      <c r="M29" s="1419"/>
      <c r="N29" s="1459"/>
      <c r="O29" s="1419"/>
      <c r="P29" s="1459"/>
      <c r="Q29" s="1419"/>
      <c r="R29" s="1459"/>
      <c r="S29" s="1419"/>
    </row>
    <row r="30" spans="1:41">
      <c r="A30" s="1412"/>
      <c r="B30" s="1425"/>
      <c r="C30" s="415"/>
      <c r="D30" s="430"/>
      <c r="E30" s="422"/>
      <c r="F30" s="431"/>
      <c r="G30" s="1402"/>
      <c r="H30" s="1459"/>
      <c r="I30" s="1419"/>
      <c r="J30" s="1459"/>
      <c r="K30" s="1419"/>
      <c r="L30" s="1459"/>
      <c r="M30" s="1419"/>
      <c r="N30" s="1459"/>
      <c r="O30" s="1419"/>
      <c r="P30" s="1459"/>
      <c r="Q30" s="1419"/>
      <c r="R30" s="1459"/>
      <c r="S30" s="1419"/>
    </row>
    <row r="31" spans="1:41">
      <c r="A31" s="1097"/>
      <c r="B31" s="1425"/>
      <c r="C31" s="415"/>
      <c r="D31" s="430"/>
      <c r="E31" s="422"/>
      <c r="F31" s="431"/>
      <c r="G31" s="1402"/>
      <c r="H31" s="1459"/>
      <c r="I31" s="1419"/>
      <c r="J31" s="1459"/>
      <c r="K31" s="1419"/>
      <c r="L31" s="1459"/>
      <c r="M31" s="1419"/>
      <c r="N31" s="1459"/>
      <c r="O31" s="1419"/>
      <c r="P31" s="1459"/>
      <c r="Q31" s="1419"/>
      <c r="R31" s="1459"/>
      <c r="S31" s="1419"/>
    </row>
    <row r="32" spans="1:41">
      <c r="A32" s="1412"/>
      <c r="B32" s="1163"/>
      <c r="C32" s="23"/>
      <c r="D32" s="430"/>
      <c r="E32" s="422"/>
      <c r="F32" s="431"/>
      <c r="G32" s="1402"/>
      <c r="H32" s="1459"/>
      <c r="I32" s="1419"/>
      <c r="J32" s="1459"/>
      <c r="K32" s="1419"/>
      <c r="L32" s="1459"/>
      <c r="M32" s="1419"/>
      <c r="N32" s="1459"/>
      <c r="O32" s="1419"/>
      <c r="P32" s="1459"/>
      <c r="Q32" s="1419"/>
      <c r="R32" s="1459"/>
      <c r="S32" s="1419"/>
    </row>
    <row r="33" spans="1:19">
      <c r="A33" s="1097"/>
      <c r="B33" s="1163"/>
      <c r="C33" s="23"/>
      <c r="D33" s="87"/>
      <c r="E33" s="86"/>
      <c r="F33" s="431"/>
      <c r="G33" s="1402"/>
      <c r="H33" s="1459"/>
      <c r="I33" s="1419"/>
      <c r="J33" s="1459"/>
      <c r="K33" s="1419"/>
      <c r="L33" s="1459"/>
      <c r="M33" s="1419"/>
      <c r="N33" s="1459"/>
      <c r="O33" s="1419"/>
      <c r="P33" s="1459"/>
      <c r="Q33" s="1419"/>
      <c r="R33" s="1459"/>
      <c r="S33" s="1419"/>
    </row>
    <row r="34" spans="1:19">
      <c r="A34" s="1412"/>
      <c r="B34" s="1163"/>
      <c r="C34" s="23"/>
      <c r="D34" s="87"/>
      <c r="E34" s="86"/>
      <c r="F34" s="431"/>
      <c r="G34" s="1402"/>
      <c r="H34" s="1459"/>
      <c r="I34" s="1419"/>
      <c r="J34" s="1459"/>
      <c r="K34" s="1419"/>
      <c r="L34" s="1459"/>
      <c r="M34" s="1419"/>
      <c r="N34" s="1459"/>
      <c r="O34" s="1419"/>
      <c r="P34" s="1459"/>
      <c r="Q34" s="1419"/>
      <c r="R34" s="1459"/>
      <c r="S34" s="1419"/>
    </row>
    <row r="35" spans="1:19">
      <c r="A35" s="1412"/>
      <c r="B35" s="1163" t="s">
        <v>663</v>
      </c>
      <c r="C35" s="23"/>
      <c r="D35" s="87"/>
      <c r="E35" s="86"/>
      <c r="F35" s="431"/>
      <c r="G35" s="1402"/>
      <c r="H35" s="1459"/>
      <c r="I35" s="1419"/>
      <c r="J35" s="1459"/>
      <c r="K35" s="1419"/>
      <c r="L35" s="1459"/>
      <c r="M35" s="1419"/>
      <c r="N35" s="1459"/>
      <c r="O35" s="1419"/>
      <c r="P35" s="1459"/>
      <c r="Q35" s="1419"/>
      <c r="R35" s="1459"/>
      <c r="S35" s="1419"/>
    </row>
    <row r="36" spans="1:19">
      <c r="A36" s="1412"/>
      <c r="B36" s="1163" t="s">
        <v>663</v>
      </c>
      <c r="C36" s="23"/>
      <c r="D36" s="87"/>
      <c r="E36" s="86"/>
      <c r="F36" s="431"/>
      <c r="G36" s="1402"/>
      <c r="H36" s="1459"/>
      <c r="I36" s="1419"/>
      <c r="J36" s="1459"/>
      <c r="K36" s="1419"/>
      <c r="L36" s="1459"/>
      <c r="M36" s="1419"/>
      <c r="N36" s="1459"/>
      <c r="O36" s="1419"/>
      <c r="P36" s="1459"/>
      <c r="Q36" s="1419"/>
      <c r="R36" s="1459"/>
      <c r="S36" s="1419"/>
    </row>
    <row r="37" spans="1:19">
      <c r="A37" s="1412"/>
      <c r="B37" s="1163" t="s">
        <v>663</v>
      </c>
      <c r="C37" s="23"/>
      <c r="D37" s="87"/>
      <c r="E37" s="86"/>
      <c r="F37" s="431"/>
      <c r="G37" s="1402"/>
      <c r="H37" s="1459"/>
      <c r="I37" s="1419"/>
      <c r="J37" s="1459"/>
      <c r="K37" s="1419"/>
      <c r="L37" s="1459"/>
      <c r="M37" s="1419"/>
      <c r="N37" s="1459"/>
      <c r="O37" s="1419"/>
      <c r="P37" s="1459"/>
      <c r="Q37" s="1419"/>
      <c r="R37" s="1459"/>
      <c r="S37" s="1419"/>
    </row>
    <row r="38" spans="1:19">
      <c r="A38" s="1412"/>
      <c r="B38" s="1163" t="s">
        <v>663</v>
      </c>
      <c r="C38" s="23"/>
      <c r="D38" s="87"/>
      <c r="E38" s="86"/>
      <c r="F38" s="431"/>
      <c r="G38" s="1402"/>
      <c r="H38" s="1459"/>
      <c r="I38" s="1419"/>
      <c r="J38" s="1459"/>
      <c r="K38" s="1419"/>
      <c r="L38" s="1459"/>
      <c r="M38" s="1419"/>
      <c r="N38" s="1459"/>
      <c r="O38" s="1419"/>
      <c r="P38" s="1459"/>
      <c r="Q38" s="1419"/>
      <c r="R38" s="1459"/>
      <c r="S38" s="1419"/>
    </row>
    <row r="39" spans="1:19">
      <c r="A39" s="1412"/>
      <c r="B39" s="1163" t="s">
        <v>663</v>
      </c>
      <c r="C39" s="23"/>
      <c r="D39" s="87"/>
      <c r="E39" s="86"/>
      <c r="F39" s="431"/>
      <c r="G39" s="1402"/>
      <c r="H39" s="1459"/>
      <c r="I39" s="1419"/>
      <c r="J39" s="1459"/>
      <c r="K39" s="1419"/>
      <c r="L39" s="1459"/>
      <c r="M39" s="1419"/>
      <c r="N39" s="1459"/>
      <c r="O39" s="1419"/>
      <c r="P39" s="1459"/>
      <c r="Q39" s="1419"/>
      <c r="R39" s="1459"/>
      <c r="S39" s="1419"/>
    </row>
    <row r="40" spans="1:19">
      <c r="A40" s="1412"/>
      <c r="B40" s="1163" t="s">
        <v>663</v>
      </c>
      <c r="C40" s="23"/>
      <c r="D40" s="87"/>
      <c r="E40" s="86"/>
      <c r="F40" s="431"/>
      <c r="G40" s="1402"/>
      <c r="H40" s="1459"/>
      <c r="I40" s="1419"/>
      <c r="J40" s="1459"/>
      <c r="K40" s="1419"/>
      <c r="L40" s="1459"/>
      <c r="M40" s="1419"/>
      <c r="N40" s="1459"/>
      <c r="O40" s="1419"/>
      <c r="P40" s="1459"/>
      <c r="Q40" s="1419"/>
      <c r="R40" s="1459"/>
      <c r="S40" s="1419"/>
    </row>
    <row r="41" spans="1:19">
      <c r="A41" s="1412"/>
      <c r="B41" s="1163" t="s">
        <v>663</v>
      </c>
      <c r="C41" s="23"/>
      <c r="D41" s="87"/>
      <c r="E41" s="86"/>
      <c r="F41" s="431"/>
      <c r="G41" s="1402"/>
      <c r="H41" s="1459"/>
      <c r="I41" s="1419"/>
      <c r="J41" s="1459"/>
      <c r="K41" s="1419"/>
      <c r="L41" s="1459"/>
      <c r="M41" s="1419"/>
      <c r="N41" s="1459"/>
      <c r="O41" s="1419"/>
      <c r="P41" s="1459"/>
      <c r="Q41" s="1419"/>
      <c r="R41" s="1459"/>
      <c r="S41" s="1419"/>
    </row>
    <row r="42" spans="1:19">
      <c r="A42" s="1412"/>
      <c r="B42" s="1163"/>
      <c r="C42" s="23"/>
      <c r="D42" s="87"/>
      <c r="E42" s="86"/>
      <c r="F42" s="431"/>
      <c r="G42" s="1402"/>
      <c r="H42" s="1459"/>
      <c r="I42" s="1419"/>
      <c r="J42" s="1459"/>
      <c r="K42" s="1419"/>
      <c r="L42" s="1459"/>
      <c r="M42" s="1419"/>
      <c r="N42" s="1459"/>
      <c r="O42" s="1419"/>
      <c r="P42" s="1459"/>
      <c r="Q42" s="1419"/>
      <c r="R42" s="1459"/>
      <c r="S42" s="1419"/>
    </row>
    <row r="43" spans="1:19">
      <c r="A43" s="1412"/>
      <c r="B43" s="1163"/>
      <c r="C43" s="23"/>
      <c r="D43" s="87"/>
      <c r="E43" s="86"/>
      <c r="F43" s="431"/>
      <c r="G43" s="1402"/>
      <c r="H43" s="1459"/>
      <c r="I43" s="1419"/>
      <c r="J43" s="1459"/>
      <c r="K43" s="1419"/>
      <c r="L43" s="1459"/>
      <c r="M43" s="1419"/>
      <c r="N43" s="1459"/>
      <c r="O43" s="1419"/>
      <c r="P43" s="1459"/>
      <c r="Q43" s="1419"/>
      <c r="R43" s="1459"/>
      <c r="S43" s="1419"/>
    </row>
    <row r="44" spans="1:19">
      <c r="A44" s="1412"/>
      <c r="B44" s="1163"/>
      <c r="C44" s="23"/>
      <c r="D44" s="87"/>
      <c r="E44" s="86"/>
      <c r="F44" s="431"/>
      <c r="G44" s="1402"/>
      <c r="H44" s="1459"/>
      <c r="I44" s="1419"/>
      <c r="J44" s="1459"/>
      <c r="K44" s="1419"/>
      <c r="L44" s="1459"/>
      <c r="M44" s="1419"/>
      <c r="N44" s="1459"/>
      <c r="O44" s="1419"/>
      <c r="P44" s="1459"/>
      <c r="Q44" s="1419"/>
      <c r="R44" s="1459"/>
      <c r="S44" s="1419"/>
    </row>
    <row r="45" spans="1:19">
      <c r="A45" s="1412"/>
      <c r="B45" s="1163"/>
      <c r="C45" s="23"/>
      <c r="D45" s="87"/>
      <c r="E45" s="86"/>
      <c r="F45" s="431"/>
      <c r="G45" s="1402"/>
      <c r="H45" s="1459"/>
      <c r="I45" s="1419"/>
      <c r="J45" s="1459"/>
      <c r="K45" s="1419"/>
      <c r="L45" s="1459"/>
      <c r="M45" s="1419"/>
      <c r="N45" s="1459"/>
      <c r="O45" s="1419"/>
      <c r="P45" s="1459"/>
      <c r="Q45" s="1419"/>
      <c r="R45" s="1459"/>
      <c r="S45" s="1419"/>
    </row>
    <row r="46" spans="1:19">
      <c r="A46" s="1412"/>
      <c r="B46" s="1163"/>
      <c r="C46" s="23"/>
      <c r="D46" s="87"/>
      <c r="E46" s="86"/>
      <c r="F46" s="431"/>
      <c r="G46" s="1402"/>
      <c r="H46" s="1459"/>
      <c r="I46" s="1419"/>
      <c r="J46" s="1459"/>
      <c r="K46" s="1419"/>
      <c r="L46" s="1459"/>
      <c r="M46" s="1419"/>
      <c r="N46" s="1459"/>
      <c r="O46" s="1419"/>
      <c r="P46" s="1459"/>
      <c r="Q46" s="1419"/>
      <c r="R46" s="1459"/>
      <c r="S46" s="1419"/>
    </row>
    <row r="47" spans="1:19">
      <c r="A47" s="1412"/>
      <c r="B47" s="1163"/>
      <c r="C47" s="23"/>
      <c r="D47" s="87"/>
      <c r="E47" s="86"/>
      <c r="F47" s="431"/>
      <c r="G47" s="1402"/>
      <c r="H47" s="1459"/>
      <c r="I47" s="1419"/>
      <c r="J47" s="1459"/>
      <c r="K47" s="1419"/>
      <c r="L47" s="1459"/>
      <c r="M47" s="1419"/>
      <c r="N47" s="1459"/>
      <c r="O47" s="1419"/>
      <c r="P47" s="1459"/>
      <c r="Q47" s="1419"/>
      <c r="R47" s="1459"/>
      <c r="S47" s="1419"/>
    </row>
    <row r="48" spans="1:19">
      <c r="A48" s="1412"/>
      <c r="B48" s="1163"/>
      <c r="C48" s="23"/>
      <c r="D48" s="87"/>
      <c r="E48" s="86"/>
      <c r="F48" s="431"/>
      <c r="G48" s="1402"/>
      <c r="H48" s="1459"/>
      <c r="I48" s="1419"/>
      <c r="J48" s="1459"/>
      <c r="K48" s="1419"/>
      <c r="L48" s="1459"/>
      <c r="M48" s="1419"/>
      <c r="N48" s="1459"/>
      <c r="O48" s="1419"/>
      <c r="P48" s="1459"/>
      <c r="Q48" s="1419"/>
      <c r="R48" s="1459"/>
      <c r="S48" s="1419"/>
    </row>
    <row r="49" spans="1:34">
      <c r="A49" s="1412"/>
      <c r="B49" s="1163"/>
      <c r="C49" s="23"/>
      <c r="D49" s="87"/>
      <c r="E49" s="86"/>
      <c r="F49" s="431"/>
      <c r="G49" s="830"/>
      <c r="H49" s="1459"/>
      <c r="I49" s="1419"/>
      <c r="J49" s="1459"/>
      <c r="K49" s="1419"/>
      <c r="L49" s="1459"/>
      <c r="M49" s="1419"/>
      <c r="N49" s="1459"/>
      <c r="O49" s="1419"/>
      <c r="P49" s="1459"/>
      <c r="Q49" s="1419"/>
      <c r="R49" s="1459"/>
      <c r="S49" s="1419"/>
    </row>
    <row r="50" spans="1:34" ht="15.75" thickBot="1">
      <c r="A50" s="1412"/>
      <c r="B50" s="1163"/>
      <c r="C50" s="23"/>
      <c r="D50" s="87"/>
      <c r="E50" s="86"/>
      <c r="F50" s="431"/>
      <c r="G50" s="830"/>
      <c r="H50" s="1459"/>
      <c r="I50" s="1419"/>
      <c r="J50" s="1459"/>
      <c r="K50" s="1419"/>
      <c r="L50" s="1459"/>
      <c r="M50" s="1419"/>
      <c r="N50" s="1459"/>
      <c r="O50" s="1419"/>
      <c r="P50" s="1459"/>
      <c r="Q50" s="1419"/>
      <c r="R50" s="1459"/>
      <c r="S50" s="1419"/>
    </row>
    <row r="51" spans="1:34" ht="15.75" thickTop="1">
      <c r="A51" s="296"/>
      <c r="B51" s="301"/>
      <c r="C51" s="297"/>
      <c r="D51" s="15"/>
      <c r="E51" s="16"/>
      <c r="F51" s="282" t="s">
        <v>753</v>
      </c>
      <c r="G51" s="272"/>
      <c r="H51" s="273"/>
      <c r="I51" s="273">
        <f>SUM(I11:I50)</f>
        <v>87200</v>
      </c>
      <c r="J51" s="273"/>
      <c r="K51" s="273">
        <f>SUM(K11:K50)</f>
        <v>0</v>
      </c>
      <c r="L51" s="273"/>
      <c r="M51" s="273">
        <f>SUM(M11:M50)</f>
        <v>0</v>
      </c>
      <c r="N51" s="273"/>
      <c r="O51" s="273">
        <f>SUM(O11:O50)</f>
        <v>0</v>
      </c>
      <c r="P51" s="273"/>
      <c r="Q51" s="273">
        <f>SUM(Q11:Q50)</f>
        <v>0</v>
      </c>
      <c r="R51" s="273"/>
      <c r="S51" s="273">
        <f>SUM(S11:S50)</f>
        <v>0</v>
      </c>
    </row>
    <row r="52" spans="1:34">
      <c r="A52" s="1114"/>
      <c r="B52" s="1462"/>
      <c r="C52" s="432"/>
      <c r="D52" s="433"/>
      <c r="E52" s="434"/>
      <c r="F52" s="435" t="s">
        <v>754</v>
      </c>
      <c r="G52" s="436"/>
      <c r="H52" s="1463">
        <v>0</v>
      </c>
      <c r="I52" s="1464"/>
      <c r="J52" s="1463">
        <v>0</v>
      </c>
      <c r="K52" s="1464"/>
      <c r="L52" s="1463">
        <v>0</v>
      </c>
      <c r="M52" s="1464"/>
      <c r="N52" s="1463">
        <v>0</v>
      </c>
      <c r="O52" s="1464"/>
      <c r="P52" s="1463">
        <v>0</v>
      </c>
      <c r="Q52" s="1464"/>
      <c r="R52" s="1463">
        <v>0</v>
      </c>
      <c r="S52" s="1464"/>
    </row>
    <row r="53" spans="1:34">
      <c r="A53" s="1114"/>
      <c r="B53" s="1462"/>
      <c r="C53" s="432"/>
      <c r="D53" s="433"/>
      <c r="E53" s="434"/>
      <c r="F53" s="435" t="s">
        <v>755</v>
      </c>
      <c r="G53" s="436"/>
      <c r="H53" s="1464"/>
      <c r="I53" s="1464">
        <f>I51*H52</f>
        <v>0</v>
      </c>
      <c r="J53" s="1464"/>
      <c r="K53" s="1464">
        <f>K51*J52</f>
        <v>0</v>
      </c>
      <c r="L53" s="1464"/>
      <c r="M53" s="1464">
        <f>M51*L52</f>
        <v>0</v>
      </c>
      <c r="N53" s="1464"/>
      <c r="O53" s="1464">
        <f>O51*N52</f>
        <v>0</v>
      </c>
      <c r="P53" s="1464"/>
      <c r="Q53" s="1464">
        <f>Q51*P52</f>
        <v>0</v>
      </c>
      <c r="R53" s="1464"/>
      <c r="S53" s="1464">
        <f>S51*R52</f>
        <v>0</v>
      </c>
    </row>
    <row r="54" spans="1:34">
      <c r="A54" s="1114"/>
      <c r="B54" s="1462"/>
      <c r="C54" s="432"/>
      <c r="D54" s="433"/>
      <c r="E54" s="434"/>
      <c r="F54" s="435"/>
      <c r="G54" s="436"/>
      <c r="H54" s="1464"/>
      <c r="I54" s="1464"/>
      <c r="J54" s="1464"/>
      <c r="K54" s="1464"/>
      <c r="L54" s="1464"/>
      <c r="M54" s="1464"/>
      <c r="N54" s="1464"/>
      <c r="O54" s="1464"/>
      <c r="P54" s="1464"/>
      <c r="Q54" s="1464"/>
      <c r="R54" s="1464"/>
      <c r="S54" s="1464"/>
    </row>
    <row r="55" spans="1:34">
      <c r="A55" s="1114"/>
      <c r="B55" s="1462"/>
      <c r="C55" s="432"/>
      <c r="D55" s="433"/>
      <c r="E55" s="434"/>
      <c r="F55" s="435" t="s">
        <v>756</v>
      </c>
      <c r="G55" s="436"/>
      <c r="H55" s="1464"/>
      <c r="I55" s="1464">
        <f>SUM(I51:I53)</f>
        <v>87200</v>
      </c>
      <c r="J55" s="1464"/>
      <c r="K55" s="1464">
        <f>SUM(K51:K53)</f>
        <v>0</v>
      </c>
      <c r="L55" s="1464"/>
      <c r="M55" s="1464">
        <f>SUM(M51:M53)</f>
        <v>0</v>
      </c>
      <c r="N55" s="1464"/>
      <c r="O55" s="1464">
        <f>SUM(O51:O53)</f>
        <v>0</v>
      </c>
      <c r="P55" s="1464"/>
      <c r="Q55" s="1464">
        <f>SUM(Q51:Q53)</f>
        <v>0</v>
      </c>
      <c r="R55" s="1464"/>
      <c r="S55" s="1464">
        <f>SUM(S51:S53)</f>
        <v>0</v>
      </c>
    </row>
    <row r="56" spans="1:34">
      <c r="A56" s="1114"/>
      <c r="B56" s="1462"/>
      <c r="C56" s="432"/>
      <c r="D56" s="433"/>
      <c r="E56" s="434"/>
      <c r="F56" s="437" t="s">
        <v>757</v>
      </c>
      <c r="G56" s="438"/>
      <c r="H56" s="1465"/>
      <c r="I56" s="1465">
        <f>I55/'Area Calculations'!$G$4</f>
        <v>0.15069219908651496</v>
      </c>
      <c r="J56" s="1465"/>
      <c r="K56" s="1465">
        <f>K55/'Area Calculations'!$G$4</f>
        <v>0</v>
      </c>
      <c r="L56" s="1465"/>
      <c r="M56" s="1465">
        <f>M55/'Area Calculations'!$G$4</f>
        <v>0</v>
      </c>
      <c r="N56" s="1465"/>
      <c r="O56" s="1465">
        <f>O55/'Area Calculations'!$G$4</f>
        <v>0</v>
      </c>
      <c r="P56" s="1465"/>
      <c r="Q56" s="1465">
        <f>Q55/'Area Calculations'!$G$4</f>
        <v>0</v>
      </c>
      <c r="R56" s="1465"/>
      <c r="S56" s="1465">
        <f>S55/'Area Calculations'!$G$4</f>
        <v>0</v>
      </c>
    </row>
    <row r="57" spans="1:34">
      <c r="A57" s="1114"/>
      <c r="B57" s="1462"/>
      <c r="C57" s="432"/>
      <c r="D57" s="433"/>
      <c r="E57" s="434"/>
      <c r="F57" s="437" t="s">
        <v>758</v>
      </c>
      <c r="G57" s="438"/>
      <c r="H57" s="1465"/>
      <c r="I57" s="1465">
        <f>I55/'Area Calculations'!$G$9</f>
        <v>814.95327102803742</v>
      </c>
      <c r="J57" s="1465"/>
      <c r="K57" s="1465">
        <f>K55/'Area Calculations'!$G$9</f>
        <v>0</v>
      </c>
      <c r="L57" s="1465"/>
      <c r="M57" s="1465">
        <f>M55/'Area Calculations'!$G$9</f>
        <v>0</v>
      </c>
      <c r="N57" s="1465"/>
      <c r="O57" s="1465">
        <f>O55/'Area Calculations'!$G$9</f>
        <v>0</v>
      </c>
      <c r="P57" s="1465"/>
      <c r="Q57" s="1465">
        <f>Q55/'Area Calculations'!$G$9</f>
        <v>0</v>
      </c>
      <c r="R57" s="1465"/>
      <c r="S57" s="1465">
        <f>S55/'Area Calculations'!$G$9</f>
        <v>0</v>
      </c>
    </row>
    <row r="58" spans="1:34" ht="15.75" thickBot="1">
      <c r="A58" s="1114"/>
      <c r="B58" s="1462"/>
      <c r="C58" s="432"/>
      <c r="D58" s="433"/>
      <c r="E58" s="434"/>
      <c r="F58" s="439"/>
      <c r="G58" s="436"/>
      <c r="H58" s="1466"/>
      <c r="I58" s="1466"/>
      <c r="J58" s="1466"/>
      <c r="K58" s="1466"/>
      <c r="L58" s="1466"/>
      <c r="M58" s="1466"/>
      <c r="N58" s="1466"/>
      <c r="O58" s="1466"/>
      <c r="P58" s="1466"/>
      <c r="Q58" s="1466"/>
      <c r="R58" s="1466"/>
      <c r="S58" s="1466"/>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1403"/>
      <c r="B60" s="1467"/>
      <c r="C60" s="1396"/>
      <c r="D60" s="1435"/>
      <c r="E60" s="1435"/>
      <c r="F60" s="1435"/>
      <c r="G60" s="1404"/>
      <c r="H60" s="1405"/>
      <c r="I60" s="1406"/>
      <c r="J60" s="1406"/>
      <c r="K60" s="1406"/>
      <c r="L60" s="1406"/>
      <c r="M60" s="1406"/>
      <c r="N60" s="1406"/>
      <c r="O60" s="1406"/>
      <c r="P60" s="1406"/>
      <c r="Q60" s="1406"/>
      <c r="R60" s="1406"/>
      <c r="S60" s="1406"/>
    </row>
    <row r="61" spans="1:34">
      <c r="A61" s="1403"/>
      <c r="B61" s="1467"/>
      <c r="C61" s="1396"/>
      <c r="D61" s="1435"/>
      <c r="E61" s="1435"/>
      <c r="F61" s="1435"/>
      <c r="G61" s="1404"/>
      <c r="H61" s="1405"/>
      <c r="I61" s="1406"/>
      <c r="J61" s="1406"/>
      <c r="K61" s="1406"/>
      <c r="L61" s="1406"/>
      <c r="M61" s="1406"/>
      <c r="N61" s="1406"/>
      <c r="O61" s="1406"/>
      <c r="P61" s="1406"/>
      <c r="Q61" s="1406"/>
      <c r="R61" s="1406"/>
      <c r="S61" s="1406"/>
    </row>
    <row r="62" spans="1:34" ht="15.75" thickBot="1">
      <c r="A62" s="1403"/>
      <c r="B62" s="1467"/>
      <c r="C62" s="1396"/>
      <c r="D62" s="1435"/>
      <c r="E62" s="1435"/>
      <c r="F62" s="1435"/>
      <c r="G62" s="1404"/>
      <c r="H62" s="1405"/>
      <c r="I62" s="1406"/>
      <c r="J62" s="1406"/>
      <c r="K62" s="1406"/>
      <c r="L62" s="1406"/>
      <c r="M62" s="1406"/>
      <c r="N62" s="1406"/>
      <c r="O62" s="1406"/>
      <c r="P62" s="1406"/>
      <c r="Q62" s="1406"/>
      <c r="R62" s="1406"/>
      <c r="S62" s="1406"/>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1403"/>
      <c r="B64" s="1467"/>
      <c r="C64" s="1396"/>
      <c r="D64" s="1435"/>
      <c r="E64" s="1435"/>
      <c r="F64" s="1435"/>
      <c r="G64" s="1404"/>
      <c r="H64" s="1405"/>
      <c r="I64" s="1406"/>
      <c r="J64" s="1406"/>
      <c r="K64" s="1406"/>
      <c r="L64" s="1406"/>
      <c r="M64" s="1406"/>
      <c r="N64" s="1406"/>
      <c r="O64" s="1406"/>
      <c r="P64" s="1406"/>
      <c r="Q64" s="1406"/>
      <c r="R64" s="1406"/>
      <c r="S64" s="1406"/>
      <c r="T64"/>
      <c r="U64"/>
      <c r="V64"/>
      <c r="W64"/>
      <c r="X64"/>
      <c r="Y64"/>
      <c r="Z64"/>
      <c r="AA64"/>
      <c r="AB64"/>
      <c r="AC64"/>
      <c r="AD64"/>
      <c r="AE64"/>
      <c r="AF64"/>
      <c r="AG64"/>
      <c r="AH64"/>
    </row>
    <row r="65" spans="1:34" s="2" customFormat="1">
      <c r="A65" s="1403"/>
      <c r="B65" s="1467"/>
      <c r="C65" s="1396"/>
      <c r="D65" s="1435"/>
      <c r="E65" s="1435"/>
      <c r="F65" s="1435"/>
      <c r="G65" s="1404"/>
      <c r="H65" s="1405"/>
      <c r="I65" s="1406"/>
      <c r="J65" s="1406"/>
      <c r="K65" s="1406"/>
      <c r="L65" s="1406"/>
      <c r="M65" s="1406"/>
      <c r="N65" s="1406"/>
      <c r="O65" s="1406"/>
      <c r="P65" s="1406"/>
      <c r="Q65" s="1406"/>
      <c r="R65" s="1406"/>
      <c r="S65" s="1406"/>
      <c r="T65"/>
      <c r="U65"/>
      <c r="V65"/>
      <c r="W65"/>
      <c r="X65"/>
      <c r="Y65"/>
      <c r="Z65"/>
      <c r="AA65"/>
      <c r="AB65"/>
      <c r="AC65"/>
      <c r="AD65"/>
      <c r="AE65"/>
      <c r="AF65"/>
      <c r="AG65"/>
      <c r="AH65"/>
    </row>
    <row r="66" spans="1:34" ht="15.75" thickBot="1">
      <c r="A66" s="1403"/>
      <c r="B66" s="1467"/>
      <c r="C66" s="1396"/>
      <c r="D66" s="1435"/>
      <c r="E66" s="1435"/>
      <c r="F66" s="1435"/>
      <c r="G66" s="1404"/>
      <c r="H66" s="1405"/>
      <c r="I66" s="1406"/>
      <c r="J66" s="1406"/>
      <c r="K66" s="1406"/>
      <c r="L66" s="1406"/>
      <c r="M66" s="1406"/>
      <c r="N66" s="1406"/>
      <c r="O66" s="1406"/>
      <c r="P66" s="1406"/>
      <c r="Q66" s="1406"/>
      <c r="R66" s="1406"/>
      <c r="S66" s="1406"/>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1403"/>
      <c r="B68" s="1467"/>
      <c r="C68" s="1396"/>
      <c r="D68" s="1435"/>
      <c r="E68" s="1435"/>
      <c r="F68" s="1435"/>
      <c r="G68" s="1404"/>
      <c r="H68" s="1405"/>
      <c r="I68" s="1406"/>
      <c r="J68" s="1406"/>
      <c r="K68" s="1406"/>
      <c r="L68" s="1406"/>
      <c r="M68" s="1406"/>
      <c r="N68" s="1406"/>
      <c r="O68" s="1406"/>
      <c r="P68" s="1406"/>
      <c r="Q68" s="1406"/>
      <c r="R68" s="1406"/>
      <c r="S68" s="1406"/>
      <c r="T68"/>
      <c r="U68"/>
      <c r="V68"/>
      <c r="W68"/>
      <c r="X68"/>
      <c r="Y68"/>
      <c r="Z68"/>
      <c r="AA68"/>
      <c r="AB68"/>
      <c r="AC68"/>
      <c r="AD68"/>
      <c r="AE68"/>
      <c r="AF68"/>
      <c r="AG68"/>
      <c r="AH68"/>
    </row>
    <row r="69" spans="1:34" s="2" customFormat="1">
      <c r="A69" s="1124"/>
      <c r="B69" s="1467"/>
      <c r="C69" s="415"/>
      <c r="D69" s="422"/>
      <c r="E69" s="422"/>
      <c r="F69" s="422"/>
      <c r="G69" s="831"/>
      <c r="H69" s="440"/>
      <c r="I69" s="1468"/>
      <c r="J69" s="1468"/>
      <c r="K69" s="1468"/>
      <c r="L69" s="1468"/>
      <c r="M69" s="1468"/>
      <c r="N69" s="1468"/>
      <c r="O69" s="1468"/>
      <c r="P69" s="1468"/>
      <c r="Q69" s="1468"/>
      <c r="R69" s="1468"/>
      <c r="S69" s="1468"/>
      <c r="T69"/>
      <c r="U69"/>
      <c r="V69"/>
      <c r="W69"/>
      <c r="X69"/>
      <c r="Y69"/>
      <c r="Z69"/>
      <c r="AA69"/>
      <c r="AB69"/>
      <c r="AC69"/>
      <c r="AD69"/>
      <c r="AE69"/>
      <c r="AF69"/>
      <c r="AG69"/>
      <c r="AH69"/>
    </row>
    <row r="70" spans="1:34" s="2" customFormat="1" ht="15.75" thickBot="1">
      <c r="A70" s="1126"/>
      <c r="B70" s="1469"/>
      <c r="C70" s="415"/>
      <c r="D70" s="422"/>
      <c r="E70" s="422"/>
      <c r="F70" s="422"/>
      <c r="G70" s="831"/>
      <c r="H70" s="441"/>
      <c r="I70" s="1470"/>
      <c r="J70" s="1470"/>
      <c r="K70" s="1470"/>
      <c r="L70" s="1470"/>
      <c r="M70" s="1470"/>
      <c r="N70" s="1470"/>
      <c r="O70" s="1470"/>
      <c r="P70" s="1470"/>
      <c r="Q70" s="1470"/>
      <c r="R70" s="1470"/>
      <c r="S70" s="1470"/>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1407"/>
      <c r="B72" s="1408"/>
      <c r="C72" s="1396"/>
      <c r="D72" s="1435"/>
      <c r="E72" s="1435"/>
      <c r="F72" s="1435"/>
      <c r="G72" s="1404"/>
      <c r="H72" s="1405"/>
      <c r="I72" s="1406"/>
      <c r="J72" s="1406"/>
      <c r="K72" s="1406"/>
      <c r="L72" s="1406"/>
      <c r="M72" s="1406"/>
      <c r="N72" s="1406"/>
      <c r="O72" s="1406"/>
      <c r="P72" s="1406"/>
      <c r="Q72" s="1406"/>
      <c r="R72" s="1406"/>
      <c r="S72" s="1406"/>
      <c r="T72" s="2"/>
      <c r="U72" s="2"/>
      <c r="V72" s="2"/>
      <c r="W72" s="2"/>
      <c r="X72" s="2"/>
      <c r="Y72" s="2"/>
      <c r="Z72" s="2"/>
      <c r="AA72" s="2"/>
      <c r="AB72" s="2"/>
      <c r="AC72" s="2"/>
      <c r="AD72" s="2"/>
      <c r="AE72" s="2"/>
      <c r="AF72" s="2"/>
      <c r="AG72" s="2"/>
      <c r="AH72" s="2"/>
    </row>
    <row r="73" spans="1:34">
      <c r="A73" s="1126"/>
      <c r="B73" s="1469"/>
      <c r="C73" s="415"/>
      <c r="D73" s="422"/>
      <c r="E73" s="422"/>
      <c r="F73" s="422"/>
      <c r="G73" s="831"/>
      <c r="H73" s="442"/>
      <c r="I73" s="1471"/>
      <c r="J73" s="1471"/>
      <c r="K73" s="1471"/>
      <c r="L73" s="1471"/>
      <c r="M73" s="1471"/>
      <c r="N73" s="1471"/>
      <c r="O73" s="1471"/>
      <c r="P73" s="1471"/>
      <c r="Q73" s="1471"/>
      <c r="R73" s="1471"/>
      <c r="S73" s="1471"/>
      <c r="T73" s="2"/>
      <c r="U73" s="2"/>
      <c r="V73" s="2"/>
      <c r="W73" s="2"/>
      <c r="X73" s="2"/>
      <c r="Y73" s="2"/>
      <c r="Z73" s="2"/>
      <c r="AA73" s="2"/>
      <c r="AB73" s="2"/>
      <c r="AC73" s="2"/>
      <c r="AD73" s="2"/>
      <c r="AE73" s="2"/>
      <c r="AF73" s="2"/>
      <c r="AG73" s="2"/>
      <c r="AH73" s="2"/>
    </row>
    <row r="74" spans="1:34" ht="15.75" thickBot="1">
      <c r="A74" s="1126"/>
      <c r="B74" s="1469"/>
      <c r="C74" s="415"/>
      <c r="D74" s="422"/>
      <c r="E74" s="422"/>
      <c r="F74" s="422"/>
      <c r="G74" s="831"/>
      <c r="H74" s="442"/>
      <c r="I74" s="1471"/>
      <c r="J74" s="1471"/>
      <c r="K74" s="1471"/>
      <c r="L74" s="1471"/>
      <c r="M74" s="1471"/>
      <c r="N74" s="1471"/>
      <c r="O74" s="1471"/>
      <c r="P74" s="1471"/>
      <c r="Q74" s="1471"/>
      <c r="R74" s="1471"/>
      <c r="S74" s="1471"/>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1467" t="s">
        <v>764</v>
      </c>
      <c r="C76" s="415"/>
      <c r="D76" s="422"/>
      <c r="E76" s="422"/>
      <c r="F76" s="422"/>
      <c r="G76" s="831"/>
      <c r="H76" s="442"/>
      <c r="I76" s="1471"/>
      <c r="J76" s="1471"/>
      <c r="K76" s="1471"/>
      <c r="L76" s="1471"/>
      <c r="M76" s="1471"/>
      <c r="N76" s="1471"/>
      <c r="O76" s="1471"/>
      <c r="P76" s="1471"/>
      <c r="Q76" s="1471"/>
      <c r="R76" s="1471"/>
      <c r="S76" s="1471"/>
    </row>
    <row r="77" spans="1:34">
      <c r="A77" s="1124"/>
      <c r="B77" s="1467" t="s">
        <v>765</v>
      </c>
      <c r="C77" s="415"/>
      <c r="D77" s="422"/>
      <c r="E77" s="422"/>
      <c r="F77" s="422"/>
      <c r="G77" s="831"/>
      <c r="H77" s="442"/>
      <c r="I77" s="1471"/>
      <c r="J77" s="1471"/>
      <c r="K77" s="1471"/>
      <c r="L77" s="1471"/>
      <c r="M77" s="1471"/>
      <c r="N77" s="1471"/>
      <c r="O77" s="1471"/>
      <c r="P77" s="1471"/>
      <c r="Q77" s="1471"/>
      <c r="R77" s="1471"/>
      <c r="S77" s="1471"/>
    </row>
    <row r="78" spans="1:34">
      <c r="A78" s="1124"/>
      <c r="B78" s="1467" t="s">
        <v>766</v>
      </c>
      <c r="C78" s="415"/>
      <c r="D78" s="422"/>
      <c r="E78" s="422"/>
      <c r="F78" s="422"/>
      <c r="G78" s="831"/>
      <c r="H78" s="442"/>
      <c r="I78" s="1471"/>
      <c r="J78" s="1471"/>
      <c r="K78" s="1471"/>
      <c r="L78" s="1471"/>
      <c r="M78" s="1471"/>
      <c r="N78" s="1471"/>
      <c r="O78" s="1471"/>
      <c r="P78" s="1471"/>
      <c r="Q78" s="1471"/>
      <c r="R78" s="1471"/>
      <c r="S78" s="1471"/>
    </row>
    <row r="79" spans="1:34">
      <c r="A79" s="1124"/>
      <c r="B79" s="1467" t="s">
        <v>767</v>
      </c>
      <c r="C79" s="415"/>
      <c r="D79" s="422"/>
      <c r="E79" s="422"/>
      <c r="F79" s="422"/>
      <c r="G79" s="831"/>
      <c r="H79" s="442"/>
      <c r="I79" s="1471"/>
      <c r="J79" s="1471"/>
      <c r="K79" s="1471"/>
      <c r="L79" s="1471"/>
      <c r="M79" s="1471"/>
      <c r="N79" s="1471"/>
      <c r="O79" s="1471"/>
      <c r="P79" s="1471"/>
      <c r="Q79" s="1471"/>
      <c r="R79" s="1471"/>
      <c r="S79" s="1471"/>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1403"/>
      <c r="B82" s="1409" t="s">
        <v>769</v>
      </c>
      <c r="C82" s="1396"/>
      <c r="D82" s="1435"/>
      <c r="E82" s="1435"/>
      <c r="F82" s="1435"/>
      <c r="G82" s="1404"/>
      <c r="H82" s="1410"/>
      <c r="I82" s="1411"/>
      <c r="J82" s="1411"/>
      <c r="K82" s="1411"/>
      <c r="L82" s="1411"/>
      <c r="M82" s="1411"/>
      <c r="N82" s="1411"/>
      <c r="O82" s="1411"/>
      <c r="P82" s="1411"/>
      <c r="Q82" s="1411"/>
      <c r="R82" s="1411"/>
      <c r="S82" s="1411"/>
    </row>
    <row r="83" spans="1:19">
      <c r="A83" s="1124"/>
      <c r="B83" s="1467" t="s">
        <v>770</v>
      </c>
      <c r="C83" s="415"/>
      <c r="D83" s="422"/>
      <c r="E83" s="422"/>
      <c r="F83" s="422"/>
      <c r="G83" s="831"/>
      <c r="H83" s="445"/>
      <c r="I83" s="1472"/>
      <c r="J83" s="1472"/>
      <c r="K83" s="1472"/>
      <c r="L83" s="1472"/>
      <c r="M83" s="1472"/>
      <c r="N83" s="1472"/>
      <c r="O83" s="1472"/>
      <c r="P83" s="1472"/>
      <c r="Q83" s="1472"/>
      <c r="R83" s="1472"/>
      <c r="S83" s="1472"/>
    </row>
    <row r="84" spans="1:19" ht="15.75" thickBot="1">
      <c r="A84" s="1376"/>
      <c r="B84" s="1377" t="s">
        <v>771</v>
      </c>
      <c r="C84" s="1378"/>
      <c r="D84" s="1379"/>
      <c r="E84" s="1379"/>
      <c r="F84" s="1379"/>
      <c r="G84" s="1380"/>
      <c r="H84" s="1381"/>
      <c r="I84" s="1382"/>
      <c r="J84" s="1382"/>
      <c r="K84" s="1382"/>
      <c r="L84" s="1382"/>
      <c r="M84" s="1382"/>
      <c r="N84" s="1382"/>
      <c r="O84" s="1382"/>
      <c r="P84" s="1382"/>
      <c r="Q84" s="1382"/>
      <c r="R84" s="1382"/>
      <c r="S84" s="1382"/>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473" t="s">
        <v>1292</v>
      </c>
      <c r="F87" s="2"/>
      <c r="G87" s="2"/>
      <c r="H87" s="2"/>
      <c r="I87" s="2"/>
      <c r="J87" s="2"/>
      <c r="K87" s="2"/>
      <c r="L87" s="2"/>
      <c r="M87" s="2"/>
      <c r="N87" s="2"/>
      <c r="O87" s="2"/>
      <c r="P87" s="2"/>
      <c r="Q87" s="2"/>
      <c r="R87" s="2"/>
      <c r="S87" s="2"/>
    </row>
    <row r="88" spans="1:19">
      <c r="A88" s="1142" t="s">
        <v>702</v>
      </c>
      <c r="B88" s="1474"/>
      <c r="F88" s="2"/>
      <c r="G88" s="2"/>
      <c r="H88" s="2"/>
      <c r="I88" s="2"/>
      <c r="J88" s="2"/>
      <c r="K88" s="2"/>
      <c r="L88" s="2"/>
      <c r="M88" s="2"/>
      <c r="N88" s="2"/>
      <c r="O88" s="2"/>
      <c r="P88" s="2"/>
      <c r="Q88" s="2"/>
      <c r="R88" s="2"/>
      <c r="S88" s="2"/>
    </row>
    <row r="89" spans="1:19">
      <c r="A89" s="1454" t="s">
        <v>708</v>
      </c>
      <c r="B89" s="1475"/>
      <c r="F89" s="2"/>
      <c r="G89" s="2"/>
      <c r="H89" s="2"/>
      <c r="I89" s="2"/>
      <c r="J89" s="2"/>
      <c r="K89" s="2"/>
      <c r="L89" s="2"/>
      <c r="M89" s="2"/>
      <c r="N89" s="2"/>
      <c r="O89" s="2"/>
      <c r="P89" s="2"/>
      <c r="Q89" s="2"/>
      <c r="R89" s="2"/>
      <c r="S89" s="2"/>
    </row>
    <row r="90" spans="1:19">
      <c r="A90" s="1454" t="s">
        <v>713</v>
      </c>
      <c r="B90" s="1476"/>
      <c r="F90" s="2"/>
      <c r="G90" s="2"/>
      <c r="H90" s="2"/>
      <c r="I90" s="2"/>
      <c r="J90" s="2"/>
      <c r="K90" s="2"/>
      <c r="L90" s="2"/>
      <c r="M90" s="2"/>
      <c r="N90" s="2"/>
      <c r="O90" s="2"/>
      <c r="P90" s="2"/>
      <c r="Q90" s="2"/>
      <c r="R90" s="2"/>
      <c r="S90" s="2"/>
    </row>
    <row r="91" spans="1:19" ht="15.75" thickBot="1">
      <c r="A91" s="1383" t="s">
        <v>69</v>
      </c>
      <c r="B91" s="1397">
        <f>I55</f>
        <v>87200</v>
      </c>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5:S5"/>
    <mergeCell ref="H4:I4"/>
    <mergeCell ref="J4:K4"/>
    <mergeCell ref="L4:M4"/>
    <mergeCell ref="N4:O4"/>
    <mergeCell ref="P4:Q4"/>
    <mergeCell ref="R4:S4"/>
    <mergeCell ref="H5:I5"/>
    <mergeCell ref="J5:K5"/>
    <mergeCell ref="L5:M5"/>
    <mergeCell ref="N5:O5"/>
    <mergeCell ref="P5:Q5"/>
    <mergeCell ref="R7:S7"/>
    <mergeCell ref="H6:I6"/>
    <mergeCell ref="J6:K6"/>
    <mergeCell ref="L6:M6"/>
    <mergeCell ref="N6:O6"/>
    <mergeCell ref="P6:Q6"/>
    <mergeCell ref="R6:S6"/>
    <mergeCell ref="H7:I7"/>
    <mergeCell ref="J7:K7"/>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s>
  <conditionalFormatting sqref="H11:H18 J11:J18 L11:L18 N11:N18 P11:P18 R11:R18">
    <cfRule type="cellIs" dxfId="479" priority="13" operator="equal">
      <formula>"X"</formula>
    </cfRule>
    <cfRule type="cellIs" dxfId="478" priority="14" operator="equal">
      <formula>"I"</formula>
    </cfRule>
  </conditionalFormatting>
  <conditionalFormatting sqref="H20:H50">
    <cfRule type="cellIs" dxfId="477" priority="1" operator="equal">
      <formula>"X"</formula>
    </cfRule>
    <cfRule type="cellIs" dxfId="476" priority="2" operator="equal">
      <formula>"I"</formula>
    </cfRule>
  </conditionalFormatting>
  <conditionalFormatting sqref="J20:J50">
    <cfRule type="cellIs" dxfId="475" priority="3" operator="equal">
      <formula>"X"</formula>
    </cfRule>
    <cfRule type="cellIs" dxfId="474" priority="4" operator="equal">
      <formula>"I"</formula>
    </cfRule>
  </conditionalFormatting>
  <conditionalFormatting sqref="L20:L50">
    <cfRule type="cellIs" dxfId="473" priority="5" operator="equal">
      <formula>"X"</formula>
    </cfRule>
    <cfRule type="cellIs" dxfId="472" priority="6" operator="equal">
      <formula>"I"</formula>
    </cfRule>
  </conditionalFormatting>
  <conditionalFormatting sqref="N20:N50">
    <cfRule type="cellIs" dxfId="471" priority="7" operator="equal">
      <formula>"X"</formula>
    </cfRule>
    <cfRule type="cellIs" dxfId="470" priority="8" operator="equal">
      <formula>"I"</formula>
    </cfRule>
  </conditionalFormatting>
  <conditionalFormatting sqref="P20:P50">
    <cfRule type="cellIs" dxfId="469" priority="9" operator="equal">
      <formula>"X"</formula>
    </cfRule>
    <cfRule type="cellIs" dxfId="468" priority="10" operator="equal">
      <formula>"I"</formula>
    </cfRule>
  </conditionalFormatting>
  <conditionalFormatting sqref="R20:R50">
    <cfRule type="cellIs" dxfId="467" priority="11" operator="equal">
      <formula>"X"</formula>
    </cfRule>
    <cfRule type="cellIs" dxfId="466" priority="12" operator="equal">
      <formula>"I"</formula>
    </cfRule>
  </conditionalFormatting>
  <hyperlinks>
    <hyperlink ref="B4" location="'Cost Summary'!A1" display="BACK TO SUMMARY SHEET" xr:uid="{A2C60B1A-E3BD-423E-9D74-DF3A959D6861}"/>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AFB4-5E1C-4A92-AF09-AB93C3307F9D}">
  <sheetPr>
    <tabColor rgb="FF00B0F0"/>
  </sheetPr>
  <dimension ref="A1:AO92"/>
  <sheetViews>
    <sheetView zoomScale="90" zoomScaleNormal="90" workbookViewId="0">
      <pane xSplit="2" ySplit="10" topLeftCell="C11" activePane="bottomRight" state="frozen"/>
      <selection pane="topRight" activeCell="C1" sqref="C1"/>
      <selection pane="bottomLeft" activeCell="A10" sqref="A10"/>
      <selection pane="bottomRight" activeCell="I84" sqref="I84:I85"/>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t="s">
        <v>1292</v>
      </c>
      <c r="I5" s="2322"/>
      <c r="J5" s="2321"/>
      <c r="K5" s="2322"/>
      <c r="L5" s="2321"/>
      <c r="M5" s="2322"/>
      <c r="N5" s="2321"/>
      <c r="O5" s="2322"/>
      <c r="P5" s="2333"/>
      <c r="Q5" s="2334"/>
      <c r="R5" s="2333"/>
      <c r="S5" s="2334"/>
      <c r="X5" s="261"/>
    </row>
    <row r="6" spans="1:24">
      <c r="A6" s="1082" t="s">
        <v>700</v>
      </c>
      <c r="B6" s="1455" t="s">
        <v>314</v>
      </c>
      <c r="C6" s="415"/>
      <c r="D6" s="416"/>
      <c r="E6" s="417"/>
      <c r="F6" s="418"/>
      <c r="G6" s="419" t="s">
        <v>702</v>
      </c>
      <c r="H6" s="2325"/>
      <c r="I6" s="2326"/>
      <c r="J6" s="2325"/>
      <c r="K6" s="2326"/>
      <c r="L6" s="2325"/>
      <c r="M6" s="2326"/>
      <c r="N6" s="2325"/>
      <c r="O6" s="2326"/>
      <c r="P6" s="2313"/>
      <c r="Q6" s="2314"/>
      <c r="R6" s="2313"/>
      <c r="S6" s="2314"/>
      <c r="X6" s="261"/>
    </row>
    <row r="7" spans="1:24">
      <c r="A7" s="1082" t="s">
        <v>706</v>
      </c>
      <c r="B7" s="1456" t="s">
        <v>313</v>
      </c>
      <c r="C7" s="415"/>
      <c r="D7" s="416"/>
      <c r="E7" s="417"/>
      <c r="F7" s="418"/>
      <c r="G7" s="829" t="s">
        <v>708</v>
      </c>
      <c r="H7" s="2325"/>
      <c r="I7" s="2326"/>
      <c r="J7" s="2325"/>
      <c r="K7" s="2326"/>
      <c r="L7" s="2325"/>
      <c r="M7" s="2326"/>
      <c r="N7" s="2325"/>
      <c r="O7" s="2326"/>
      <c r="P7" s="2313"/>
      <c r="Q7" s="2314"/>
      <c r="R7" s="2313"/>
      <c r="S7" s="2314"/>
      <c r="X7" s="261"/>
    </row>
    <row r="8" spans="1:24">
      <c r="A8" s="1082" t="s">
        <v>712</v>
      </c>
      <c r="B8" s="1457"/>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19175</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412"/>
      <c r="B11" s="1413" t="s">
        <v>725</v>
      </c>
      <c r="C11" s="1398"/>
      <c r="D11" s="1435"/>
      <c r="E11" s="1435"/>
      <c r="F11" s="1416"/>
      <c r="G11" s="1417"/>
      <c r="H11" s="1418"/>
      <c r="I11" s="1420"/>
      <c r="J11" s="1418"/>
      <c r="K11" s="285"/>
      <c r="L11" s="1418"/>
      <c r="M11" s="1419"/>
      <c r="N11" s="1418"/>
      <c r="O11" s="1419"/>
      <c r="P11" s="1418"/>
      <c r="Q11" s="1419"/>
      <c r="R11" s="1418"/>
      <c r="S11" s="1419"/>
    </row>
    <row r="12" spans="1:24">
      <c r="A12" s="1412"/>
      <c r="B12" s="1458" t="s">
        <v>726</v>
      </c>
      <c r="C12" s="446"/>
      <c r="D12" s="422"/>
      <c r="E12" s="422"/>
      <c r="F12" s="418"/>
      <c r="G12" s="423"/>
      <c r="H12" s="1459"/>
      <c r="I12" s="1420"/>
      <c r="J12" s="1459"/>
      <c r="K12" s="1419"/>
      <c r="L12" s="1459"/>
      <c r="M12" s="1419"/>
      <c r="N12" s="1459"/>
      <c r="O12" s="1419"/>
      <c r="P12" s="1459"/>
      <c r="Q12" s="1419"/>
      <c r="R12" s="1459"/>
      <c r="S12" s="1419"/>
    </row>
    <row r="13" spans="1:24">
      <c r="A13" s="1097"/>
      <c r="B13" s="1458" t="s">
        <v>728</v>
      </c>
      <c r="C13" s="446"/>
      <c r="D13" s="422"/>
      <c r="E13" s="422"/>
      <c r="F13" s="418"/>
      <c r="G13" s="423"/>
      <c r="H13" s="1459"/>
      <c r="I13" s="1420"/>
      <c r="J13" s="1459"/>
      <c r="K13" s="1419"/>
      <c r="L13" s="1459"/>
      <c r="M13" s="1419"/>
      <c r="N13" s="1459"/>
      <c r="O13" s="1419"/>
      <c r="P13" s="1459"/>
      <c r="Q13" s="1419"/>
      <c r="R13" s="1459"/>
      <c r="S13" s="1419"/>
    </row>
    <row r="14" spans="1:24">
      <c r="A14" s="1412"/>
      <c r="B14" s="1460" t="s">
        <v>729</v>
      </c>
      <c r="C14" s="446"/>
      <c r="D14" s="422"/>
      <c r="E14" s="422"/>
      <c r="F14" s="418"/>
      <c r="G14" s="423"/>
      <c r="H14" s="1459"/>
      <c r="I14" s="1420"/>
      <c r="J14" s="1459"/>
      <c r="K14" s="1419"/>
      <c r="L14" s="1459"/>
      <c r="M14" s="1419"/>
      <c r="N14" s="1459"/>
      <c r="O14" s="1419"/>
      <c r="P14" s="1459"/>
      <c r="Q14" s="1419"/>
      <c r="R14" s="1459"/>
      <c r="S14" s="1419"/>
    </row>
    <row r="15" spans="1:24">
      <c r="A15" s="1097"/>
      <c r="B15" s="1460" t="s">
        <v>731</v>
      </c>
      <c r="C15" s="446"/>
      <c r="D15" s="422"/>
      <c r="E15" s="422"/>
      <c r="F15" s="418"/>
      <c r="G15" s="423"/>
      <c r="H15" s="1459"/>
      <c r="I15" s="1420"/>
      <c r="J15" s="1459"/>
      <c r="K15" s="1420"/>
      <c r="L15" s="1459"/>
      <c r="M15" s="1420"/>
      <c r="N15" s="1459"/>
      <c r="O15" s="1420"/>
      <c r="P15" s="1459"/>
      <c r="Q15" s="1420"/>
      <c r="R15" s="1459"/>
      <c r="S15" s="1420"/>
    </row>
    <row r="16" spans="1:24">
      <c r="A16" s="1412"/>
      <c r="B16" s="1460" t="s">
        <v>732</v>
      </c>
      <c r="C16" s="446"/>
      <c r="D16" s="422"/>
      <c r="E16" s="422"/>
      <c r="F16" s="418"/>
      <c r="G16" s="423"/>
      <c r="H16" s="1459"/>
      <c r="I16" s="1420"/>
      <c r="J16" s="1459"/>
      <c r="K16" s="1419"/>
      <c r="L16" s="1459"/>
      <c r="M16" s="1419"/>
      <c r="N16" s="1459"/>
      <c r="O16" s="1419"/>
      <c r="P16" s="1459"/>
      <c r="Q16" s="1419"/>
      <c r="R16" s="1459"/>
      <c r="S16" s="1419"/>
    </row>
    <row r="17" spans="1:41">
      <c r="A17" s="1097"/>
      <c r="B17" s="1460" t="s">
        <v>733</v>
      </c>
      <c r="C17" s="446"/>
      <c r="D17" s="422"/>
      <c r="E17" s="422"/>
      <c r="F17" s="418"/>
      <c r="G17" s="423"/>
      <c r="H17" s="1459"/>
      <c r="I17" s="1420"/>
      <c r="J17" s="1459"/>
      <c r="K17" s="1419"/>
      <c r="L17" s="1459"/>
      <c r="M17" s="1419"/>
      <c r="N17" s="1459"/>
      <c r="O17" s="1419"/>
      <c r="P17" s="1459"/>
      <c r="Q17" s="1419"/>
      <c r="R17" s="1459"/>
      <c r="S17" s="1419"/>
    </row>
    <row r="18" spans="1:41">
      <c r="A18" s="1412"/>
      <c r="B18" s="1154" t="s">
        <v>736</v>
      </c>
      <c r="C18" s="446"/>
      <c r="D18" s="422"/>
      <c r="E18" s="422"/>
      <c r="F18" s="418"/>
      <c r="G18" s="423"/>
      <c r="H18" s="1459"/>
      <c r="I18" s="1420"/>
      <c r="J18" s="1459"/>
      <c r="K18" s="1419"/>
      <c r="L18" s="1459"/>
      <c r="M18" s="1419"/>
      <c r="N18" s="1459"/>
      <c r="O18" s="1419"/>
      <c r="P18" s="1459"/>
      <c r="Q18" s="1419"/>
      <c r="R18" s="1459"/>
      <c r="S18" s="1419"/>
    </row>
    <row r="19" spans="1:41">
      <c r="A19" s="1097"/>
      <c r="B19" s="1421" t="s">
        <v>737</v>
      </c>
      <c r="C19" s="447"/>
      <c r="D19" s="425"/>
      <c r="E19" s="425"/>
      <c r="F19" s="426"/>
      <c r="G19" s="427"/>
      <c r="H19" s="1156"/>
      <c r="I19" s="1423"/>
      <c r="J19" s="1156"/>
      <c r="K19" s="1422"/>
      <c r="L19" s="1156"/>
      <c r="M19" s="1422"/>
      <c r="N19" s="1156"/>
      <c r="O19" s="1422"/>
      <c r="P19" s="1156"/>
      <c r="Q19" s="1422"/>
      <c r="R19" s="1156"/>
      <c r="S19" s="1422"/>
    </row>
    <row r="20" spans="1:41">
      <c r="A20" s="1412"/>
      <c r="B20" s="1477"/>
      <c r="C20" s="70"/>
      <c r="D20" s="86"/>
      <c r="E20" s="86"/>
      <c r="F20" s="280"/>
      <c r="G20" s="274"/>
      <c r="H20" s="1459"/>
      <c r="I20" s="428"/>
      <c r="J20" s="1459"/>
      <c r="K20" s="428"/>
      <c r="L20" s="1459"/>
      <c r="M20" s="428"/>
      <c r="N20" s="1459"/>
      <c r="O20" s="428"/>
      <c r="P20" s="1459"/>
      <c r="Q20" s="428"/>
      <c r="R20" s="1459"/>
      <c r="S20" s="428"/>
    </row>
    <row r="21" spans="1:41" s="69" customFormat="1">
      <c r="A21" s="1097"/>
      <c r="B21" s="1105" t="s">
        <v>1297</v>
      </c>
      <c r="C21" s="415"/>
      <c r="D21" s="422"/>
      <c r="E21" s="422"/>
      <c r="F21" s="429"/>
      <c r="G21" s="423"/>
      <c r="H21" s="1459"/>
      <c r="I21" s="1107">
        <v>19175</v>
      </c>
      <c r="J21" s="1459"/>
      <c r="K21" s="1106"/>
      <c r="L21" s="1459"/>
      <c r="M21" s="1106"/>
      <c r="N21" s="1459"/>
      <c r="O21" s="1107"/>
      <c r="P21" s="1459"/>
      <c r="Q21" s="1107"/>
      <c r="R21" s="1459"/>
      <c r="S21" s="1106"/>
      <c r="T21"/>
      <c r="U21"/>
      <c r="V21"/>
      <c r="W21"/>
      <c r="X21"/>
      <c r="Y21"/>
      <c r="Z21"/>
      <c r="AA21"/>
      <c r="AB21"/>
      <c r="AC21"/>
      <c r="AD21"/>
      <c r="AE21"/>
      <c r="AF21"/>
      <c r="AG21"/>
      <c r="AH21"/>
      <c r="AI21"/>
      <c r="AJ21"/>
      <c r="AK21"/>
      <c r="AL21"/>
      <c r="AM21"/>
      <c r="AN21"/>
      <c r="AO21"/>
    </row>
    <row r="22" spans="1:41">
      <c r="A22" s="1412"/>
      <c r="B22" s="1425"/>
      <c r="C22" s="1396"/>
      <c r="D22" s="1400"/>
      <c r="E22" s="1435"/>
      <c r="F22" s="1401"/>
      <c r="G22" s="1402"/>
      <c r="H22" s="1459"/>
      <c r="I22" s="1419"/>
      <c r="J22" s="1459"/>
      <c r="K22" s="1419"/>
      <c r="L22" s="1459"/>
      <c r="M22" s="1419"/>
      <c r="N22" s="1459"/>
      <c r="O22" s="1419"/>
      <c r="P22" s="1459"/>
      <c r="Q22" s="1419"/>
      <c r="R22" s="1459"/>
      <c r="S22" s="1419"/>
    </row>
    <row r="23" spans="1:41">
      <c r="A23" s="1097"/>
      <c r="B23" s="1425"/>
      <c r="C23" s="415"/>
      <c r="D23" s="430"/>
      <c r="E23" s="422"/>
      <c r="F23" s="431"/>
      <c r="G23" s="1402"/>
      <c r="H23" s="1459"/>
      <c r="I23" s="1419"/>
      <c r="J23" s="1459"/>
      <c r="K23" s="1419"/>
      <c r="L23" s="1459"/>
      <c r="M23" s="1419"/>
      <c r="N23" s="1459"/>
      <c r="O23" s="1419"/>
      <c r="P23" s="1459"/>
      <c r="Q23" s="1419"/>
      <c r="R23" s="1459"/>
      <c r="S23" s="1419"/>
    </row>
    <row r="24" spans="1:41">
      <c r="A24" s="1412"/>
      <c r="B24" s="1425"/>
      <c r="C24" s="415"/>
      <c r="D24" s="430"/>
      <c r="E24" s="422"/>
      <c r="F24" s="431"/>
      <c r="G24" s="1402"/>
      <c r="H24" s="1459"/>
      <c r="I24" s="1419"/>
      <c r="J24" s="1459"/>
      <c r="K24" s="1419"/>
      <c r="L24" s="1459"/>
      <c r="M24" s="1419"/>
      <c r="N24" s="1459"/>
      <c r="O24" s="1419"/>
      <c r="P24" s="1459"/>
      <c r="Q24" s="1419"/>
      <c r="R24" s="1459"/>
      <c r="S24" s="1419"/>
    </row>
    <row r="25" spans="1:41">
      <c r="A25" s="1097"/>
      <c r="B25" s="1425"/>
      <c r="C25" s="415"/>
      <c r="D25" s="430"/>
      <c r="E25" s="422"/>
      <c r="F25" s="431"/>
      <c r="G25" s="1402"/>
      <c r="H25" s="1459"/>
      <c r="I25" s="1419"/>
      <c r="J25" s="1459"/>
      <c r="K25" s="1419"/>
      <c r="L25" s="1459"/>
      <c r="M25" s="1419"/>
      <c r="N25" s="1459"/>
      <c r="O25" s="1419"/>
      <c r="P25" s="1459"/>
      <c r="Q25" s="1419"/>
      <c r="R25" s="1459"/>
      <c r="S25" s="1419"/>
    </row>
    <row r="26" spans="1:41">
      <c r="A26" s="1412"/>
      <c r="B26" s="1425"/>
      <c r="C26" s="415"/>
      <c r="D26" s="430"/>
      <c r="E26" s="422"/>
      <c r="F26" s="431"/>
      <c r="G26" s="1402"/>
      <c r="H26" s="1459"/>
      <c r="I26" s="1419"/>
      <c r="J26" s="1459"/>
      <c r="K26" s="1419"/>
      <c r="L26" s="1459"/>
      <c r="M26" s="1419"/>
      <c r="N26" s="1459"/>
      <c r="O26" s="1419"/>
      <c r="P26" s="1459"/>
      <c r="Q26" s="1419"/>
      <c r="R26" s="1459"/>
      <c r="S26" s="1419"/>
    </row>
    <row r="27" spans="1:41">
      <c r="A27" s="1097"/>
      <c r="B27" s="1425"/>
      <c r="C27" s="415"/>
      <c r="D27" s="430"/>
      <c r="E27" s="422"/>
      <c r="F27" s="431"/>
      <c r="G27" s="1402"/>
      <c r="H27" s="1459"/>
      <c r="I27" s="1419"/>
      <c r="J27" s="1459"/>
      <c r="K27" s="1419"/>
      <c r="L27" s="1459"/>
      <c r="M27" s="1419"/>
      <c r="N27" s="1459"/>
      <c r="O27" s="1419"/>
      <c r="P27" s="1459"/>
      <c r="Q27" s="1419"/>
      <c r="R27" s="1459"/>
      <c r="S27" s="1419"/>
    </row>
    <row r="28" spans="1:41">
      <c r="A28" s="1412"/>
      <c r="B28" s="1425"/>
      <c r="C28" s="415"/>
      <c r="D28" s="430"/>
      <c r="E28" s="422"/>
      <c r="F28" s="431"/>
      <c r="G28" s="1402"/>
      <c r="H28" s="1459"/>
      <c r="I28" s="1419"/>
      <c r="J28" s="1459"/>
      <c r="K28" s="1419"/>
      <c r="L28" s="1459"/>
      <c r="M28" s="1419"/>
      <c r="N28" s="1459"/>
      <c r="O28" s="1419"/>
      <c r="P28" s="1459"/>
      <c r="Q28" s="1419"/>
      <c r="R28" s="1459"/>
      <c r="S28" s="1419"/>
    </row>
    <row r="29" spans="1:41">
      <c r="A29" s="1097"/>
      <c r="B29" s="1425"/>
      <c r="C29" s="415"/>
      <c r="D29" s="430"/>
      <c r="E29" s="422"/>
      <c r="F29" s="431"/>
      <c r="G29" s="1402"/>
      <c r="H29" s="1459"/>
      <c r="I29" s="1419"/>
      <c r="J29" s="1459"/>
      <c r="K29" s="1419"/>
      <c r="L29" s="1459"/>
      <c r="M29" s="1419"/>
      <c r="N29" s="1459"/>
      <c r="O29" s="1419"/>
      <c r="P29" s="1459"/>
      <c r="Q29" s="1419"/>
      <c r="R29" s="1459"/>
      <c r="S29" s="1419"/>
    </row>
    <row r="30" spans="1:41">
      <c r="A30" s="1412"/>
      <c r="B30" s="1425"/>
      <c r="C30" s="415"/>
      <c r="D30" s="430"/>
      <c r="E30" s="422"/>
      <c r="F30" s="431"/>
      <c r="G30" s="1402"/>
      <c r="H30" s="1459"/>
      <c r="I30" s="1419"/>
      <c r="J30" s="1459"/>
      <c r="K30" s="1419"/>
      <c r="L30" s="1459"/>
      <c r="M30" s="1419"/>
      <c r="N30" s="1459"/>
      <c r="O30" s="1419"/>
      <c r="P30" s="1459"/>
      <c r="Q30" s="1419"/>
      <c r="R30" s="1459"/>
      <c r="S30" s="1419"/>
    </row>
    <row r="31" spans="1:41">
      <c r="A31" s="1097"/>
      <c r="B31" s="1425"/>
      <c r="C31" s="415"/>
      <c r="D31" s="430"/>
      <c r="E31" s="422"/>
      <c r="F31" s="431"/>
      <c r="G31" s="1402"/>
      <c r="H31" s="1459"/>
      <c r="I31" s="1419"/>
      <c r="J31" s="1459"/>
      <c r="K31" s="1419"/>
      <c r="L31" s="1459"/>
      <c r="M31" s="1419"/>
      <c r="N31" s="1459"/>
      <c r="O31" s="1419"/>
      <c r="P31" s="1459"/>
      <c r="Q31" s="1419"/>
      <c r="R31" s="1459"/>
      <c r="S31" s="1419"/>
    </row>
    <row r="32" spans="1:41">
      <c r="A32" s="1412"/>
      <c r="B32" s="1163"/>
      <c r="C32" s="23"/>
      <c r="D32" s="430"/>
      <c r="E32" s="422"/>
      <c r="F32" s="431"/>
      <c r="G32" s="1402"/>
      <c r="H32" s="1459"/>
      <c r="I32" s="1419"/>
      <c r="J32" s="1459"/>
      <c r="K32" s="1419"/>
      <c r="L32" s="1459"/>
      <c r="M32" s="1419"/>
      <c r="N32" s="1459"/>
      <c r="O32" s="1419"/>
      <c r="P32" s="1459"/>
      <c r="Q32" s="1419"/>
      <c r="R32" s="1459"/>
      <c r="S32" s="1419"/>
    </row>
    <row r="33" spans="1:19">
      <c r="A33" s="1097"/>
      <c r="B33" s="1163"/>
      <c r="C33" s="23"/>
      <c r="D33" s="87"/>
      <c r="E33" s="86"/>
      <c r="F33" s="431"/>
      <c r="G33" s="1402"/>
      <c r="H33" s="1459"/>
      <c r="I33" s="1419"/>
      <c r="J33" s="1459"/>
      <c r="K33" s="1419"/>
      <c r="L33" s="1459"/>
      <c r="M33" s="1419"/>
      <c r="N33" s="1459"/>
      <c r="O33" s="1419"/>
      <c r="P33" s="1459"/>
      <c r="Q33" s="1419"/>
      <c r="R33" s="1459"/>
      <c r="S33" s="1419"/>
    </row>
    <row r="34" spans="1:19">
      <c r="A34" s="1412"/>
      <c r="B34" s="1163"/>
      <c r="C34" s="23"/>
      <c r="D34" s="87"/>
      <c r="E34" s="86"/>
      <c r="F34" s="431"/>
      <c r="G34" s="1402"/>
      <c r="H34" s="1459"/>
      <c r="I34" s="1419"/>
      <c r="J34" s="1459"/>
      <c r="K34" s="1419"/>
      <c r="L34" s="1459"/>
      <c r="M34" s="1419"/>
      <c r="N34" s="1459"/>
      <c r="O34" s="1419"/>
      <c r="P34" s="1459"/>
      <c r="Q34" s="1419"/>
      <c r="R34" s="1459"/>
      <c r="S34" s="1419"/>
    </row>
    <row r="35" spans="1:19">
      <c r="A35" s="1412"/>
      <c r="B35" s="1163"/>
      <c r="C35" s="23"/>
      <c r="D35" s="87"/>
      <c r="E35" s="86"/>
      <c r="F35" s="431"/>
      <c r="G35" s="1402"/>
      <c r="H35" s="1459"/>
      <c r="I35" s="1419"/>
      <c r="J35" s="1459"/>
      <c r="K35" s="1419"/>
      <c r="L35" s="1459"/>
      <c r="M35" s="1419"/>
      <c r="N35" s="1459"/>
      <c r="O35" s="1419"/>
      <c r="P35" s="1459"/>
      <c r="Q35" s="1419"/>
      <c r="R35" s="1459"/>
      <c r="S35" s="1419"/>
    </row>
    <row r="36" spans="1:19">
      <c r="A36" s="1412"/>
      <c r="B36" s="1163"/>
      <c r="C36" s="23"/>
      <c r="D36" s="87"/>
      <c r="E36" s="86"/>
      <c r="F36" s="431"/>
      <c r="G36" s="1402"/>
      <c r="H36" s="1459"/>
      <c r="I36" s="1419"/>
      <c r="J36" s="1459"/>
      <c r="K36" s="1419"/>
      <c r="L36" s="1459"/>
      <c r="M36" s="1419"/>
      <c r="N36" s="1459"/>
      <c r="O36" s="1419"/>
      <c r="P36" s="1459"/>
      <c r="Q36" s="1419"/>
      <c r="R36" s="1459"/>
      <c r="S36" s="1419"/>
    </row>
    <row r="37" spans="1:19">
      <c r="A37" s="1412"/>
      <c r="B37" s="1163"/>
      <c r="C37" s="23"/>
      <c r="D37" s="87"/>
      <c r="E37" s="86"/>
      <c r="F37" s="431"/>
      <c r="G37" s="1402"/>
      <c r="H37" s="1459"/>
      <c r="I37" s="1419"/>
      <c r="J37" s="1459"/>
      <c r="K37" s="1419"/>
      <c r="L37" s="1459"/>
      <c r="M37" s="1419"/>
      <c r="N37" s="1459"/>
      <c r="O37" s="1419"/>
      <c r="P37" s="1459"/>
      <c r="Q37" s="1419"/>
      <c r="R37" s="1459"/>
      <c r="S37" s="1419"/>
    </row>
    <row r="38" spans="1:19">
      <c r="A38" s="1412"/>
      <c r="B38" s="1163"/>
      <c r="C38" s="23"/>
      <c r="D38" s="87"/>
      <c r="E38" s="86"/>
      <c r="F38" s="431"/>
      <c r="G38" s="1402"/>
      <c r="H38" s="1459"/>
      <c r="I38" s="1419"/>
      <c r="J38" s="1459"/>
      <c r="K38" s="1419"/>
      <c r="L38" s="1459"/>
      <c r="M38" s="1419"/>
      <c r="N38" s="1459"/>
      <c r="O38" s="1419"/>
      <c r="P38" s="1459"/>
      <c r="Q38" s="1419"/>
      <c r="R38" s="1459"/>
      <c r="S38" s="1419"/>
    </row>
    <row r="39" spans="1:19">
      <c r="A39" s="1412"/>
      <c r="B39" s="1163"/>
      <c r="C39" s="23"/>
      <c r="D39" s="87"/>
      <c r="E39" s="86"/>
      <c r="F39" s="431"/>
      <c r="G39" s="1402"/>
      <c r="H39" s="1459"/>
      <c r="I39" s="1419"/>
      <c r="J39" s="1459"/>
      <c r="K39" s="1419"/>
      <c r="L39" s="1459"/>
      <c r="M39" s="1419"/>
      <c r="N39" s="1459"/>
      <c r="O39" s="1419"/>
      <c r="P39" s="1459"/>
      <c r="Q39" s="1419"/>
      <c r="R39" s="1459"/>
      <c r="S39" s="1419"/>
    </row>
    <row r="40" spans="1:19">
      <c r="A40" s="1412"/>
      <c r="B40" s="1163"/>
      <c r="C40" s="23"/>
      <c r="D40" s="87"/>
      <c r="E40" s="86"/>
      <c r="F40" s="431"/>
      <c r="G40" s="1402"/>
      <c r="H40" s="1459"/>
      <c r="I40" s="1419"/>
      <c r="J40" s="1459"/>
      <c r="K40" s="1419"/>
      <c r="L40" s="1459"/>
      <c r="M40" s="1419"/>
      <c r="N40" s="1459"/>
      <c r="O40" s="1419"/>
      <c r="P40" s="1459"/>
      <c r="Q40" s="1419"/>
      <c r="R40" s="1459"/>
      <c r="S40" s="1419"/>
    </row>
    <row r="41" spans="1:19">
      <c r="A41" s="1412"/>
      <c r="B41" s="1163"/>
      <c r="C41" s="23"/>
      <c r="D41" s="87"/>
      <c r="E41" s="86"/>
      <c r="F41" s="431"/>
      <c r="G41" s="1402"/>
      <c r="H41" s="1459"/>
      <c r="I41" s="1419"/>
      <c r="J41" s="1459"/>
      <c r="K41" s="1419"/>
      <c r="L41" s="1459"/>
      <c r="M41" s="1419"/>
      <c r="N41" s="1459"/>
      <c r="O41" s="1419"/>
      <c r="P41" s="1459"/>
      <c r="Q41" s="1419"/>
      <c r="R41" s="1459"/>
      <c r="S41" s="1419"/>
    </row>
    <row r="42" spans="1:19">
      <c r="A42" s="1412"/>
      <c r="B42" s="1163"/>
      <c r="C42" s="23"/>
      <c r="D42" s="87"/>
      <c r="E42" s="86"/>
      <c r="F42" s="431"/>
      <c r="G42" s="1402"/>
      <c r="H42" s="1459"/>
      <c r="I42" s="1419"/>
      <c r="J42" s="1459"/>
      <c r="K42" s="1419"/>
      <c r="L42" s="1459"/>
      <c r="M42" s="1419"/>
      <c r="N42" s="1459"/>
      <c r="O42" s="1419"/>
      <c r="P42" s="1459"/>
      <c r="Q42" s="1419"/>
      <c r="R42" s="1459"/>
      <c r="S42" s="1419"/>
    </row>
    <row r="43" spans="1:19">
      <c r="A43" s="1412"/>
      <c r="B43" s="1163"/>
      <c r="C43" s="23"/>
      <c r="D43" s="87"/>
      <c r="E43" s="86"/>
      <c r="F43" s="431"/>
      <c r="G43" s="1402"/>
      <c r="H43" s="1459"/>
      <c r="I43" s="1419"/>
      <c r="J43" s="1459"/>
      <c r="K43" s="1419"/>
      <c r="L43" s="1459"/>
      <c r="M43" s="1419"/>
      <c r="N43" s="1459"/>
      <c r="O43" s="1419"/>
      <c r="P43" s="1459"/>
      <c r="Q43" s="1419"/>
      <c r="R43" s="1459"/>
      <c r="S43" s="1419"/>
    </row>
    <row r="44" spans="1:19">
      <c r="A44" s="1412"/>
      <c r="B44" s="1163"/>
      <c r="C44" s="23"/>
      <c r="D44" s="87"/>
      <c r="E44" s="86"/>
      <c r="F44" s="431"/>
      <c r="G44" s="1402"/>
      <c r="H44" s="1459"/>
      <c r="I44" s="1419"/>
      <c r="J44" s="1459"/>
      <c r="K44" s="1419"/>
      <c r="L44" s="1459"/>
      <c r="M44" s="1419"/>
      <c r="N44" s="1459"/>
      <c r="O44" s="1419"/>
      <c r="P44" s="1459"/>
      <c r="Q44" s="1419"/>
      <c r="R44" s="1459"/>
      <c r="S44" s="1419"/>
    </row>
    <row r="45" spans="1:19">
      <c r="A45" s="1412"/>
      <c r="B45" s="1163"/>
      <c r="C45" s="23"/>
      <c r="D45" s="87"/>
      <c r="E45" s="86"/>
      <c r="F45" s="431"/>
      <c r="G45" s="1402"/>
      <c r="H45" s="1459"/>
      <c r="I45" s="1419"/>
      <c r="J45" s="1459"/>
      <c r="K45" s="1419"/>
      <c r="L45" s="1459"/>
      <c r="M45" s="1419"/>
      <c r="N45" s="1459"/>
      <c r="O45" s="1419"/>
      <c r="P45" s="1459"/>
      <c r="Q45" s="1419"/>
      <c r="R45" s="1459"/>
      <c r="S45" s="1419"/>
    </row>
    <row r="46" spans="1:19">
      <c r="A46" s="1412"/>
      <c r="B46" s="1163"/>
      <c r="C46" s="23"/>
      <c r="D46" s="87"/>
      <c r="E46" s="86"/>
      <c r="F46" s="431"/>
      <c r="G46" s="1402"/>
      <c r="H46" s="1459"/>
      <c r="I46" s="1419"/>
      <c r="J46" s="1459"/>
      <c r="K46" s="1419"/>
      <c r="L46" s="1459"/>
      <c r="M46" s="1419"/>
      <c r="N46" s="1459"/>
      <c r="O46" s="1419"/>
      <c r="P46" s="1459"/>
      <c r="Q46" s="1419"/>
      <c r="R46" s="1459"/>
      <c r="S46" s="1419"/>
    </row>
    <row r="47" spans="1:19">
      <c r="A47" s="1412"/>
      <c r="B47" s="1163"/>
      <c r="C47" s="23"/>
      <c r="D47" s="87"/>
      <c r="E47" s="86"/>
      <c r="F47" s="431"/>
      <c r="G47" s="1402"/>
      <c r="H47" s="1459"/>
      <c r="I47" s="1419"/>
      <c r="J47" s="1459"/>
      <c r="K47" s="1419"/>
      <c r="L47" s="1459"/>
      <c r="M47" s="1419"/>
      <c r="N47" s="1459"/>
      <c r="O47" s="1419"/>
      <c r="P47" s="1459"/>
      <c r="Q47" s="1419"/>
      <c r="R47" s="1459"/>
      <c r="S47" s="1419"/>
    </row>
    <row r="48" spans="1:19">
      <c r="A48" s="1412"/>
      <c r="B48" s="1163"/>
      <c r="C48" s="23"/>
      <c r="D48" s="87"/>
      <c r="E48" s="86"/>
      <c r="F48" s="431"/>
      <c r="G48" s="1402"/>
      <c r="H48" s="1459"/>
      <c r="I48" s="1419"/>
      <c r="J48" s="1459"/>
      <c r="K48" s="1419"/>
      <c r="L48" s="1459"/>
      <c r="M48" s="1419"/>
      <c r="N48" s="1459"/>
      <c r="O48" s="1419"/>
      <c r="P48" s="1459"/>
      <c r="Q48" s="1419"/>
      <c r="R48" s="1459"/>
      <c r="S48" s="1419"/>
    </row>
    <row r="49" spans="1:34">
      <c r="A49" s="1412"/>
      <c r="B49" s="1163"/>
      <c r="C49" s="23"/>
      <c r="D49" s="87"/>
      <c r="E49" s="86"/>
      <c r="F49" s="431"/>
      <c r="G49" s="830"/>
      <c r="H49" s="1459"/>
      <c r="I49" s="1419"/>
      <c r="J49" s="1459"/>
      <c r="K49" s="1419"/>
      <c r="L49" s="1459"/>
      <c r="M49" s="1419"/>
      <c r="N49" s="1459"/>
      <c r="O49" s="1419"/>
      <c r="P49" s="1459"/>
      <c r="Q49" s="1419"/>
      <c r="R49" s="1459"/>
      <c r="S49" s="1419"/>
    </row>
    <row r="50" spans="1:34" ht="15.75" thickBot="1">
      <c r="A50" s="1412"/>
      <c r="B50" s="1163"/>
      <c r="C50" s="23"/>
      <c r="D50" s="87"/>
      <c r="E50" s="86"/>
      <c r="F50" s="431"/>
      <c r="G50" s="830"/>
      <c r="H50" s="1459"/>
      <c r="I50" s="1419"/>
      <c r="J50" s="1459"/>
      <c r="K50" s="1419"/>
      <c r="L50" s="1459"/>
      <c r="M50" s="1419"/>
      <c r="N50" s="1459"/>
      <c r="O50" s="1419"/>
      <c r="P50" s="1459"/>
      <c r="Q50" s="1419"/>
      <c r="R50" s="1459"/>
      <c r="S50" s="1419"/>
    </row>
    <row r="51" spans="1:34" ht="15.75" thickTop="1">
      <c r="A51" s="296"/>
      <c r="B51" s="301"/>
      <c r="C51" s="297"/>
      <c r="D51" s="15"/>
      <c r="E51" s="16"/>
      <c r="F51" s="282" t="s">
        <v>753</v>
      </c>
      <c r="G51" s="272"/>
      <c r="H51" s="273"/>
      <c r="I51" s="273">
        <f>SUM(I11:I50)</f>
        <v>19175</v>
      </c>
      <c r="J51" s="273"/>
      <c r="K51" s="273">
        <f>SUM(K11:K50)</f>
        <v>0</v>
      </c>
      <c r="L51" s="273"/>
      <c r="M51" s="273">
        <f>SUM(M11:M50)</f>
        <v>0</v>
      </c>
      <c r="N51" s="273"/>
      <c r="O51" s="273">
        <f>SUM(O11:O50)</f>
        <v>0</v>
      </c>
      <c r="P51" s="273"/>
      <c r="Q51" s="273">
        <f>SUM(Q11:Q50)</f>
        <v>0</v>
      </c>
      <c r="R51" s="273"/>
      <c r="S51" s="273">
        <f>SUM(S11:S50)</f>
        <v>0</v>
      </c>
    </row>
    <row r="52" spans="1:34">
      <c r="A52" s="1114"/>
      <c r="B52" s="1164"/>
      <c r="C52" s="432"/>
      <c r="D52" s="433"/>
      <c r="E52" s="434"/>
      <c r="F52" s="435" t="s">
        <v>754</v>
      </c>
      <c r="G52" s="436"/>
      <c r="H52" s="1165">
        <v>0</v>
      </c>
      <c r="I52" s="1166"/>
      <c r="J52" s="1165">
        <v>0</v>
      </c>
      <c r="K52" s="1166"/>
      <c r="L52" s="1165">
        <v>0</v>
      </c>
      <c r="M52" s="1166"/>
      <c r="N52" s="1165">
        <v>0</v>
      </c>
      <c r="O52" s="1166"/>
      <c r="P52" s="1165">
        <v>0</v>
      </c>
      <c r="Q52" s="1166"/>
      <c r="R52" s="1165">
        <v>0</v>
      </c>
      <c r="S52" s="1166"/>
    </row>
    <row r="53" spans="1:34">
      <c r="A53" s="1114"/>
      <c r="B53" s="1164"/>
      <c r="C53" s="432"/>
      <c r="D53" s="433"/>
      <c r="E53" s="434"/>
      <c r="F53" s="435" t="s">
        <v>755</v>
      </c>
      <c r="G53" s="436"/>
      <c r="H53" s="1166"/>
      <c r="I53" s="1166">
        <f>I51*H52</f>
        <v>0</v>
      </c>
      <c r="J53" s="1166"/>
      <c r="K53" s="1166">
        <f>K51*J52</f>
        <v>0</v>
      </c>
      <c r="L53" s="1166"/>
      <c r="M53" s="1166">
        <f>M51*L52</f>
        <v>0</v>
      </c>
      <c r="N53" s="1166"/>
      <c r="O53" s="1166">
        <f>O51*N52</f>
        <v>0</v>
      </c>
      <c r="P53" s="1166"/>
      <c r="Q53" s="1166">
        <f>Q51*P52</f>
        <v>0</v>
      </c>
      <c r="R53" s="1166"/>
      <c r="S53" s="1166">
        <f>S51*R52</f>
        <v>0</v>
      </c>
    </row>
    <row r="54" spans="1:34">
      <c r="A54" s="1114"/>
      <c r="B54" s="1164"/>
      <c r="C54" s="432"/>
      <c r="D54" s="433"/>
      <c r="E54" s="434"/>
      <c r="F54" s="435"/>
      <c r="G54" s="436"/>
      <c r="H54" s="1166"/>
      <c r="I54" s="1166"/>
      <c r="J54" s="1166"/>
      <c r="K54" s="1166"/>
      <c r="L54" s="1166"/>
      <c r="M54" s="1166"/>
      <c r="N54" s="1166"/>
      <c r="O54" s="1166"/>
      <c r="P54" s="1166"/>
      <c r="Q54" s="1166"/>
      <c r="R54" s="1166"/>
      <c r="S54" s="1166"/>
    </row>
    <row r="55" spans="1:34">
      <c r="A55" s="1114"/>
      <c r="B55" s="1164"/>
      <c r="C55" s="432"/>
      <c r="D55" s="433"/>
      <c r="E55" s="434"/>
      <c r="F55" s="435" t="s">
        <v>756</v>
      </c>
      <c r="G55" s="436"/>
      <c r="H55" s="1166"/>
      <c r="I55" s="1166">
        <f>SUM(I51:I53)</f>
        <v>19175</v>
      </c>
      <c r="J55" s="1166"/>
      <c r="K55" s="1166">
        <f>SUM(K51:K53)</f>
        <v>0</v>
      </c>
      <c r="L55" s="1166"/>
      <c r="M55" s="1166">
        <f>SUM(M51:M53)</f>
        <v>0</v>
      </c>
      <c r="N55" s="1166"/>
      <c r="O55" s="1166">
        <f>SUM(O51:O53)</f>
        <v>0</v>
      </c>
      <c r="P55" s="1166"/>
      <c r="Q55" s="1166">
        <f>SUM(Q51:Q53)</f>
        <v>0</v>
      </c>
      <c r="R55" s="1166"/>
      <c r="S55" s="1166">
        <f>SUM(S51:S53)</f>
        <v>0</v>
      </c>
    </row>
    <row r="56" spans="1:34">
      <c r="A56" s="1114"/>
      <c r="B56" s="1164"/>
      <c r="C56" s="432"/>
      <c r="D56" s="433"/>
      <c r="E56" s="434"/>
      <c r="F56" s="437" t="s">
        <v>757</v>
      </c>
      <c r="G56" s="438"/>
      <c r="H56" s="1167"/>
      <c r="I56" s="1167">
        <f>I55/'Area Calculations'!$G$4</f>
        <v>3.3136730705090871E-2</v>
      </c>
      <c r="J56" s="1167"/>
      <c r="K56" s="1167">
        <f>K55/'Area Calculations'!$G$4</f>
        <v>0</v>
      </c>
      <c r="L56" s="1167"/>
      <c r="M56" s="1167">
        <f>M55/'Area Calculations'!$G$4</f>
        <v>0</v>
      </c>
      <c r="N56" s="1167"/>
      <c r="O56" s="1167">
        <f>O55/'Area Calculations'!$G$4</f>
        <v>0</v>
      </c>
      <c r="P56" s="1167"/>
      <c r="Q56" s="1167">
        <f>Q55/'Area Calculations'!$G$4</f>
        <v>0</v>
      </c>
      <c r="R56" s="1167"/>
      <c r="S56" s="1167">
        <f>S55/'Area Calculations'!$G$4</f>
        <v>0</v>
      </c>
    </row>
    <row r="57" spans="1:34">
      <c r="A57" s="1114"/>
      <c r="B57" s="1164"/>
      <c r="C57" s="432"/>
      <c r="D57" s="433"/>
      <c r="E57" s="434"/>
      <c r="F57" s="437" t="s">
        <v>758</v>
      </c>
      <c r="G57" s="438"/>
      <c r="H57" s="1167"/>
      <c r="I57" s="1167">
        <f>I55/'Area Calculations'!$G$9</f>
        <v>179.20560747663552</v>
      </c>
      <c r="J57" s="1167"/>
      <c r="K57" s="1167">
        <f>K55/'Area Calculations'!$G$9</f>
        <v>0</v>
      </c>
      <c r="L57" s="1167"/>
      <c r="M57" s="1167">
        <f>M55/'Area Calculations'!$G$9</f>
        <v>0</v>
      </c>
      <c r="N57" s="1167"/>
      <c r="O57" s="1167">
        <f>O55/'Area Calculations'!$G$9</f>
        <v>0</v>
      </c>
      <c r="P57" s="1167"/>
      <c r="Q57" s="1167">
        <f>Q55/'Area Calculations'!$G$9</f>
        <v>0</v>
      </c>
      <c r="R57" s="1167"/>
      <c r="S57" s="1167">
        <f>S55/'Area Calculations'!$G$9</f>
        <v>0</v>
      </c>
    </row>
    <row r="58" spans="1:34" ht="15.75" thickBot="1">
      <c r="A58" s="1114"/>
      <c r="B58" s="1164"/>
      <c r="C58" s="432"/>
      <c r="D58" s="433"/>
      <c r="E58" s="434"/>
      <c r="F58" s="439"/>
      <c r="G58" s="436"/>
      <c r="H58" s="1168"/>
      <c r="I58" s="1168"/>
      <c r="J58" s="1168"/>
      <c r="K58" s="1168"/>
      <c r="L58" s="1168"/>
      <c r="M58" s="1168"/>
      <c r="N58" s="1168"/>
      <c r="O58" s="1168"/>
      <c r="P58" s="1168"/>
      <c r="Q58" s="1168"/>
      <c r="R58" s="1168"/>
      <c r="S58" s="1168"/>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1403"/>
      <c r="B60" s="1105"/>
      <c r="C60" s="1396"/>
      <c r="D60" s="1435"/>
      <c r="E60" s="1435"/>
      <c r="F60" s="1435"/>
      <c r="G60" s="1404"/>
      <c r="H60" s="1405"/>
      <c r="I60" s="1406"/>
      <c r="J60" s="1406"/>
      <c r="K60" s="1406"/>
      <c r="L60" s="1406"/>
      <c r="M60" s="1406"/>
      <c r="N60" s="1406"/>
      <c r="O60" s="1406"/>
      <c r="P60" s="1406"/>
      <c r="Q60" s="1406"/>
      <c r="R60" s="1406"/>
      <c r="S60" s="1406"/>
    </row>
    <row r="61" spans="1:34">
      <c r="A61" s="1403"/>
      <c r="B61" s="1105"/>
      <c r="C61" s="1396"/>
      <c r="D61" s="1435"/>
      <c r="E61" s="1435"/>
      <c r="F61" s="1435"/>
      <c r="G61" s="1404"/>
      <c r="H61" s="1405"/>
      <c r="I61" s="1406"/>
      <c r="J61" s="1406"/>
      <c r="K61" s="1406"/>
      <c r="L61" s="1406"/>
      <c r="M61" s="1406"/>
      <c r="N61" s="1406"/>
      <c r="O61" s="1406"/>
      <c r="P61" s="1406"/>
      <c r="Q61" s="1406"/>
      <c r="R61" s="1406"/>
      <c r="S61" s="1406"/>
    </row>
    <row r="62" spans="1:34" ht="15.75" thickBot="1">
      <c r="A62" s="1403"/>
      <c r="B62" s="1105"/>
      <c r="C62" s="1396"/>
      <c r="D62" s="1435"/>
      <c r="E62" s="1435"/>
      <c r="F62" s="1435"/>
      <c r="G62" s="1404"/>
      <c r="H62" s="1405"/>
      <c r="I62" s="1406"/>
      <c r="J62" s="1406"/>
      <c r="K62" s="1406"/>
      <c r="L62" s="1406"/>
      <c r="M62" s="1406"/>
      <c r="N62" s="1406"/>
      <c r="O62" s="1406"/>
      <c r="P62" s="1406"/>
      <c r="Q62" s="1406"/>
      <c r="R62" s="1406"/>
      <c r="S62" s="1406"/>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1403"/>
      <c r="B64" s="1105"/>
      <c r="C64" s="1396"/>
      <c r="D64" s="1435"/>
      <c r="E64" s="1435"/>
      <c r="F64" s="1435"/>
      <c r="G64" s="1404"/>
      <c r="H64" s="1405"/>
      <c r="I64" s="1406"/>
      <c r="J64" s="1406"/>
      <c r="K64" s="1406"/>
      <c r="L64" s="1406"/>
      <c r="M64" s="1406"/>
      <c r="N64" s="1406"/>
      <c r="O64" s="1406"/>
      <c r="P64" s="1406"/>
      <c r="Q64" s="1406"/>
      <c r="R64" s="1406"/>
      <c r="S64" s="1406"/>
      <c r="T64"/>
      <c r="U64"/>
      <c r="V64"/>
      <c r="W64"/>
      <c r="X64"/>
      <c r="Y64"/>
      <c r="Z64"/>
      <c r="AA64"/>
      <c r="AB64"/>
      <c r="AC64"/>
      <c r="AD64"/>
      <c r="AE64"/>
      <c r="AF64"/>
      <c r="AG64"/>
      <c r="AH64"/>
    </row>
    <row r="65" spans="1:34" s="2" customFormat="1">
      <c r="A65" s="1403"/>
      <c r="B65" s="1105"/>
      <c r="C65" s="1396"/>
      <c r="D65" s="1435"/>
      <c r="E65" s="1435"/>
      <c r="F65" s="1435"/>
      <c r="G65" s="1404"/>
      <c r="H65" s="1405"/>
      <c r="I65" s="1406"/>
      <c r="J65" s="1406"/>
      <c r="K65" s="1406"/>
      <c r="L65" s="1406"/>
      <c r="M65" s="1406"/>
      <c r="N65" s="1406"/>
      <c r="O65" s="1406"/>
      <c r="P65" s="1406"/>
      <c r="Q65" s="1406"/>
      <c r="R65" s="1406"/>
      <c r="S65" s="1406"/>
      <c r="T65"/>
      <c r="U65"/>
      <c r="V65"/>
      <c r="W65"/>
      <c r="X65"/>
      <c r="Y65"/>
      <c r="Z65"/>
      <c r="AA65"/>
      <c r="AB65"/>
      <c r="AC65"/>
      <c r="AD65"/>
      <c r="AE65"/>
      <c r="AF65"/>
      <c r="AG65"/>
      <c r="AH65"/>
    </row>
    <row r="66" spans="1:34" ht="15.75" thickBot="1">
      <c r="A66" s="1403"/>
      <c r="B66" s="1105"/>
      <c r="C66" s="1396"/>
      <c r="D66" s="1435"/>
      <c r="E66" s="1435"/>
      <c r="F66" s="1435"/>
      <c r="G66" s="1404"/>
      <c r="H66" s="1405"/>
      <c r="I66" s="1406"/>
      <c r="J66" s="1406"/>
      <c r="K66" s="1406"/>
      <c r="L66" s="1406"/>
      <c r="M66" s="1406"/>
      <c r="N66" s="1406"/>
      <c r="O66" s="1406"/>
      <c r="P66" s="1406"/>
      <c r="Q66" s="1406"/>
      <c r="R66" s="1406"/>
      <c r="S66" s="1406"/>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1403"/>
      <c r="B68" s="1105"/>
      <c r="C68" s="1396"/>
      <c r="D68" s="1435"/>
      <c r="E68" s="1435"/>
      <c r="F68" s="1435"/>
      <c r="G68" s="1404"/>
      <c r="H68" s="1405"/>
      <c r="I68" s="1406"/>
      <c r="J68" s="1406"/>
      <c r="K68" s="1406"/>
      <c r="L68" s="1406"/>
      <c r="M68" s="1406"/>
      <c r="N68" s="1406"/>
      <c r="O68" s="1406"/>
      <c r="P68" s="1406"/>
      <c r="Q68" s="1406"/>
      <c r="R68" s="1406"/>
      <c r="S68" s="1406"/>
      <c r="T68"/>
      <c r="U68"/>
      <c r="V68"/>
      <c r="W68"/>
      <c r="X68"/>
      <c r="Y68"/>
      <c r="Z68"/>
      <c r="AA68"/>
      <c r="AB68"/>
      <c r="AC68"/>
      <c r="AD68"/>
      <c r="AE68"/>
      <c r="AF68"/>
      <c r="AG68"/>
      <c r="AH68"/>
    </row>
    <row r="69" spans="1:34" s="2" customFormat="1">
      <c r="A69" s="1124"/>
      <c r="B69" s="1105"/>
      <c r="C69" s="415"/>
      <c r="D69" s="422"/>
      <c r="E69" s="422"/>
      <c r="F69" s="422"/>
      <c r="G69" s="831"/>
      <c r="H69" s="440"/>
      <c r="I69" s="1173"/>
      <c r="J69" s="1173"/>
      <c r="K69" s="1173"/>
      <c r="L69" s="1173"/>
      <c r="M69" s="1173"/>
      <c r="N69" s="1173"/>
      <c r="O69" s="1173"/>
      <c r="P69" s="1173"/>
      <c r="Q69" s="1173"/>
      <c r="R69" s="1173"/>
      <c r="S69" s="1173"/>
      <c r="T69"/>
      <c r="U69"/>
      <c r="V69"/>
      <c r="W69"/>
      <c r="X69"/>
      <c r="Y69"/>
      <c r="Z69"/>
      <c r="AA69"/>
      <c r="AB69"/>
      <c r="AC69"/>
      <c r="AD69"/>
      <c r="AE69"/>
      <c r="AF69"/>
      <c r="AG69"/>
      <c r="AH69"/>
    </row>
    <row r="70" spans="1:34" s="2" customFormat="1" ht="15.75" thickBot="1">
      <c r="A70" s="1126"/>
      <c r="B70" s="1174"/>
      <c r="C70" s="415"/>
      <c r="D70" s="422"/>
      <c r="E70" s="422"/>
      <c r="F70" s="422"/>
      <c r="G70" s="831"/>
      <c r="H70" s="441"/>
      <c r="I70" s="1175"/>
      <c r="J70" s="1175"/>
      <c r="K70" s="1175"/>
      <c r="L70" s="1175"/>
      <c r="M70" s="1175"/>
      <c r="N70" s="1175"/>
      <c r="O70" s="1175"/>
      <c r="P70" s="1175"/>
      <c r="Q70" s="1175"/>
      <c r="R70" s="1175"/>
      <c r="S70" s="1175"/>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1407"/>
      <c r="B72" s="1408"/>
      <c r="C72" s="1396"/>
      <c r="D72" s="1435"/>
      <c r="E72" s="1435"/>
      <c r="F72" s="1435"/>
      <c r="G72" s="1404"/>
      <c r="H72" s="1405"/>
      <c r="I72" s="1406"/>
      <c r="J72" s="1406"/>
      <c r="K72" s="1406"/>
      <c r="L72" s="1406"/>
      <c r="M72" s="1406"/>
      <c r="N72" s="1406"/>
      <c r="O72" s="1406"/>
      <c r="P72" s="1406"/>
      <c r="Q72" s="1406"/>
      <c r="R72" s="1406"/>
      <c r="S72" s="1406"/>
      <c r="T72" s="2"/>
      <c r="U72" s="2"/>
      <c r="V72" s="2"/>
      <c r="W72" s="2"/>
      <c r="X72" s="2"/>
      <c r="Y72" s="2"/>
      <c r="Z72" s="2"/>
      <c r="AA72" s="2"/>
      <c r="AB72" s="2"/>
      <c r="AC72" s="2"/>
      <c r="AD72" s="2"/>
      <c r="AE72" s="2"/>
      <c r="AF72" s="2"/>
      <c r="AG72" s="2"/>
      <c r="AH72" s="2"/>
    </row>
    <row r="73" spans="1:34">
      <c r="A73" s="1126"/>
      <c r="B73" s="1174"/>
      <c r="C73" s="415"/>
      <c r="D73" s="422"/>
      <c r="E73" s="422"/>
      <c r="F73" s="422"/>
      <c r="G73" s="831"/>
      <c r="H73" s="442"/>
      <c r="I73" s="1178"/>
      <c r="J73" s="1178"/>
      <c r="K73" s="1178"/>
      <c r="L73" s="1178"/>
      <c r="M73" s="1178"/>
      <c r="N73" s="1178"/>
      <c r="O73" s="1178"/>
      <c r="P73" s="1178"/>
      <c r="Q73" s="1178"/>
      <c r="R73" s="1178"/>
      <c r="S73" s="1178"/>
      <c r="T73" s="2"/>
      <c r="U73" s="2"/>
      <c r="V73" s="2"/>
      <c r="W73" s="2"/>
      <c r="X73" s="2"/>
      <c r="Y73" s="2"/>
      <c r="Z73" s="2"/>
      <c r="AA73" s="2"/>
      <c r="AB73" s="2"/>
      <c r="AC73" s="2"/>
      <c r="AD73" s="2"/>
      <c r="AE73" s="2"/>
      <c r="AF73" s="2"/>
      <c r="AG73" s="2"/>
      <c r="AH73" s="2"/>
    </row>
    <row r="74" spans="1:34" ht="15.75" thickBot="1">
      <c r="A74" s="1126"/>
      <c r="B74" s="1174"/>
      <c r="C74" s="415"/>
      <c r="D74" s="422"/>
      <c r="E74" s="422"/>
      <c r="F74" s="422"/>
      <c r="G74" s="831"/>
      <c r="H74" s="442"/>
      <c r="I74" s="1178"/>
      <c r="J74" s="1178"/>
      <c r="K74" s="1178"/>
      <c r="L74" s="1178"/>
      <c r="M74" s="1178"/>
      <c r="N74" s="1178"/>
      <c r="O74" s="1178"/>
      <c r="P74" s="1178"/>
      <c r="Q74" s="1178"/>
      <c r="R74" s="1178"/>
      <c r="S74" s="1178"/>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1105" t="s">
        <v>764</v>
      </c>
      <c r="C76" s="415"/>
      <c r="D76" s="422"/>
      <c r="E76" s="422"/>
      <c r="F76" s="422"/>
      <c r="G76" s="831"/>
      <c r="H76" s="442"/>
      <c r="I76" s="1178"/>
      <c r="J76" s="1178"/>
      <c r="K76" s="1178"/>
      <c r="L76" s="1178"/>
      <c r="M76" s="1178"/>
      <c r="N76" s="1178"/>
      <c r="O76" s="1178"/>
      <c r="P76" s="1178"/>
      <c r="Q76" s="1178"/>
      <c r="R76" s="1178"/>
      <c r="S76" s="1178"/>
    </row>
    <row r="77" spans="1:34">
      <c r="A77" s="1124"/>
      <c r="B77" s="1105" t="s">
        <v>765</v>
      </c>
      <c r="C77" s="415"/>
      <c r="D77" s="422"/>
      <c r="E77" s="422"/>
      <c r="F77" s="422"/>
      <c r="G77" s="831"/>
      <c r="H77" s="442"/>
      <c r="I77" s="1178"/>
      <c r="J77" s="1178"/>
      <c r="K77" s="1178"/>
      <c r="L77" s="1178"/>
      <c r="M77" s="1178"/>
      <c r="N77" s="1178"/>
      <c r="O77" s="1178"/>
      <c r="P77" s="1178"/>
      <c r="Q77" s="1178"/>
      <c r="R77" s="1178"/>
      <c r="S77" s="1178"/>
    </row>
    <row r="78" spans="1:34">
      <c r="A78" s="1124"/>
      <c r="B78" s="1105" t="s">
        <v>766</v>
      </c>
      <c r="C78" s="415"/>
      <c r="D78" s="422"/>
      <c r="E78" s="422"/>
      <c r="F78" s="422"/>
      <c r="G78" s="831"/>
      <c r="H78" s="442"/>
      <c r="I78" s="1178"/>
      <c r="J78" s="1178"/>
      <c r="K78" s="1178"/>
      <c r="L78" s="1178"/>
      <c r="M78" s="1178"/>
      <c r="N78" s="1178"/>
      <c r="O78" s="1178"/>
      <c r="P78" s="1178"/>
      <c r="Q78" s="1178"/>
      <c r="R78" s="1178"/>
      <c r="S78" s="1178"/>
    </row>
    <row r="79" spans="1:34">
      <c r="A79" s="1124"/>
      <c r="B79" s="1105" t="s">
        <v>767</v>
      </c>
      <c r="C79" s="415"/>
      <c r="D79" s="422"/>
      <c r="E79" s="422"/>
      <c r="F79" s="422"/>
      <c r="G79" s="831"/>
      <c r="H79" s="442"/>
      <c r="I79" s="1178"/>
      <c r="J79" s="1178"/>
      <c r="K79" s="1178"/>
      <c r="L79" s="1178"/>
      <c r="M79" s="1178"/>
      <c r="N79" s="1178"/>
      <c r="O79" s="1178"/>
      <c r="P79" s="1178"/>
      <c r="Q79" s="1178"/>
      <c r="R79" s="1178"/>
      <c r="S79" s="1178"/>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1403"/>
      <c r="B82" s="1409" t="s">
        <v>769</v>
      </c>
      <c r="C82" s="1396"/>
      <c r="D82" s="1435"/>
      <c r="E82" s="1435"/>
      <c r="F82" s="1435"/>
      <c r="G82" s="1404"/>
      <c r="H82" s="1410"/>
      <c r="I82" s="1411"/>
      <c r="J82" s="1411"/>
      <c r="K82" s="1411"/>
      <c r="L82" s="1411"/>
      <c r="M82" s="1411"/>
      <c r="N82" s="1411"/>
      <c r="O82" s="1411"/>
      <c r="P82" s="1411"/>
      <c r="Q82" s="1411"/>
      <c r="R82" s="1411"/>
      <c r="S82" s="1411"/>
    </row>
    <row r="83" spans="1:19">
      <c r="A83" s="1124"/>
      <c r="B83" s="1105" t="s">
        <v>770</v>
      </c>
      <c r="C83" s="415"/>
      <c r="D83" s="422"/>
      <c r="E83" s="422"/>
      <c r="F83" s="422"/>
      <c r="G83" s="831"/>
      <c r="H83" s="445"/>
      <c r="I83" s="1182"/>
      <c r="J83" s="1182"/>
      <c r="K83" s="1182"/>
      <c r="L83" s="1182"/>
      <c r="M83" s="1182"/>
      <c r="N83" s="1182"/>
      <c r="O83" s="1182"/>
      <c r="P83" s="1182"/>
      <c r="Q83" s="1182"/>
      <c r="R83" s="1182"/>
      <c r="S83" s="1182"/>
    </row>
    <row r="84" spans="1:19" ht="15.75" thickBot="1">
      <c r="A84" s="1478"/>
      <c r="B84" s="1479" t="s">
        <v>771</v>
      </c>
      <c r="C84" s="1480"/>
      <c r="D84" s="1481"/>
      <c r="E84" s="1481"/>
      <c r="F84" s="1481"/>
      <c r="G84" s="1482"/>
      <c r="H84" s="1483"/>
      <c r="I84" s="1484"/>
      <c r="J84" s="1484"/>
      <c r="K84" s="1484"/>
      <c r="L84" s="1484"/>
      <c r="M84" s="1484"/>
      <c r="N84" s="1484"/>
      <c r="O84" s="1484"/>
      <c r="P84" s="1484"/>
      <c r="Q84" s="1484"/>
      <c r="R84" s="1484"/>
      <c r="S84" s="1484"/>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474"/>
      <c r="F87" s="2"/>
      <c r="G87" s="2"/>
      <c r="H87" s="2"/>
      <c r="I87" s="2"/>
      <c r="J87" s="2"/>
      <c r="K87" s="2"/>
      <c r="L87" s="2"/>
      <c r="M87" s="2"/>
      <c r="N87" s="2"/>
      <c r="O87" s="2"/>
      <c r="P87" s="2"/>
      <c r="Q87" s="2"/>
      <c r="R87" s="2"/>
      <c r="S87" s="2"/>
    </row>
    <row r="88" spans="1:19">
      <c r="A88" s="1142" t="s">
        <v>702</v>
      </c>
      <c r="B88" s="1474"/>
      <c r="F88" s="2"/>
      <c r="G88" s="2"/>
      <c r="H88" s="2"/>
      <c r="I88" s="2"/>
      <c r="J88" s="2"/>
      <c r="K88" s="2"/>
      <c r="L88" s="2"/>
      <c r="M88" s="2"/>
      <c r="N88" s="2"/>
      <c r="O88" s="2"/>
      <c r="P88" s="2"/>
      <c r="Q88" s="2"/>
      <c r="R88" s="2"/>
      <c r="S88" s="2"/>
    </row>
    <row r="89" spans="1:19">
      <c r="A89" s="1454" t="s">
        <v>708</v>
      </c>
      <c r="B89" s="1475"/>
      <c r="F89" s="2"/>
      <c r="G89" s="2"/>
      <c r="H89" s="2"/>
      <c r="I89" s="2"/>
      <c r="J89" s="2"/>
      <c r="K89" s="2"/>
      <c r="L89" s="2"/>
      <c r="M89" s="2"/>
      <c r="N89" s="2"/>
      <c r="O89" s="2"/>
      <c r="P89" s="2"/>
      <c r="Q89" s="2"/>
      <c r="R89" s="2"/>
      <c r="S89" s="2"/>
    </row>
    <row r="90" spans="1:19">
      <c r="A90" s="1454" t="s">
        <v>713</v>
      </c>
      <c r="B90" s="1476"/>
      <c r="F90" s="2"/>
      <c r="G90" s="2"/>
      <c r="H90" s="2"/>
      <c r="I90" s="2"/>
      <c r="J90" s="2"/>
      <c r="K90" s="2"/>
      <c r="L90" s="2"/>
      <c r="M90" s="2"/>
      <c r="N90" s="2"/>
      <c r="O90" s="2"/>
      <c r="P90" s="2"/>
      <c r="Q90" s="2"/>
      <c r="R90" s="2"/>
      <c r="S90" s="2"/>
    </row>
    <row r="91" spans="1:19" ht="15.75" thickBot="1">
      <c r="A91" s="1383" t="s">
        <v>69</v>
      </c>
      <c r="B91" s="1397">
        <f>I51</f>
        <v>19175</v>
      </c>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5:S5"/>
    <mergeCell ref="H4:I4"/>
    <mergeCell ref="J4:K4"/>
    <mergeCell ref="L4:M4"/>
    <mergeCell ref="N4:O4"/>
    <mergeCell ref="P4:Q4"/>
    <mergeCell ref="R4:S4"/>
    <mergeCell ref="H5:I5"/>
    <mergeCell ref="J5:K5"/>
    <mergeCell ref="L5:M5"/>
    <mergeCell ref="N5:O5"/>
    <mergeCell ref="P5:Q5"/>
    <mergeCell ref="R7:S7"/>
    <mergeCell ref="H6:I6"/>
    <mergeCell ref="J6:K6"/>
    <mergeCell ref="L6:M6"/>
    <mergeCell ref="N6:O6"/>
    <mergeCell ref="P6:Q6"/>
    <mergeCell ref="R6:S6"/>
    <mergeCell ref="H7:I7"/>
    <mergeCell ref="J7:K7"/>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s>
  <conditionalFormatting sqref="H11:H18 J11:J18 L11:L18 N11:N18 P11:P18 R11:R18">
    <cfRule type="cellIs" dxfId="465" priority="13" operator="equal">
      <formula>"X"</formula>
    </cfRule>
    <cfRule type="cellIs" dxfId="464" priority="14" operator="equal">
      <formula>"I"</formula>
    </cfRule>
  </conditionalFormatting>
  <conditionalFormatting sqref="H20:H50">
    <cfRule type="cellIs" dxfId="463" priority="1" operator="equal">
      <formula>"X"</formula>
    </cfRule>
    <cfRule type="cellIs" dxfId="462" priority="2" operator="equal">
      <formula>"I"</formula>
    </cfRule>
  </conditionalFormatting>
  <conditionalFormatting sqref="J20:J50">
    <cfRule type="cellIs" dxfId="461" priority="3" operator="equal">
      <formula>"X"</formula>
    </cfRule>
    <cfRule type="cellIs" dxfId="460" priority="4" operator="equal">
      <formula>"I"</formula>
    </cfRule>
  </conditionalFormatting>
  <conditionalFormatting sqref="L20:L50">
    <cfRule type="cellIs" dxfId="459" priority="5" operator="equal">
      <formula>"X"</formula>
    </cfRule>
    <cfRule type="cellIs" dxfId="458" priority="6" operator="equal">
      <formula>"I"</formula>
    </cfRule>
  </conditionalFormatting>
  <conditionalFormatting sqref="N20:N50">
    <cfRule type="cellIs" dxfId="457" priority="7" operator="equal">
      <formula>"X"</formula>
    </cfRule>
    <cfRule type="cellIs" dxfId="456" priority="8" operator="equal">
      <formula>"I"</formula>
    </cfRule>
  </conditionalFormatting>
  <conditionalFormatting sqref="P20:P50">
    <cfRule type="cellIs" dxfId="455" priority="9" operator="equal">
      <formula>"X"</formula>
    </cfRule>
    <cfRule type="cellIs" dxfId="454" priority="10" operator="equal">
      <formula>"I"</formula>
    </cfRule>
  </conditionalFormatting>
  <conditionalFormatting sqref="R20:R50">
    <cfRule type="cellIs" dxfId="453" priority="11" operator="equal">
      <formula>"X"</formula>
    </cfRule>
    <cfRule type="cellIs" dxfId="452" priority="12" operator="equal">
      <formula>"I"</formula>
    </cfRule>
  </conditionalFormatting>
  <hyperlinks>
    <hyperlink ref="B4" location="'Cost Summary'!A1" display="BACK TO SUMMARY SHEET" xr:uid="{C6DBB709-A651-4A68-92AE-2475C2E73A6E}"/>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BA737-C2A9-47D9-9602-7966E08BD0B2}">
  <sheetPr>
    <tabColor rgb="FF00B0F0"/>
  </sheetPr>
  <dimension ref="A1:AO92"/>
  <sheetViews>
    <sheetView zoomScale="90" zoomScaleNormal="90" workbookViewId="0">
      <pane xSplit="2" ySplit="10" topLeftCell="C28" activePane="bottomRight" state="frozen"/>
      <selection pane="topRight" activeCell="C1" sqref="C1"/>
      <selection pane="bottomLeft" activeCell="A11" sqref="A11"/>
      <selection pane="bottomRight" activeCell="G28" sqref="G28"/>
    </sheetView>
  </sheetViews>
  <sheetFormatPr defaultRowHeight="15"/>
  <cols>
    <col min="1" max="1" width="11" customWidth="1"/>
    <col min="2" max="2" width="70.7109375" style="1" customWidth="1"/>
    <col min="3" max="3" width="12.7109375" style="2" customWidth="1"/>
    <col min="4" max="4" width="12.7109375" style="260"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 min="22" max="22" width="20.7109375" bestFit="1" customWidth="1"/>
    <col min="29" max="29" width="9.140625" style="261"/>
  </cols>
  <sheetData>
    <row r="1" spans="1:29">
      <c r="E1" s="68"/>
      <c r="F1" s="275"/>
      <c r="G1" s="269" t="s">
        <v>679</v>
      </c>
      <c r="X1" s="261"/>
    </row>
    <row r="2" spans="1:29">
      <c r="E2" s="68"/>
      <c r="F2" s="276" t="s">
        <v>680</v>
      </c>
      <c r="G2" s="269" t="s">
        <v>681</v>
      </c>
      <c r="X2" s="261"/>
    </row>
    <row r="3" spans="1:29" ht="15.75" thickBot="1">
      <c r="E3" s="68"/>
      <c r="F3" s="277" t="s">
        <v>682</v>
      </c>
      <c r="G3" s="269" t="s">
        <v>683</v>
      </c>
      <c r="X3" s="261"/>
    </row>
    <row r="4" spans="1:29" ht="15.75" thickBot="1">
      <c r="B4" s="262" t="s">
        <v>684</v>
      </c>
      <c r="E4" s="68"/>
      <c r="F4" s="278"/>
      <c r="G4" s="270" t="s">
        <v>685</v>
      </c>
      <c r="H4" s="2323" t="s">
        <v>686</v>
      </c>
      <c r="I4" s="2324"/>
      <c r="J4" s="2319" t="s">
        <v>687</v>
      </c>
      <c r="K4" s="2320"/>
      <c r="L4" s="2319" t="s">
        <v>688</v>
      </c>
      <c r="M4" s="2320"/>
      <c r="N4" s="2319" t="s">
        <v>689</v>
      </c>
      <c r="O4" s="2320"/>
      <c r="P4" s="2319" t="s">
        <v>773</v>
      </c>
      <c r="Q4" s="2320"/>
      <c r="R4" s="2319" t="s">
        <v>774</v>
      </c>
      <c r="S4" s="2320"/>
      <c r="X4" s="261"/>
    </row>
    <row r="5" spans="1:29" ht="15.75" thickTop="1">
      <c r="A5" s="292" t="s">
        <v>692</v>
      </c>
      <c r="B5" s="299" t="str">
        <f>'Area Calculations'!B4</f>
        <v>ERAU Residential Hall &amp; Garage Building</v>
      </c>
      <c r="C5" s="294"/>
      <c r="D5" s="263"/>
      <c r="E5" s="264"/>
      <c r="F5" s="279"/>
      <c r="G5" s="271" t="s">
        <v>693</v>
      </c>
      <c r="H5" s="2321" t="s">
        <v>1186</v>
      </c>
      <c r="I5" s="2322"/>
      <c r="J5" s="2321"/>
      <c r="K5" s="2322"/>
      <c r="L5" s="2321"/>
      <c r="M5" s="2322"/>
      <c r="N5" s="2321"/>
      <c r="O5" s="2322"/>
      <c r="P5" s="2333"/>
      <c r="Q5" s="2334"/>
      <c r="R5" s="2333"/>
      <c r="S5" s="2334"/>
      <c r="X5" s="261"/>
    </row>
    <row r="6" spans="1:29">
      <c r="A6" s="1082" t="s">
        <v>700</v>
      </c>
      <c r="B6" s="1455" t="s">
        <v>316</v>
      </c>
      <c r="C6" s="415"/>
      <c r="D6" s="416"/>
      <c r="E6" s="417"/>
      <c r="F6" s="418"/>
      <c r="G6" s="419" t="s">
        <v>702</v>
      </c>
      <c r="H6" s="2325" t="s">
        <v>1298</v>
      </c>
      <c r="I6" s="2326"/>
      <c r="J6" s="2325"/>
      <c r="K6" s="2326"/>
      <c r="L6" s="2325"/>
      <c r="M6" s="2326"/>
      <c r="N6" s="2325"/>
      <c r="O6" s="2326"/>
      <c r="P6" s="2313"/>
      <c r="Q6" s="2314"/>
      <c r="R6" s="2313"/>
      <c r="S6" s="2314"/>
      <c r="X6" s="261"/>
    </row>
    <row r="7" spans="1:29">
      <c r="A7" s="1082" t="s">
        <v>706</v>
      </c>
      <c r="B7" s="1456" t="s">
        <v>315</v>
      </c>
      <c r="C7" s="415"/>
      <c r="D7" s="416"/>
      <c r="E7" s="417"/>
      <c r="F7" s="418"/>
      <c r="G7" s="829" t="s">
        <v>708</v>
      </c>
      <c r="H7" s="2325" t="s">
        <v>1299</v>
      </c>
      <c r="I7" s="2326"/>
      <c r="J7" s="2325"/>
      <c r="K7" s="2326"/>
      <c r="L7" s="2325"/>
      <c r="M7" s="2326"/>
      <c r="N7" s="2325"/>
      <c r="O7" s="2326"/>
      <c r="P7" s="2313"/>
      <c r="Q7" s="2314"/>
      <c r="R7" s="2313"/>
      <c r="S7" s="2314"/>
      <c r="X7" s="261"/>
    </row>
    <row r="8" spans="1:29">
      <c r="A8" s="1082" t="s">
        <v>712</v>
      </c>
      <c r="B8" s="1457"/>
      <c r="C8" s="415"/>
      <c r="D8" s="416"/>
      <c r="E8" s="417"/>
      <c r="F8" s="418"/>
      <c r="G8" s="829" t="s">
        <v>713</v>
      </c>
      <c r="H8" s="2327" t="s">
        <v>1300</v>
      </c>
      <c r="I8" s="2328"/>
      <c r="J8" s="2329"/>
      <c r="K8" s="2328"/>
      <c r="L8" s="2329"/>
      <c r="M8" s="2328"/>
      <c r="N8" s="2329"/>
      <c r="O8" s="2328"/>
      <c r="P8" s="2315"/>
      <c r="Q8" s="2316"/>
      <c r="R8" s="2315"/>
      <c r="S8" s="2316"/>
      <c r="X8" s="261"/>
    </row>
    <row r="9" spans="1:29" ht="15.75" thickBot="1">
      <c r="A9" s="420"/>
      <c r="B9" s="421"/>
      <c r="C9" s="23"/>
      <c r="D9" s="265"/>
      <c r="E9" s="266"/>
      <c r="F9" s="283"/>
      <c r="G9" s="284" t="s">
        <v>717</v>
      </c>
      <c r="H9" s="2317">
        <f>I55</f>
        <v>170000</v>
      </c>
      <c r="I9" s="2318"/>
      <c r="J9" s="2317">
        <f>K55</f>
        <v>0</v>
      </c>
      <c r="K9" s="2318"/>
      <c r="L9" s="2317">
        <f>M55</f>
        <v>0</v>
      </c>
      <c r="M9" s="2318"/>
      <c r="N9" s="2330">
        <f>O55</f>
        <v>0</v>
      </c>
      <c r="O9" s="2330"/>
      <c r="P9" s="2317">
        <f>Q55</f>
        <v>0</v>
      </c>
      <c r="Q9" s="2318"/>
      <c r="R9" s="2317">
        <f>S55</f>
        <v>0</v>
      </c>
      <c r="S9" s="2318"/>
      <c r="X9" s="261"/>
    </row>
    <row r="10" spans="1:29"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c r="AC10" s="268"/>
    </row>
    <row r="11" spans="1:29">
      <c r="A11" s="1412"/>
      <c r="B11" s="1438" t="s">
        <v>725</v>
      </c>
      <c r="C11" s="1396"/>
      <c r="D11" s="1414"/>
      <c r="E11" s="1435"/>
      <c r="F11" s="1416"/>
      <c r="G11" s="1417"/>
      <c r="H11" s="1439"/>
      <c r="I11" s="1420"/>
      <c r="J11" s="1439"/>
      <c r="K11" s="348"/>
      <c r="L11" s="1439"/>
      <c r="M11" s="1419"/>
      <c r="N11" s="1439"/>
      <c r="O11" s="1419"/>
      <c r="P11" s="1439"/>
      <c r="Q11" s="1419"/>
      <c r="R11" s="1439"/>
      <c r="S11" s="1419"/>
    </row>
    <row r="12" spans="1:29">
      <c r="A12" s="1412"/>
      <c r="B12" s="1485" t="s">
        <v>726</v>
      </c>
      <c r="C12" s="415"/>
      <c r="D12" s="416"/>
      <c r="E12" s="422"/>
      <c r="F12" s="418"/>
      <c r="G12" s="423"/>
      <c r="H12" s="1459" t="s">
        <v>727</v>
      </c>
      <c r="I12" s="1419"/>
      <c r="J12" s="1486"/>
      <c r="K12" s="1419"/>
      <c r="L12" s="1486"/>
      <c r="M12" s="1419"/>
      <c r="N12" s="1486"/>
      <c r="O12" s="1419"/>
      <c r="P12" s="1486"/>
      <c r="Q12" s="1419"/>
      <c r="R12" s="1486"/>
      <c r="S12" s="1419"/>
    </row>
    <row r="13" spans="1:29">
      <c r="A13" s="1097"/>
      <c r="B13" s="1485" t="s">
        <v>728</v>
      </c>
      <c r="C13" s="415"/>
      <c r="D13" s="416"/>
      <c r="E13" s="422"/>
      <c r="F13" s="418"/>
      <c r="G13" s="423"/>
      <c r="H13" s="1459" t="s">
        <v>727</v>
      </c>
      <c r="I13" s="1419"/>
      <c r="J13" s="1486"/>
      <c r="K13" s="1419"/>
      <c r="L13" s="1486"/>
      <c r="M13" s="1419"/>
      <c r="N13" s="1486"/>
      <c r="O13" s="1419"/>
      <c r="P13" s="1486"/>
      <c r="Q13" s="1419"/>
      <c r="R13" s="1486"/>
      <c r="S13" s="1419"/>
    </row>
    <row r="14" spans="1:29">
      <c r="A14" s="1412"/>
      <c r="B14" s="1487" t="s">
        <v>729</v>
      </c>
      <c r="C14" s="415"/>
      <c r="D14" s="416"/>
      <c r="E14" s="422"/>
      <c r="F14" s="418"/>
      <c r="G14" s="423"/>
      <c r="H14" s="1459" t="s">
        <v>730</v>
      </c>
      <c r="I14" s="1488"/>
      <c r="J14" s="1486"/>
      <c r="K14" s="1419"/>
      <c r="L14" s="1486"/>
      <c r="M14" s="1419"/>
      <c r="N14" s="1486"/>
      <c r="O14" s="1419"/>
      <c r="P14" s="1486"/>
      <c r="Q14" s="1419"/>
      <c r="R14" s="1486"/>
      <c r="S14" s="1419"/>
    </row>
    <row r="15" spans="1:29">
      <c r="A15" s="1097"/>
      <c r="B15" s="1487" t="s">
        <v>731</v>
      </c>
      <c r="C15" s="415"/>
      <c r="D15" s="416"/>
      <c r="E15" s="422"/>
      <c r="F15" s="418"/>
      <c r="G15" s="423"/>
      <c r="H15" s="1459" t="s">
        <v>727</v>
      </c>
      <c r="I15" s="1420"/>
      <c r="J15" s="1486"/>
      <c r="K15" s="1420"/>
      <c r="L15" s="1486"/>
      <c r="M15" s="1420"/>
      <c r="N15" s="1486"/>
      <c r="O15" s="1420"/>
      <c r="P15" s="1486"/>
      <c r="Q15" s="1420"/>
      <c r="R15" s="1486"/>
      <c r="S15" s="1420"/>
    </row>
    <row r="16" spans="1:29">
      <c r="A16" s="1412"/>
      <c r="B16" s="1487" t="s">
        <v>732</v>
      </c>
      <c r="C16" s="415"/>
      <c r="D16" s="416"/>
      <c r="E16" s="422"/>
      <c r="F16" s="418"/>
      <c r="G16" s="423"/>
      <c r="H16" s="1459" t="s">
        <v>727</v>
      </c>
      <c r="I16" s="1419"/>
      <c r="J16" s="1486"/>
      <c r="K16" s="1419"/>
      <c r="L16" s="1486"/>
      <c r="M16" s="1419"/>
      <c r="N16" s="1486"/>
      <c r="O16" s="1419"/>
      <c r="P16" s="1486"/>
      <c r="Q16" s="1419"/>
      <c r="R16" s="1486"/>
      <c r="S16" s="1419"/>
    </row>
    <row r="17" spans="1:41">
      <c r="A17" s="1097"/>
      <c r="B17" s="1487" t="s">
        <v>733</v>
      </c>
      <c r="C17" s="415"/>
      <c r="D17" s="416"/>
      <c r="E17" s="422"/>
      <c r="F17" s="418"/>
      <c r="G17" s="423"/>
      <c r="H17" s="1459" t="s">
        <v>727</v>
      </c>
      <c r="I17" s="1419"/>
      <c r="J17" s="1486"/>
      <c r="K17" s="1419"/>
      <c r="L17" s="1486"/>
      <c r="M17" s="1419"/>
      <c r="N17" s="1486"/>
      <c r="O17" s="1419"/>
      <c r="P17" s="1486"/>
      <c r="Q17" s="1419"/>
      <c r="R17" s="1486"/>
      <c r="S17" s="1419"/>
    </row>
    <row r="18" spans="1:41">
      <c r="A18" s="1412"/>
      <c r="B18" s="726" t="s">
        <v>734</v>
      </c>
      <c r="C18" s="415"/>
      <c r="D18" s="416"/>
      <c r="E18" s="422"/>
      <c r="F18" s="418"/>
      <c r="G18" s="423"/>
      <c r="H18" s="1459" t="s">
        <v>727</v>
      </c>
      <c r="I18" s="1419" t="s">
        <v>917</v>
      </c>
      <c r="J18" s="1486"/>
      <c r="K18" s="1419"/>
      <c r="L18" s="1486"/>
      <c r="M18" s="1419"/>
      <c r="N18" s="1486"/>
      <c r="O18" s="1419"/>
      <c r="P18" s="1486"/>
      <c r="Q18" s="1419"/>
      <c r="R18" s="1486"/>
      <c r="S18" s="1419"/>
    </row>
    <row r="19" spans="1:41">
      <c r="A19" s="1412"/>
      <c r="B19" s="1099" t="s">
        <v>736</v>
      </c>
      <c r="C19" s="415"/>
      <c r="D19" s="416"/>
      <c r="E19" s="422"/>
      <c r="F19" s="418"/>
      <c r="G19" s="423"/>
      <c r="H19" s="1486"/>
      <c r="I19" s="1420"/>
      <c r="J19" s="1486"/>
      <c r="K19" s="1419"/>
      <c r="L19" s="1486"/>
      <c r="M19" s="1419"/>
      <c r="N19" s="1486"/>
      <c r="O19" s="1419"/>
      <c r="P19" s="1486"/>
      <c r="Q19" s="1419"/>
      <c r="R19" s="1486"/>
      <c r="S19" s="1419"/>
    </row>
    <row r="20" spans="1:41">
      <c r="A20" s="1097"/>
      <c r="B20" s="586" t="s">
        <v>737</v>
      </c>
      <c r="C20" s="424"/>
      <c r="D20" s="448"/>
      <c r="E20" s="425"/>
      <c r="F20" s="426"/>
      <c r="G20" s="427"/>
      <c r="H20" s="1101"/>
      <c r="I20" s="1423"/>
      <c r="J20" s="1101"/>
      <c r="K20" s="1422"/>
      <c r="L20" s="1101"/>
      <c r="M20" s="1422"/>
      <c r="N20" s="1101"/>
      <c r="O20" s="1422"/>
      <c r="P20" s="1101"/>
      <c r="Q20" s="1422"/>
      <c r="R20" s="1101"/>
      <c r="S20" s="1422"/>
    </row>
    <row r="21" spans="1:41">
      <c r="A21" s="1412"/>
      <c r="B21" s="1461"/>
      <c r="C21" s="23"/>
      <c r="D21" s="265"/>
      <c r="E21" s="86"/>
      <c r="F21" s="280"/>
      <c r="G21" s="274"/>
      <c r="H21" s="1486"/>
      <c r="I21" s="428"/>
      <c r="J21" s="1486"/>
      <c r="K21" s="428"/>
      <c r="L21" s="1486"/>
      <c r="M21" s="428"/>
      <c r="N21" s="1486"/>
      <c r="O21" s="428"/>
      <c r="P21" s="1486"/>
      <c r="Q21" s="428"/>
      <c r="R21" s="1486"/>
      <c r="S21" s="428"/>
    </row>
    <row r="22" spans="1:41" s="69" customFormat="1">
      <c r="A22" s="1097"/>
      <c r="B22" s="1442"/>
      <c r="C22" s="415"/>
      <c r="D22" s="416"/>
      <c r="E22" s="422"/>
      <c r="F22" s="429"/>
      <c r="G22" s="423"/>
      <c r="H22" s="1486"/>
      <c r="I22" s="1107"/>
      <c r="J22" s="1486"/>
      <c r="K22" s="1106"/>
      <c r="L22" s="1486"/>
      <c r="M22" s="1106"/>
      <c r="N22" s="1486"/>
      <c r="O22" s="1107"/>
      <c r="P22" s="1486"/>
      <c r="Q22" s="1107"/>
      <c r="R22" s="1486"/>
      <c r="S22" s="1106"/>
      <c r="T22"/>
      <c r="U22"/>
      <c r="V22"/>
      <c r="W22"/>
      <c r="X22"/>
      <c r="Y22"/>
      <c r="Z22"/>
      <c r="AA22"/>
      <c r="AB22"/>
      <c r="AC22" s="261"/>
      <c r="AD22"/>
      <c r="AE22"/>
      <c r="AF22"/>
      <c r="AG22"/>
      <c r="AH22"/>
      <c r="AI22"/>
      <c r="AJ22"/>
      <c r="AK22"/>
      <c r="AL22"/>
      <c r="AM22"/>
      <c r="AN22"/>
      <c r="AO22"/>
    </row>
    <row r="23" spans="1:41" ht="165">
      <c r="A23" s="1412"/>
      <c r="B23" s="1489" t="s">
        <v>1301</v>
      </c>
      <c r="C23" s="1396"/>
      <c r="D23" s="1443"/>
      <c r="E23" s="1435"/>
      <c r="F23" s="1401"/>
      <c r="G23" s="1402"/>
      <c r="H23" s="1486"/>
      <c r="I23" s="1419"/>
      <c r="J23" s="1486"/>
      <c r="K23" s="1419"/>
      <c r="L23" s="1486"/>
      <c r="M23" s="1419"/>
      <c r="N23" s="1486"/>
      <c r="O23" s="1419"/>
      <c r="P23" s="1486"/>
      <c r="Q23" s="1419"/>
      <c r="R23" s="1486"/>
      <c r="S23" s="1419"/>
    </row>
    <row r="24" spans="1:41">
      <c r="A24" s="1097"/>
      <c r="B24" s="1442"/>
      <c r="C24" s="415"/>
      <c r="D24" s="450"/>
      <c r="E24" s="422"/>
      <c r="F24" s="431"/>
      <c r="G24" s="1402"/>
      <c r="H24" s="1486"/>
      <c r="I24" s="1419">
        <v>150000</v>
      </c>
      <c r="J24" s="1486"/>
      <c r="K24" s="1419"/>
      <c r="L24" s="1486"/>
      <c r="M24" s="1419"/>
      <c r="N24" s="1486"/>
      <c r="O24" s="1419"/>
      <c r="P24" s="1486"/>
      <c r="Q24" s="1419"/>
      <c r="R24" s="1486"/>
      <c r="S24" s="1419"/>
      <c r="V24" t="s">
        <v>1302</v>
      </c>
      <c r="Y24">
        <v>6</v>
      </c>
      <c r="AD24" t="s">
        <v>663</v>
      </c>
    </row>
    <row r="25" spans="1:41">
      <c r="A25" s="1412"/>
      <c r="B25" s="1442" t="s">
        <v>1303</v>
      </c>
      <c r="C25" s="415" t="s">
        <v>1304</v>
      </c>
      <c r="D25" s="450">
        <v>208.4</v>
      </c>
      <c r="E25" s="422" t="s">
        <v>529</v>
      </c>
      <c r="F25" s="431"/>
      <c r="G25" s="1402"/>
      <c r="H25" s="1486" t="s">
        <v>682</v>
      </c>
      <c r="I25" s="1419"/>
      <c r="J25" s="1486"/>
      <c r="K25" s="1419"/>
      <c r="L25" s="1486"/>
      <c r="M25" s="1419"/>
      <c r="N25" s="1486"/>
      <c r="O25" s="1419"/>
      <c r="P25" s="1486"/>
      <c r="Q25" s="1419"/>
      <c r="R25" s="1486"/>
      <c r="S25" s="1419"/>
      <c r="V25" t="s">
        <v>1305</v>
      </c>
      <c r="Y25">
        <v>6</v>
      </c>
      <c r="AD25" t="s">
        <v>663</v>
      </c>
    </row>
    <row r="26" spans="1:41">
      <c r="A26" s="1412"/>
      <c r="B26" s="1442" t="s">
        <v>1306</v>
      </c>
      <c r="C26" s="415" t="s">
        <v>1307</v>
      </c>
      <c r="D26" s="450">
        <v>514.16999999999996</v>
      </c>
      <c r="E26" s="422" t="s">
        <v>529</v>
      </c>
      <c r="F26" s="431"/>
      <c r="G26" s="1402"/>
      <c r="H26" s="1486" t="s">
        <v>682</v>
      </c>
      <c r="I26" s="1419"/>
      <c r="J26" s="1486"/>
      <c r="K26" s="1419"/>
      <c r="L26" s="1486"/>
      <c r="M26" s="1419"/>
      <c r="N26" s="1486"/>
      <c r="O26" s="1419"/>
      <c r="P26" s="1486"/>
      <c r="Q26" s="1419"/>
      <c r="R26" s="1486"/>
      <c r="S26" s="1419"/>
      <c r="V26" t="s">
        <v>1308</v>
      </c>
      <c r="Z26">
        <v>6</v>
      </c>
      <c r="AD26" t="s">
        <v>663</v>
      </c>
    </row>
    <row r="27" spans="1:41">
      <c r="A27" s="1097"/>
      <c r="B27" s="1442" t="s">
        <v>1309</v>
      </c>
      <c r="C27" s="415" t="s">
        <v>1307</v>
      </c>
      <c r="D27" s="450">
        <v>514.16999999999996</v>
      </c>
      <c r="E27" s="422" t="s">
        <v>529</v>
      </c>
      <c r="F27" s="431"/>
      <c r="G27" s="1402"/>
      <c r="H27" s="1486" t="s">
        <v>682</v>
      </c>
      <c r="I27" s="1419"/>
      <c r="J27" s="1486"/>
      <c r="K27" s="1419"/>
      <c r="L27" s="1486"/>
      <c r="M27" s="1419"/>
      <c r="N27" s="1486"/>
      <c r="O27" s="1419"/>
      <c r="P27" s="1486"/>
      <c r="Q27" s="1419"/>
      <c r="R27" s="1486"/>
      <c r="S27" s="1419"/>
      <c r="V27" t="s">
        <v>1310</v>
      </c>
      <c r="AA27">
        <v>2</v>
      </c>
      <c r="AB27">
        <v>11.17</v>
      </c>
      <c r="AC27" s="261">
        <f>AA27*AB27</f>
        <v>22.34</v>
      </c>
      <c r="AD27" t="s">
        <v>663</v>
      </c>
    </row>
    <row r="28" spans="1:41">
      <c r="A28" s="1097"/>
      <c r="B28" s="1442" t="s">
        <v>1311</v>
      </c>
      <c r="C28" s="415" t="s">
        <v>1312</v>
      </c>
      <c r="D28" s="450">
        <v>120</v>
      </c>
      <c r="E28" s="422" t="s">
        <v>529</v>
      </c>
      <c r="F28" s="431"/>
      <c r="G28" s="1402"/>
      <c r="H28" s="1486" t="s">
        <v>682</v>
      </c>
      <c r="I28" s="1419"/>
      <c r="J28" s="1486"/>
      <c r="K28" s="1419"/>
      <c r="L28" s="1486"/>
      <c r="M28" s="1419"/>
      <c r="N28" s="1486"/>
      <c r="O28" s="1419"/>
      <c r="P28" s="1486"/>
      <c r="Q28" s="1419"/>
      <c r="R28" s="1486"/>
      <c r="S28" s="1419"/>
      <c r="V28" t="s">
        <v>1313</v>
      </c>
      <c r="Y28">
        <v>12</v>
      </c>
      <c r="AD28" t="s">
        <v>663</v>
      </c>
    </row>
    <row r="29" spans="1:41">
      <c r="A29" s="1412"/>
      <c r="B29" s="1442" t="s">
        <v>1314</v>
      </c>
      <c r="C29" s="415" t="s">
        <v>1315</v>
      </c>
      <c r="D29" s="450">
        <v>32</v>
      </c>
      <c r="E29" s="422" t="s">
        <v>529</v>
      </c>
      <c r="F29" s="431"/>
      <c r="G29" s="1402"/>
      <c r="H29" s="1486" t="s">
        <v>682</v>
      </c>
      <c r="I29" s="1419"/>
      <c r="J29" s="1486"/>
      <c r="K29" s="1419"/>
      <c r="L29" s="1486"/>
      <c r="M29" s="1419"/>
      <c r="N29" s="1486"/>
      <c r="O29" s="1419"/>
      <c r="P29" s="1486"/>
      <c r="Q29" s="1419"/>
      <c r="R29" s="1486"/>
      <c r="S29" s="1419"/>
      <c r="V29" t="s">
        <v>1316</v>
      </c>
      <c r="Y29">
        <v>13</v>
      </c>
      <c r="AD29" t="s">
        <v>663</v>
      </c>
    </row>
    <row r="30" spans="1:41">
      <c r="A30" s="1412"/>
      <c r="B30" s="1442" t="s">
        <v>1317</v>
      </c>
      <c r="C30" s="415" t="s">
        <v>1318</v>
      </c>
      <c r="D30" s="450">
        <v>102</v>
      </c>
      <c r="E30" s="422" t="s">
        <v>529</v>
      </c>
      <c r="F30" s="431"/>
      <c r="G30" s="1402"/>
      <c r="H30" s="1486" t="s">
        <v>682</v>
      </c>
      <c r="I30" s="1419">
        <v>20000</v>
      </c>
      <c r="J30" s="1486"/>
      <c r="K30" s="1419"/>
      <c r="L30" s="1486"/>
      <c r="M30" s="1419"/>
      <c r="N30" s="1486"/>
      <c r="O30" s="1419"/>
      <c r="P30" s="1486"/>
      <c r="Q30" s="1419"/>
      <c r="R30" s="1486"/>
      <c r="S30" s="1419"/>
      <c r="V30" t="s">
        <v>1319</v>
      </c>
      <c r="Y30">
        <v>6</v>
      </c>
      <c r="AD30" t="s">
        <v>663</v>
      </c>
    </row>
    <row r="31" spans="1:41">
      <c r="A31" s="1412"/>
      <c r="B31" s="1113"/>
      <c r="C31" s="23"/>
      <c r="D31" s="345"/>
      <c r="E31" s="86"/>
      <c r="F31" s="431"/>
      <c r="G31" s="1402"/>
      <c r="H31" s="1486"/>
      <c r="I31" s="1419"/>
      <c r="J31" s="1486"/>
      <c r="K31" s="1419"/>
      <c r="L31" s="1486"/>
      <c r="M31" s="1419"/>
      <c r="N31" s="1486"/>
      <c r="O31" s="1419"/>
      <c r="P31" s="1486"/>
      <c r="Q31" s="1419"/>
      <c r="R31" s="1486"/>
      <c r="S31" s="1419"/>
      <c r="V31" t="s">
        <v>1320</v>
      </c>
      <c r="Z31">
        <v>6</v>
      </c>
      <c r="AD31" t="s">
        <v>663</v>
      </c>
    </row>
    <row r="32" spans="1:41">
      <c r="A32" s="1412"/>
      <c r="B32" s="1113"/>
      <c r="C32" s="23"/>
      <c r="D32" s="345"/>
      <c r="E32" s="86"/>
      <c r="F32" s="431"/>
      <c r="G32" s="1402"/>
      <c r="H32" s="1486"/>
      <c r="I32" s="1419"/>
      <c r="J32" s="1486"/>
      <c r="K32" s="1419"/>
      <c r="L32" s="1486"/>
      <c r="M32" s="1419"/>
      <c r="N32" s="1486"/>
      <c r="O32" s="1419"/>
      <c r="P32" s="1486"/>
      <c r="Q32" s="1419"/>
      <c r="R32" s="1486"/>
      <c r="S32" s="1419"/>
      <c r="V32" t="s">
        <v>1320</v>
      </c>
      <c r="Z32">
        <v>6</v>
      </c>
      <c r="AD32" t="s">
        <v>663</v>
      </c>
    </row>
    <row r="33" spans="1:30">
      <c r="A33" s="1412"/>
      <c r="B33" s="1113"/>
      <c r="C33" s="23"/>
      <c r="D33" s="345"/>
      <c r="E33" s="86"/>
      <c r="F33" s="431"/>
      <c r="G33" s="1402"/>
      <c r="H33" s="1486"/>
      <c r="I33" s="1419"/>
      <c r="J33" s="1486"/>
      <c r="K33" s="1419"/>
      <c r="L33" s="1486"/>
      <c r="M33" s="1419"/>
      <c r="N33" s="1486"/>
      <c r="O33" s="1419"/>
      <c r="P33" s="1486"/>
      <c r="Q33" s="1419"/>
      <c r="R33" s="1486"/>
      <c r="S33" s="1419"/>
      <c r="V33" t="s">
        <v>1321</v>
      </c>
      <c r="Y33">
        <v>6</v>
      </c>
      <c r="AD33" t="s">
        <v>663</v>
      </c>
    </row>
    <row r="34" spans="1:30">
      <c r="A34" s="1412"/>
      <c r="B34" s="1113"/>
      <c r="C34" s="23"/>
      <c r="D34" s="345"/>
      <c r="E34" s="86"/>
      <c r="F34" s="431"/>
      <c r="G34" s="1402"/>
      <c r="H34" s="1486"/>
      <c r="I34" s="1419"/>
      <c r="J34" s="1486"/>
      <c r="K34" s="1419"/>
      <c r="L34" s="1486"/>
      <c r="M34" s="1419"/>
      <c r="N34" s="1486"/>
      <c r="O34" s="1419"/>
      <c r="P34" s="1486"/>
      <c r="Q34" s="1419"/>
      <c r="R34" s="1486"/>
      <c r="S34" s="1419"/>
      <c r="V34" t="s">
        <v>1322</v>
      </c>
      <c r="Z34">
        <v>6</v>
      </c>
      <c r="AD34" t="s">
        <v>663</v>
      </c>
    </row>
    <row r="35" spans="1:30">
      <c r="A35" s="1412"/>
      <c r="B35" s="1113"/>
      <c r="C35" s="23"/>
      <c r="D35" s="345"/>
      <c r="E35" s="86"/>
      <c r="F35" s="431"/>
      <c r="G35" s="1402"/>
      <c r="H35" s="1486"/>
      <c r="I35" s="1419"/>
      <c r="J35" s="1486"/>
      <c r="K35" s="1419"/>
      <c r="L35" s="1486"/>
      <c r="M35" s="1419"/>
      <c r="N35" s="1486"/>
      <c r="O35" s="1419"/>
      <c r="P35" s="1486"/>
      <c r="Q35" s="1419"/>
      <c r="R35" s="1486"/>
      <c r="S35" s="1419"/>
    </row>
    <row r="36" spans="1:30">
      <c r="A36" s="1412"/>
      <c r="B36" s="1113"/>
      <c r="C36" s="23"/>
      <c r="D36" s="345"/>
      <c r="E36" s="86"/>
      <c r="F36" s="431"/>
      <c r="G36" s="1402"/>
      <c r="H36" s="1486"/>
      <c r="I36" s="1419"/>
      <c r="J36" s="1486"/>
      <c r="K36" s="1419"/>
      <c r="L36" s="1486"/>
      <c r="M36" s="1419"/>
      <c r="N36" s="1486"/>
      <c r="O36" s="1419"/>
      <c r="P36" s="1486"/>
      <c r="Q36" s="1419"/>
      <c r="R36" s="1486"/>
      <c r="S36" s="1419"/>
    </row>
    <row r="37" spans="1:30">
      <c r="A37" s="1412"/>
      <c r="B37" s="1113"/>
      <c r="C37" s="23"/>
      <c r="D37" s="345"/>
      <c r="E37" s="86"/>
      <c r="F37" s="431"/>
      <c r="G37" s="1402"/>
      <c r="H37" s="1486"/>
      <c r="I37" s="1419"/>
      <c r="J37" s="1486"/>
      <c r="K37" s="1419"/>
      <c r="L37" s="1486"/>
      <c r="M37" s="1419"/>
      <c r="N37" s="1486"/>
      <c r="O37" s="1419"/>
      <c r="P37" s="1486"/>
      <c r="Q37" s="1419"/>
      <c r="R37" s="1486"/>
      <c r="S37" s="1419"/>
    </row>
    <row r="38" spans="1:30">
      <c r="A38" s="1412"/>
      <c r="B38" s="1113"/>
      <c r="C38" s="23"/>
      <c r="D38" s="345"/>
      <c r="E38" s="86"/>
      <c r="F38" s="431"/>
      <c r="G38" s="1402"/>
      <c r="H38" s="1486"/>
      <c r="I38" s="1419"/>
      <c r="J38" s="1486"/>
      <c r="K38" s="1419"/>
      <c r="L38" s="1486"/>
      <c r="M38" s="1419"/>
      <c r="N38" s="1486"/>
      <c r="O38" s="1419"/>
      <c r="P38" s="1486"/>
      <c r="Q38" s="1419"/>
      <c r="R38" s="1486"/>
      <c r="S38" s="1419"/>
    </row>
    <row r="39" spans="1:30">
      <c r="A39" s="1412"/>
      <c r="B39" s="1113"/>
      <c r="C39" s="23"/>
      <c r="D39" s="345"/>
      <c r="E39" s="86"/>
      <c r="F39" s="431"/>
      <c r="G39" s="1402"/>
      <c r="H39" s="1486"/>
      <c r="I39" s="1419"/>
      <c r="J39" s="1486"/>
      <c r="K39" s="1419"/>
      <c r="L39" s="1486"/>
      <c r="M39" s="1419"/>
      <c r="N39" s="1486"/>
      <c r="O39" s="1419"/>
      <c r="P39" s="1486"/>
      <c r="Q39" s="1419"/>
      <c r="R39" s="1486"/>
      <c r="S39" s="1419"/>
    </row>
    <row r="40" spans="1:30">
      <c r="A40" s="1412"/>
      <c r="B40" s="1113"/>
      <c r="C40" s="23"/>
      <c r="D40" s="345"/>
      <c r="E40" s="86"/>
      <c r="F40" s="431"/>
      <c r="G40" s="1402"/>
      <c r="H40" s="1486"/>
      <c r="I40" s="1419"/>
      <c r="J40" s="1486"/>
      <c r="K40" s="1419"/>
      <c r="L40" s="1486"/>
      <c r="M40" s="1419"/>
      <c r="N40" s="1486"/>
      <c r="O40" s="1419"/>
      <c r="P40" s="1486"/>
      <c r="Q40" s="1419"/>
      <c r="R40" s="1486"/>
      <c r="S40" s="1419"/>
      <c r="V40" t="s">
        <v>1323</v>
      </c>
      <c r="AA40">
        <v>2</v>
      </c>
      <c r="AB40">
        <v>10.17</v>
      </c>
      <c r="AC40" s="261">
        <f>AA40*AB40</f>
        <v>20.34</v>
      </c>
      <c r="AD40" t="s">
        <v>663</v>
      </c>
    </row>
    <row r="41" spans="1:30">
      <c r="A41" s="1412"/>
      <c r="B41" s="1113"/>
      <c r="C41" s="23"/>
      <c r="D41" s="345"/>
      <c r="E41" s="86"/>
      <c r="F41" s="431"/>
      <c r="G41" s="1402"/>
      <c r="H41" s="1486"/>
      <c r="I41" s="1419"/>
      <c r="J41" s="1486"/>
      <c r="K41" s="1419"/>
      <c r="L41" s="1486"/>
      <c r="M41" s="1419"/>
      <c r="N41" s="1486"/>
      <c r="O41" s="1419"/>
      <c r="P41" s="1486"/>
      <c r="Q41" s="1419"/>
      <c r="R41" s="1486"/>
      <c r="S41" s="1419"/>
      <c r="V41" t="s">
        <v>1324</v>
      </c>
      <c r="Y41">
        <v>6</v>
      </c>
      <c r="AD41" t="s">
        <v>663</v>
      </c>
    </row>
    <row r="42" spans="1:30">
      <c r="A42" s="1412"/>
      <c r="B42" s="1113"/>
      <c r="C42" s="23"/>
      <c r="D42" s="345"/>
      <c r="E42" s="86"/>
      <c r="F42" s="431"/>
      <c r="G42" s="1402"/>
      <c r="H42" s="1486"/>
      <c r="I42" s="1419"/>
      <c r="J42" s="1486"/>
      <c r="K42" s="1419"/>
      <c r="L42" s="1486"/>
      <c r="M42" s="1419"/>
      <c r="N42" s="1486"/>
      <c r="O42" s="1419"/>
      <c r="P42" s="1486"/>
      <c r="Q42" s="1419"/>
      <c r="R42" s="1486"/>
      <c r="S42" s="1419"/>
      <c r="V42" t="s">
        <v>1325</v>
      </c>
      <c r="Z42">
        <v>6</v>
      </c>
      <c r="AD42" t="s">
        <v>663</v>
      </c>
    </row>
    <row r="43" spans="1:30">
      <c r="A43" s="1412"/>
      <c r="B43" s="1113"/>
      <c r="C43" s="23"/>
      <c r="D43" s="345"/>
      <c r="E43" s="86"/>
      <c r="F43" s="431"/>
      <c r="G43" s="1402"/>
      <c r="H43" s="1486"/>
      <c r="I43" s="1419"/>
      <c r="J43" s="1486"/>
      <c r="K43" s="1419"/>
      <c r="L43" s="1486"/>
      <c r="M43" s="1419"/>
      <c r="N43" s="1486"/>
      <c r="O43" s="1419"/>
      <c r="P43" s="1486"/>
      <c r="Q43" s="1419"/>
      <c r="R43" s="1486"/>
      <c r="S43" s="1419"/>
      <c r="V43" t="s">
        <v>1326</v>
      </c>
      <c r="AA43">
        <v>2</v>
      </c>
      <c r="AB43">
        <v>10.42</v>
      </c>
      <c r="AC43" s="261">
        <f>AA43*AB43</f>
        <v>20.84</v>
      </c>
      <c r="AD43" t="s">
        <v>663</v>
      </c>
    </row>
    <row r="44" spans="1:30">
      <c r="A44" s="1412"/>
      <c r="B44" s="1113"/>
      <c r="C44" s="23"/>
      <c r="D44" s="345"/>
      <c r="E44" s="86"/>
      <c r="F44" s="431"/>
      <c r="G44" s="1402"/>
      <c r="H44" s="1486"/>
      <c r="I44" s="1419"/>
      <c r="J44" s="1486"/>
      <c r="K44" s="1419"/>
      <c r="L44" s="1486"/>
      <c r="M44" s="1419"/>
      <c r="N44" s="1486"/>
      <c r="O44" s="1419"/>
      <c r="P44" s="1486"/>
      <c r="Q44" s="1419"/>
      <c r="R44" s="1486"/>
      <c r="S44" s="1419"/>
      <c r="V44" t="s">
        <v>1327</v>
      </c>
      <c r="Y44">
        <v>6</v>
      </c>
      <c r="AD44" t="s">
        <v>663</v>
      </c>
    </row>
    <row r="45" spans="1:30">
      <c r="A45" s="1412"/>
      <c r="B45" s="1113"/>
      <c r="C45" s="23"/>
      <c r="D45" s="345"/>
      <c r="E45" s="86"/>
      <c r="F45" s="431"/>
      <c r="G45" s="1402"/>
      <c r="H45" s="1486"/>
      <c r="I45" s="1419"/>
      <c r="J45" s="1486"/>
      <c r="K45" s="1419"/>
      <c r="L45" s="1486"/>
      <c r="M45" s="1419"/>
      <c r="N45" s="1486"/>
      <c r="O45" s="1419"/>
      <c r="P45" s="1486"/>
      <c r="Q45" s="1419"/>
      <c r="R45" s="1486"/>
      <c r="S45" s="1419"/>
      <c r="V45" t="s">
        <v>1328</v>
      </c>
      <c r="Z45">
        <v>6</v>
      </c>
      <c r="AD45" t="s">
        <v>663</v>
      </c>
    </row>
    <row r="46" spans="1:30">
      <c r="A46" s="1412"/>
      <c r="B46" s="1113"/>
      <c r="C46" s="23"/>
      <c r="D46" s="345"/>
      <c r="E46" s="86"/>
      <c r="F46" s="431"/>
      <c r="G46" s="1402"/>
      <c r="H46" s="1486"/>
      <c r="I46" s="1419"/>
      <c r="J46" s="1486"/>
      <c r="K46" s="1419"/>
      <c r="L46" s="1486"/>
      <c r="M46" s="1419"/>
      <c r="N46" s="1486"/>
      <c r="O46" s="1419"/>
      <c r="P46" s="1486"/>
      <c r="Q46" s="1419"/>
      <c r="R46" s="1486"/>
      <c r="S46" s="1419"/>
      <c r="V46" t="s">
        <v>1329</v>
      </c>
      <c r="AA46">
        <v>2</v>
      </c>
      <c r="AB46">
        <v>10.42</v>
      </c>
      <c r="AC46" s="261">
        <f>AA46*AB46</f>
        <v>20.84</v>
      </c>
      <c r="AD46" t="s">
        <v>663</v>
      </c>
    </row>
    <row r="47" spans="1:30">
      <c r="A47" s="1412"/>
      <c r="B47" s="1113"/>
      <c r="C47" s="23"/>
      <c r="D47" s="345"/>
      <c r="E47" s="86"/>
      <c r="F47" s="431"/>
      <c r="G47" s="1402"/>
      <c r="H47" s="1486"/>
      <c r="I47" s="1419"/>
      <c r="J47" s="1486"/>
      <c r="K47" s="1419"/>
      <c r="L47" s="1486"/>
      <c r="M47" s="1419"/>
      <c r="N47" s="1486"/>
      <c r="O47" s="1419"/>
      <c r="P47" s="1486"/>
      <c r="Q47" s="1419"/>
      <c r="R47" s="1486"/>
      <c r="S47" s="1419"/>
      <c r="Y47">
        <f>SUM(Y24:Y46)</f>
        <v>61</v>
      </c>
      <c r="Z47">
        <f t="shared" ref="Z47:AC47" si="0">SUM(Z24:Z46)</f>
        <v>36</v>
      </c>
      <c r="AA47">
        <f t="shared" si="0"/>
        <v>8</v>
      </c>
      <c r="AC47" s="261">
        <f t="shared" si="0"/>
        <v>84.36</v>
      </c>
      <c r="AD47" t="s">
        <v>663</v>
      </c>
    </row>
    <row r="48" spans="1:30">
      <c r="A48" s="1412"/>
      <c r="B48" s="1113"/>
      <c r="C48" s="23"/>
      <c r="D48" s="345"/>
      <c r="E48" s="86"/>
      <c r="F48" s="431"/>
      <c r="G48" s="1402"/>
      <c r="H48" s="1486"/>
      <c r="I48" s="1419"/>
      <c r="J48" s="1486"/>
      <c r="K48" s="1419"/>
      <c r="L48" s="1486"/>
      <c r="M48" s="1419"/>
      <c r="N48" s="1486"/>
      <c r="O48" s="1419"/>
      <c r="P48" s="1486"/>
      <c r="Q48" s="1419"/>
      <c r="R48" s="1486"/>
      <c r="S48" s="1419"/>
    </row>
    <row r="49" spans="1:34">
      <c r="A49" s="1412"/>
      <c r="B49" s="1113"/>
      <c r="C49" s="23"/>
      <c r="D49" s="345"/>
      <c r="E49" s="86"/>
      <c r="F49" s="431"/>
      <c r="G49" s="830"/>
      <c r="H49" s="1486"/>
      <c r="I49" s="1419"/>
      <c r="J49" s="1486"/>
      <c r="K49" s="1419"/>
      <c r="L49" s="1486"/>
      <c r="M49" s="1419"/>
      <c r="N49" s="1486"/>
      <c r="O49" s="1419"/>
      <c r="P49" s="1486"/>
      <c r="Q49" s="1419"/>
      <c r="R49" s="1486"/>
      <c r="S49" s="1419"/>
      <c r="V49" t="s">
        <v>1330</v>
      </c>
      <c r="Y49">
        <v>102</v>
      </c>
    </row>
    <row r="50" spans="1:34" ht="15.75" thickBot="1">
      <c r="A50" s="1412"/>
      <c r="B50" s="1113"/>
      <c r="C50" s="23"/>
      <c r="D50" s="345"/>
      <c r="E50" s="86"/>
      <c r="F50" s="431"/>
      <c r="G50" s="830"/>
      <c r="H50" s="1486"/>
      <c r="I50" s="1419"/>
      <c r="J50" s="1486"/>
      <c r="K50" s="1419"/>
      <c r="L50" s="1486"/>
      <c r="M50" s="1419"/>
      <c r="N50" s="1486"/>
      <c r="O50" s="1419"/>
      <c r="P50" s="1486"/>
      <c r="Q50" s="1419"/>
      <c r="R50" s="1486"/>
      <c r="S50" s="1419"/>
    </row>
    <row r="51" spans="1:34" ht="15.75" thickTop="1">
      <c r="A51" s="296"/>
      <c r="B51" s="301"/>
      <c r="C51" s="297"/>
      <c r="D51" s="346"/>
      <c r="E51" s="16"/>
      <c r="F51" s="282" t="s">
        <v>753</v>
      </c>
      <c r="G51" s="272">
        <f>SUM(G21:G50)</f>
        <v>0</v>
      </c>
      <c r="H51" s="273"/>
      <c r="I51" s="273">
        <f>SUM(I21:I50)</f>
        <v>170000</v>
      </c>
      <c r="J51" s="273"/>
      <c r="K51" s="273">
        <f>SUM(K21:K50)</f>
        <v>0</v>
      </c>
      <c r="L51" s="273"/>
      <c r="M51" s="273">
        <f>SUM(M21:M50)</f>
        <v>0</v>
      </c>
      <c r="N51" s="273"/>
      <c r="O51" s="273">
        <f>SUM(O21:O50)</f>
        <v>0</v>
      </c>
      <c r="P51" s="273"/>
      <c r="Q51" s="273">
        <f>SUM(Q21:Q50)</f>
        <v>0</v>
      </c>
      <c r="R51" s="273"/>
      <c r="S51" s="273">
        <f>SUM(S21:S50)</f>
        <v>0</v>
      </c>
    </row>
    <row r="52" spans="1:34">
      <c r="A52" s="1114"/>
      <c r="B52" s="1164"/>
      <c r="C52" s="432"/>
      <c r="D52" s="452"/>
      <c r="E52" s="434"/>
      <c r="F52" s="435" t="s">
        <v>754</v>
      </c>
      <c r="G52" s="436"/>
      <c r="H52" s="1165">
        <v>0</v>
      </c>
      <c r="I52" s="1166"/>
      <c r="J52" s="1165">
        <v>0</v>
      </c>
      <c r="K52" s="1166"/>
      <c r="L52" s="1165">
        <v>0</v>
      </c>
      <c r="M52" s="1166"/>
      <c r="N52" s="1165">
        <v>0</v>
      </c>
      <c r="O52" s="1166"/>
      <c r="P52" s="1165">
        <v>0</v>
      </c>
      <c r="Q52" s="1166"/>
      <c r="R52" s="1165">
        <v>0</v>
      </c>
      <c r="S52" s="1166"/>
    </row>
    <row r="53" spans="1:34">
      <c r="A53" s="1114"/>
      <c r="B53" s="1164"/>
      <c r="C53" s="432"/>
      <c r="D53" s="452"/>
      <c r="E53" s="434"/>
      <c r="F53" s="435" t="s">
        <v>755</v>
      </c>
      <c r="G53" s="436"/>
      <c r="H53" s="1166"/>
      <c r="I53" s="1166">
        <f>I51*H52</f>
        <v>0</v>
      </c>
      <c r="J53" s="1166"/>
      <c r="K53" s="1166">
        <f>K51*J52</f>
        <v>0</v>
      </c>
      <c r="L53" s="1166"/>
      <c r="M53" s="1166">
        <f>M51*L52</f>
        <v>0</v>
      </c>
      <c r="N53" s="1166"/>
      <c r="O53" s="1166">
        <f>O51*N52</f>
        <v>0</v>
      </c>
      <c r="P53" s="1166"/>
      <c r="Q53" s="1166">
        <f>Q51*P52</f>
        <v>0</v>
      </c>
      <c r="R53" s="1166"/>
      <c r="S53" s="1166">
        <f>S51*R52</f>
        <v>0</v>
      </c>
    </row>
    <row r="54" spans="1:34">
      <c r="A54" s="1114"/>
      <c r="B54" s="1164"/>
      <c r="C54" s="432"/>
      <c r="D54" s="452"/>
      <c r="E54" s="434"/>
      <c r="F54" s="435"/>
      <c r="G54" s="436"/>
      <c r="H54" s="1166"/>
      <c r="I54" s="1166"/>
      <c r="J54" s="1166"/>
      <c r="K54" s="1166"/>
      <c r="L54" s="1166"/>
      <c r="M54" s="1166"/>
      <c r="N54" s="1166"/>
      <c r="O54" s="1166"/>
      <c r="P54" s="1166"/>
      <c r="Q54" s="1166"/>
      <c r="R54" s="1166"/>
      <c r="S54" s="1166"/>
    </row>
    <row r="55" spans="1:34">
      <c r="A55" s="1114"/>
      <c r="B55" s="1164"/>
      <c r="C55" s="432"/>
      <c r="D55" s="452"/>
      <c r="E55" s="434"/>
      <c r="F55" s="435" t="s">
        <v>756</v>
      </c>
      <c r="G55" s="436"/>
      <c r="H55" s="1166"/>
      <c r="I55" s="1166">
        <f>SUM(I51:I53)</f>
        <v>170000</v>
      </c>
      <c r="J55" s="1166"/>
      <c r="K55" s="1166">
        <f>SUM(K51:K53)</f>
        <v>0</v>
      </c>
      <c r="L55" s="1166"/>
      <c r="M55" s="1166">
        <f>SUM(M51:M53)</f>
        <v>0</v>
      </c>
      <c r="N55" s="1166"/>
      <c r="O55" s="1166">
        <f>SUM(O51:O53)</f>
        <v>0</v>
      </c>
      <c r="P55" s="1166"/>
      <c r="Q55" s="1166">
        <f>SUM(Q51:Q53)</f>
        <v>0</v>
      </c>
      <c r="R55" s="1166"/>
      <c r="S55" s="1166">
        <f>SUM(S51:S53)</f>
        <v>0</v>
      </c>
    </row>
    <row r="56" spans="1:34">
      <c r="A56" s="1114"/>
      <c r="B56" s="1164"/>
      <c r="C56" s="432"/>
      <c r="D56" s="452"/>
      <c r="E56" s="434"/>
      <c r="F56" s="437" t="s">
        <v>757</v>
      </c>
      <c r="G56" s="438"/>
      <c r="H56" s="1167"/>
      <c r="I56" s="1167">
        <f>I55/'Area Calculations'!$G$4</f>
        <v>0.29378066335673786</v>
      </c>
      <c r="J56" s="1167"/>
      <c r="K56" s="1167">
        <f>K55/'Area Calculations'!$G$4</f>
        <v>0</v>
      </c>
      <c r="L56" s="1167"/>
      <c r="M56" s="1167">
        <f>M55/'Area Calculations'!$G$4</f>
        <v>0</v>
      </c>
      <c r="N56" s="1167"/>
      <c r="O56" s="1167">
        <f>O55/'Area Calculations'!$G$4</f>
        <v>0</v>
      </c>
      <c r="P56" s="1167"/>
      <c r="Q56" s="1167">
        <f>Q55/'Area Calculations'!$G$4</f>
        <v>0</v>
      </c>
      <c r="R56" s="1167"/>
      <c r="S56" s="1167">
        <f>S55/'Area Calculations'!$G$4</f>
        <v>0</v>
      </c>
    </row>
    <row r="57" spans="1:34">
      <c r="A57" s="1114"/>
      <c r="B57" s="1164"/>
      <c r="C57" s="432"/>
      <c r="D57" s="452"/>
      <c r="E57" s="434"/>
      <c r="F57" s="437" t="s">
        <v>758</v>
      </c>
      <c r="G57" s="438"/>
      <c r="H57" s="1167"/>
      <c r="I57" s="1167">
        <f>I55/'Area Calculations'!$G$9</f>
        <v>1588.785046728972</v>
      </c>
      <c r="J57" s="1167"/>
      <c r="K57" s="1167">
        <f>K55/'Area Calculations'!$G$9</f>
        <v>0</v>
      </c>
      <c r="L57" s="1167"/>
      <c r="M57" s="1167">
        <f>M55/'Area Calculations'!$G$9</f>
        <v>0</v>
      </c>
      <c r="N57" s="1167"/>
      <c r="O57" s="1167">
        <f>O55/'Area Calculations'!$G$9</f>
        <v>0</v>
      </c>
      <c r="P57" s="1167"/>
      <c r="Q57" s="1167">
        <f>Q55/'Area Calculations'!$G$9</f>
        <v>0</v>
      </c>
      <c r="R57" s="1167"/>
      <c r="S57" s="1167">
        <f>S55/'Area Calculations'!$G$9</f>
        <v>0</v>
      </c>
    </row>
    <row r="58" spans="1:34" ht="15.75" thickBot="1">
      <c r="A58" s="1114"/>
      <c r="B58" s="1164"/>
      <c r="C58" s="432"/>
      <c r="D58" s="452"/>
      <c r="E58" s="434"/>
      <c r="F58" s="439"/>
      <c r="G58" s="436"/>
      <c r="H58" s="1168"/>
      <c r="I58" s="1168"/>
      <c r="J58" s="1168"/>
      <c r="K58" s="1168"/>
      <c r="L58" s="1168"/>
      <c r="M58" s="1168"/>
      <c r="N58" s="1168"/>
      <c r="O58" s="1168"/>
      <c r="P58" s="1168"/>
      <c r="Q58" s="1168"/>
      <c r="R58" s="1168"/>
      <c r="S58" s="1168"/>
    </row>
    <row r="59" spans="1:34" ht="16.5" thickTop="1" thickBot="1">
      <c r="A59" s="2331" t="s">
        <v>759</v>
      </c>
      <c r="B59" s="2332"/>
      <c r="C59" s="298"/>
      <c r="D59" s="347"/>
      <c r="E59" s="12"/>
      <c r="F59" s="12"/>
      <c r="G59" s="26"/>
      <c r="H59" s="24"/>
      <c r="I59" s="20"/>
      <c r="J59" s="20"/>
      <c r="K59" s="20"/>
      <c r="L59" s="20"/>
      <c r="M59" s="20"/>
      <c r="N59" s="20"/>
      <c r="O59" s="20"/>
      <c r="P59" s="20"/>
      <c r="Q59" s="20"/>
      <c r="R59" s="20"/>
      <c r="S59" s="20"/>
    </row>
    <row r="60" spans="1:34" ht="15.75" thickTop="1">
      <c r="A60" s="1403"/>
      <c r="B60" s="1490"/>
      <c r="C60" s="1396"/>
      <c r="D60" s="1414"/>
      <c r="E60" s="1435"/>
      <c r="F60" s="1435"/>
      <c r="G60" s="1404"/>
      <c r="H60" s="1405"/>
      <c r="I60" s="1406"/>
      <c r="J60" s="1406"/>
      <c r="K60" s="1406"/>
      <c r="L60" s="1406"/>
      <c r="M60" s="1406"/>
      <c r="N60" s="1406"/>
      <c r="O60" s="1406"/>
      <c r="P60" s="1406"/>
      <c r="Q60" s="1406"/>
      <c r="R60" s="1406"/>
      <c r="S60" s="1406"/>
    </row>
    <row r="61" spans="1:34">
      <c r="A61" s="1403"/>
      <c r="B61" s="1105"/>
      <c r="C61" s="1396"/>
      <c r="D61" s="1414"/>
      <c r="E61" s="1435"/>
      <c r="F61" s="1435"/>
      <c r="G61" s="1404"/>
      <c r="H61" s="1405"/>
      <c r="I61" s="1406"/>
      <c r="J61" s="1406"/>
      <c r="K61" s="1406"/>
      <c r="L61" s="1406"/>
      <c r="M61" s="1406"/>
      <c r="N61" s="1406"/>
      <c r="O61" s="1406"/>
      <c r="P61" s="1406"/>
      <c r="Q61" s="1406"/>
      <c r="R61" s="1406"/>
      <c r="S61" s="1406"/>
    </row>
    <row r="62" spans="1:34" ht="15.75" thickBot="1">
      <c r="A62" s="1403"/>
      <c r="B62" s="1105"/>
      <c r="C62" s="1396"/>
      <c r="D62" s="1414"/>
      <c r="E62" s="1435"/>
      <c r="F62" s="1435"/>
      <c r="G62" s="1404"/>
      <c r="H62" s="1405"/>
      <c r="I62" s="1406"/>
      <c r="J62" s="1406"/>
      <c r="K62" s="1406"/>
      <c r="L62" s="1406"/>
      <c r="M62" s="1406"/>
      <c r="N62" s="1406"/>
      <c r="O62" s="1406"/>
      <c r="P62" s="1406"/>
      <c r="Q62" s="1406"/>
      <c r="R62" s="1406"/>
      <c r="S62" s="1406"/>
    </row>
    <row r="63" spans="1:34" s="2" customFormat="1" ht="16.5" thickTop="1" thickBot="1">
      <c r="A63" s="2331" t="s">
        <v>760</v>
      </c>
      <c r="B63" s="2332"/>
      <c r="C63" s="298"/>
      <c r="D63" s="347"/>
      <c r="E63" s="12"/>
      <c r="F63" s="12"/>
      <c r="G63" s="26"/>
      <c r="H63" s="24"/>
      <c r="I63" s="20"/>
      <c r="J63" s="20"/>
      <c r="K63" s="20"/>
      <c r="L63" s="20"/>
      <c r="M63" s="20"/>
      <c r="N63" s="20"/>
      <c r="O63" s="20"/>
      <c r="P63" s="20"/>
      <c r="Q63" s="20"/>
      <c r="R63" s="20"/>
      <c r="S63" s="20"/>
      <c r="T63"/>
      <c r="U63"/>
      <c r="V63"/>
      <c r="W63"/>
      <c r="X63"/>
      <c r="Y63"/>
      <c r="Z63"/>
      <c r="AA63"/>
      <c r="AB63"/>
      <c r="AC63" s="261"/>
      <c r="AD63"/>
      <c r="AE63"/>
      <c r="AF63"/>
      <c r="AG63"/>
      <c r="AH63"/>
    </row>
    <row r="64" spans="1:34" s="2" customFormat="1" ht="15.75" thickTop="1">
      <c r="A64" s="1403"/>
      <c r="B64" s="1105"/>
      <c r="C64" s="1396"/>
      <c r="D64" s="1414"/>
      <c r="E64" s="1435"/>
      <c r="F64" s="1435"/>
      <c r="G64" s="1404"/>
      <c r="H64" s="1405"/>
      <c r="I64" s="1406"/>
      <c r="J64" s="1406"/>
      <c r="K64" s="1406"/>
      <c r="L64" s="1406"/>
      <c r="M64" s="1406"/>
      <c r="N64" s="1406"/>
      <c r="O64" s="1406"/>
      <c r="P64" s="1406"/>
      <c r="Q64" s="1406"/>
      <c r="R64" s="1406"/>
      <c r="S64" s="1406"/>
      <c r="T64"/>
      <c r="U64"/>
      <c r="V64"/>
      <c r="W64"/>
      <c r="X64"/>
      <c r="Y64"/>
      <c r="Z64"/>
      <c r="AA64"/>
      <c r="AB64"/>
      <c r="AC64" s="261"/>
      <c r="AD64"/>
      <c r="AE64"/>
      <c r="AF64"/>
      <c r="AG64"/>
      <c r="AH64"/>
    </row>
    <row r="65" spans="1:34" s="2" customFormat="1">
      <c r="A65" s="1403"/>
      <c r="B65" s="1105"/>
      <c r="C65" s="1396"/>
      <c r="D65" s="1414"/>
      <c r="E65" s="1435"/>
      <c r="F65" s="1435"/>
      <c r="G65" s="1404"/>
      <c r="H65" s="1405"/>
      <c r="I65" s="1406"/>
      <c r="J65" s="1406"/>
      <c r="K65" s="1406"/>
      <c r="L65" s="1406"/>
      <c r="M65" s="1406"/>
      <c r="N65" s="1406"/>
      <c r="O65" s="1406"/>
      <c r="P65" s="1406"/>
      <c r="Q65" s="1406"/>
      <c r="R65" s="1406"/>
      <c r="S65" s="1406"/>
      <c r="T65"/>
      <c r="U65"/>
      <c r="V65"/>
      <c r="W65"/>
      <c r="X65"/>
      <c r="Y65"/>
      <c r="Z65"/>
      <c r="AA65"/>
      <c r="AB65"/>
      <c r="AC65" s="261"/>
      <c r="AD65"/>
      <c r="AE65"/>
      <c r="AF65"/>
      <c r="AG65"/>
      <c r="AH65"/>
    </row>
    <row r="66" spans="1:34" ht="15.75" thickBot="1">
      <c r="A66" s="1403"/>
      <c r="B66" s="1105"/>
      <c r="C66" s="1396"/>
      <c r="D66" s="1414"/>
      <c r="E66" s="1435"/>
      <c r="F66" s="1435"/>
      <c r="G66" s="1404"/>
      <c r="H66" s="1405"/>
      <c r="I66" s="1406"/>
      <c r="J66" s="1406"/>
      <c r="K66" s="1406"/>
      <c r="L66" s="1406"/>
      <c r="M66" s="1406"/>
      <c r="N66" s="1406"/>
      <c r="O66" s="1406"/>
      <c r="P66" s="1406"/>
      <c r="Q66" s="1406"/>
      <c r="R66" s="1406"/>
      <c r="S66" s="1406"/>
    </row>
    <row r="67" spans="1:34" s="2" customFormat="1" ht="16.5" thickTop="1" thickBot="1">
      <c r="A67" s="2331" t="s">
        <v>761</v>
      </c>
      <c r="B67" s="2332"/>
      <c r="C67" s="298"/>
      <c r="D67" s="347"/>
      <c r="E67" s="12"/>
      <c r="F67" s="12"/>
      <c r="G67" s="26"/>
      <c r="H67" s="24"/>
      <c r="I67" s="20"/>
      <c r="J67" s="20"/>
      <c r="K67" s="20"/>
      <c r="L67" s="20"/>
      <c r="M67" s="20"/>
      <c r="N67" s="20"/>
      <c r="O67" s="20"/>
      <c r="P67" s="20"/>
      <c r="Q67" s="20"/>
      <c r="R67" s="20"/>
      <c r="S67" s="20"/>
      <c r="T67"/>
      <c r="U67"/>
      <c r="V67"/>
      <c r="W67"/>
      <c r="X67"/>
      <c r="Y67"/>
      <c r="Z67"/>
      <c r="AA67"/>
      <c r="AB67"/>
      <c r="AC67" s="261"/>
      <c r="AD67"/>
      <c r="AE67"/>
      <c r="AF67"/>
      <c r="AG67"/>
      <c r="AH67"/>
    </row>
    <row r="68" spans="1:34" s="2" customFormat="1" ht="15.75" thickTop="1">
      <c r="A68" s="1403"/>
      <c r="B68" s="1105"/>
      <c r="C68" s="1396"/>
      <c r="D68" s="1414"/>
      <c r="E68" s="1435"/>
      <c r="F68" s="1435"/>
      <c r="G68" s="1404"/>
      <c r="H68" s="1405"/>
      <c r="I68" s="1406"/>
      <c r="J68" s="1406"/>
      <c r="K68" s="1406"/>
      <c r="L68" s="1406"/>
      <c r="M68" s="1406"/>
      <c r="N68" s="1406"/>
      <c r="O68" s="1406"/>
      <c r="P68" s="1406"/>
      <c r="Q68" s="1406"/>
      <c r="R68" s="1406"/>
      <c r="S68" s="1406"/>
      <c r="T68"/>
      <c r="U68"/>
      <c r="V68"/>
      <c r="W68"/>
      <c r="X68"/>
      <c r="Y68"/>
      <c r="Z68"/>
      <c r="AA68"/>
      <c r="AB68"/>
      <c r="AC68" s="261"/>
      <c r="AD68"/>
      <c r="AE68"/>
      <c r="AF68"/>
      <c r="AG68"/>
      <c r="AH68"/>
    </row>
    <row r="69" spans="1:34" s="2" customFormat="1">
      <c r="A69" s="1124"/>
      <c r="B69" s="1105"/>
      <c r="C69" s="415"/>
      <c r="D69" s="416"/>
      <c r="E69" s="422"/>
      <c r="F69" s="422"/>
      <c r="G69" s="831"/>
      <c r="H69" s="440"/>
      <c r="I69" s="1173"/>
      <c r="J69" s="1173"/>
      <c r="K69" s="1173"/>
      <c r="L69" s="1173"/>
      <c r="M69" s="1173"/>
      <c r="N69" s="1173"/>
      <c r="O69" s="1173"/>
      <c r="P69" s="1173"/>
      <c r="Q69" s="1173"/>
      <c r="R69" s="1173"/>
      <c r="S69" s="1173"/>
      <c r="T69"/>
      <c r="U69"/>
      <c r="V69"/>
      <c r="W69"/>
      <c r="X69"/>
      <c r="Y69"/>
      <c r="Z69"/>
      <c r="AA69"/>
      <c r="AB69"/>
      <c r="AC69" s="261"/>
      <c r="AD69"/>
      <c r="AE69"/>
      <c r="AF69"/>
      <c r="AG69"/>
      <c r="AH69"/>
    </row>
    <row r="70" spans="1:34" s="2" customFormat="1" ht="15.75" thickBot="1">
      <c r="A70" s="1126"/>
      <c r="B70" s="1174"/>
      <c r="C70" s="415"/>
      <c r="D70" s="416"/>
      <c r="E70" s="422"/>
      <c r="F70" s="422"/>
      <c r="G70" s="831"/>
      <c r="H70" s="441"/>
      <c r="I70" s="1175"/>
      <c r="J70" s="1175"/>
      <c r="K70" s="1175"/>
      <c r="L70" s="1175"/>
      <c r="M70" s="1175"/>
      <c r="N70" s="1175"/>
      <c r="O70" s="1175"/>
      <c r="P70" s="1175"/>
      <c r="Q70" s="1175"/>
      <c r="R70" s="1175"/>
      <c r="S70" s="1175"/>
      <c r="AC70" s="260"/>
    </row>
    <row r="71" spans="1:34" s="2" customFormat="1" ht="16.5" thickTop="1" thickBot="1">
      <c r="A71" s="2331" t="s">
        <v>762</v>
      </c>
      <c r="B71" s="2332"/>
      <c r="C71" s="298"/>
      <c r="D71" s="347"/>
      <c r="E71" s="12"/>
      <c r="F71" s="12"/>
      <c r="G71" s="26"/>
      <c r="H71" s="24"/>
      <c r="I71" s="20"/>
      <c r="J71" s="20"/>
      <c r="K71" s="20"/>
      <c r="L71" s="20"/>
      <c r="M71" s="20"/>
      <c r="N71" s="20"/>
      <c r="O71" s="20"/>
      <c r="P71" s="20"/>
      <c r="Q71" s="20"/>
      <c r="R71" s="20"/>
      <c r="S71" s="20"/>
      <c r="T71"/>
      <c r="U71"/>
      <c r="V71"/>
      <c r="W71"/>
      <c r="X71"/>
      <c r="Y71"/>
      <c r="Z71"/>
      <c r="AA71"/>
      <c r="AB71"/>
      <c r="AC71" s="261"/>
      <c r="AD71"/>
      <c r="AE71"/>
      <c r="AF71"/>
      <c r="AG71"/>
      <c r="AH71"/>
    </row>
    <row r="72" spans="1:34" ht="15.75" thickTop="1">
      <c r="A72" s="1407"/>
      <c r="B72" s="1408"/>
      <c r="C72" s="1396"/>
      <c r="D72" s="1414"/>
      <c r="E72" s="1435"/>
      <c r="F72" s="1435"/>
      <c r="G72" s="1404"/>
      <c r="H72" s="1405"/>
      <c r="I72" s="1406"/>
      <c r="J72" s="1406"/>
      <c r="K72" s="1406"/>
      <c r="L72" s="1406"/>
      <c r="M72" s="1406"/>
      <c r="N72" s="1406"/>
      <c r="O72" s="1406"/>
      <c r="P72" s="1406"/>
      <c r="Q72" s="1406"/>
      <c r="R72" s="1406"/>
      <c r="S72" s="1406"/>
      <c r="T72" s="2"/>
      <c r="U72" s="2"/>
      <c r="V72" s="2"/>
      <c r="W72" s="2"/>
      <c r="X72" s="2"/>
      <c r="Y72" s="2"/>
      <c r="Z72" s="2"/>
      <c r="AA72" s="2"/>
      <c r="AB72" s="2"/>
      <c r="AC72" s="260"/>
      <c r="AD72" s="2"/>
      <c r="AE72" s="2"/>
      <c r="AF72" s="2"/>
      <c r="AG72" s="2"/>
      <c r="AH72" s="2"/>
    </row>
    <row r="73" spans="1:34">
      <c r="A73" s="1126"/>
      <c r="B73" s="1174"/>
      <c r="C73" s="415"/>
      <c r="D73" s="416"/>
      <c r="E73" s="422"/>
      <c r="F73" s="422"/>
      <c r="G73" s="831"/>
      <c r="H73" s="442"/>
      <c r="I73" s="1178"/>
      <c r="J73" s="1178"/>
      <c r="K73" s="1178"/>
      <c r="L73" s="1178"/>
      <c r="M73" s="1178"/>
      <c r="N73" s="1178"/>
      <c r="O73" s="1178"/>
      <c r="P73" s="1178"/>
      <c r="Q73" s="1178"/>
      <c r="R73" s="1178"/>
      <c r="S73" s="1178"/>
      <c r="T73" s="2"/>
      <c r="U73" s="2"/>
      <c r="V73" s="2"/>
      <c r="W73" s="2"/>
      <c r="X73" s="2"/>
      <c r="Y73" s="2"/>
      <c r="Z73" s="2"/>
      <c r="AA73" s="2"/>
      <c r="AB73" s="2"/>
      <c r="AC73" s="260"/>
      <c r="AD73" s="2"/>
      <c r="AE73" s="2"/>
      <c r="AF73" s="2"/>
      <c r="AG73" s="2"/>
      <c r="AH73" s="2"/>
    </row>
    <row r="74" spans="1:34" ht="15.75" thickBot="1">
      <c r="A74" s="1126"/>
      <c r="B74" s="1174"/>
      <c r="C74" s="415"/>
      <c r="D74" s="416"/>
      <c r="E74" s="422"/>
      <c r="F74" s="422"/>
      <c r="G74" s="831"/>
      <c r="H74" s="442"/>
      <c r="I74" s="1178"/>
      <c r="J74" s="1178"/>
      <c r="K74" s="1178"/>
      <c r="L74" s="1178"/>
      <c r="M74" s="1178"/>
      <c r="N74" s="1178"/>
      <c r="O74" s="1178"/>
      <c r="P74" s="1178"/>
      <c r="Q74" s="1178"/>
      <c r="R74" s="1178"/>
      <c r="S74" s="1178"/>
      <c r="T74" s="2"/>
      <c r="U74" s="2"/>
      <c r="V74" s="2"/>
      <c r="W74" s="2"/>
      <c r="X74" s="2"/>
      <c r="Y74" s="2"/>
      <c r="Z74" s="2"/>
      <c r="AA74" s="2"/>
      <c r="AB74" s="2"/>
      <c r="AC74" s="260"/>
      <c r="AD74" s="2"/>
      <c r="AE74" s="2"/>
      <c r="AF74" s="2"/>
      <c r="AG74" s="2"/>
      <c r="AH74" s="2"/>
    </row>
    <row r="75" spans="1:34" ht="16.5" thickTop="1" thickBot="1">
      <c r="A75" s="2331" t="s">
        <v>763</v>
      </c>
      <c r="B75" s="2332"/>
      <c r="C75" s="298"/>
      <c r="D75" s="347"/>
      <c r="E75" s="12"/>
      <c r="F75" s="12"/>
      <c r="G75" s="26"/>
      <c r="H75" s="24"/>
      <c r="I75" s="20"/>
      <c r="J75" s="20"/>
      <c r="K75" s="20"/>
      <c r="L75" s="20"/>
      <c r="M75" s="20"/>
      <c r="N75" s="20"/>
      <c r="O75" s="20"/>
      <c r="P75" s="20"/>
      <c r="Q75" s="20"/>
      <c r="R75" s="20"/>
      <c r="S75" s="20"/>
    </row>
    <row r="76" spans="1:34" ht="15.75" thickTop="1">
      <c r="A76" s="1124"/>
      <c r="B76" s="1105" t="s">
        <v>764</v>
      </c>
      <c r="C76" s="415"/>
      <c r="D76" s="416"/>
      <c r="E76" s="422"/>
      <c r="F76" s="422"/>
      <c r="G76" s="831"/>
      <c r="H76" s="442"/>
      <c r="I76" s="1178"/>
      <c r="J76" s="1178"/>
      <c r="K76" s="1178"/>
      <c r="L76" s="1178"/>
      <c r="M76" s="1178"/>
      <c r="N76" s="1178"/>
      <c r="O76" s="1178"/>
      <c r="P76" s="1178"/>
      <c r="Q76" s="1178"/>
      <c r="R76" s="1178"/>
      <c r="S76" s="1178"/>
    </row>
    <row r="77" spans="1:34">
      <c r="A77" s="1124"/>
      <c r="B77" s="1105" t="s">
        <v>765</v>
      </c>
      <c r="C77" s="415"/>
      <c r="D77" s="416"/>
      <c r="E77" s="422"/>
      <c r="F77" s="422"/>
      <c r="G77" s="831"/>
      <c r="H77" s="442"/>
      <c r="I77" s="1178"/>
      <c r="J77" s="1178"/>
      <c r="K77" s="1178"/>
      <c r="L77" s="1178"/>
      <c r="M77" s="1178"/>
      <c r="N77" s="1178"/>
      <c r="O77" s="1178"/>
      <c r="P77" s="1178"/>
      <c r="Q77" s="1178"/>
      <c r="R77" s="1178"/>
      <c r="S77" s="1178"/>
    </row>
    <row r="78" spans="1:34">
      <c r="A78" s="1124"/>
      <c r="B78" s="1105" t="s">
        <v>766</v>
      </c>
      <c r="C78" s="415"/>
      <c r="D78" s="416"/>
      <c r="E78" s="422"/>
      <c r="F78" s="422"/>
      <c r="G78" s="831"/>
      <c r="H78" s="442"/>
      <c r="I78" s="1178"/>
      <c r="J78" s="1178"/>
      <c r="K78" s="1178"/>
      <c r="L78" s="1178"/>
      <c r="M78" s="1178"/>
      <c r="N78" s="1178"/>
      <c r="O78" s="1178"/>
      <c r="P78" s="1178"/>
      <c r="Q78" s="1178"/>
      <c r="R78" s="1178"/>
      <c r="S78" s="1178"/>
    </row>
    <row r="79" spans="1:34">
      <c r="A79" s="1124"/>
      <c r="B79" s="1105" t="s">
        <v>767</v>
      </c>
      <c r="C79" s="415"/>
      <c r="D79" s="416"/>
      <c r="E79" s="422"/>
      <c r="F79" s="422"/>
      <c r="G79" s="831"/>
      <c r="H79" s="442"/>
      <c r="I79" s="1178"/>
      <c r="J79" s="1178"/>
      <c r="K79" s="1178"/>
      <c r="L79" s="1178"/>
      <c r="M79" s="1178"/>
      <c r="N79" s="1178"/>
      <c r="O79" s="1178"/>
      <c r="P79" s="1178"/>
      <c r="Q79" s="1178"/>
      <c r="R79" s="1178"/>
      <c r="S79" s="1178"/>
    </row>
    <row r="80" spans="1:34" ht="15.75" thickBot="1">
      <c r="A80" s="443"/>
      <c r="B80" s="421"/>
      <c r="C80" s="23"/>
      <c r="D80" s="265"/>
      <c r="E80" s="86"/>
      <c r="F80" s="86"/>
      <c r="G80" s="27"/>
      <c r="H80" s="25"/>
      <c r="I80" s="444"/>
      <c r="J80" s="444"/>
      <c r="K80" s="444"/>
      <c r="L80" s="444"/>
      <c r="M80" s="444"/>
      <c r="N80" s="444"/>
      <c r="O80" s="444"/>
      <c r="P80" s="444"/>
      <c r="Q80" s="444"/>
      <c r="R80" s="444"/>
      <c r="S80" s="444"/>
    </row>
    <row r="81" spans="1:19" ht="16.5" thickTop="1" thickBot="1">
      <c r="A81" s="72" t="s">
        <v>768</v>
      </c>
      <c r="B81" s="73"/>
      <c r="C81" s="298"/>
      <c r="D81" s="347"/>
      <c r="E81" s="12"/>
      <c r="F81" s="12"/>
      <c r="G81" s="26"/>
      <c r="H81" s="24"/>
      <c r="I81" s="20"/>
      <c r="J81" s="20"/>
      <c r="K81" s="20"/>
      <c r="L81" s="20"/>
      <c r="M81" s="20"/>
      <c r="N81" s="20"/>
      <c r="O81" s="20"/>
      <c r="P81" s="20"/>
      <c r="Q81" s="20"/>
      <c r="R81" s="20"/>
      <c r="S81" s="20"/>
    </row>
    <row r="82" spans="1:19" ht="15.75" thickTop="1">
      <c r="A82" s="1403"/>
      <c r="B82" s="1409" t="s">
        <v>769</v>
      </c>
      <c r="C82" s="1396"/>
      <c r="D82" s="1414"/>
      <c r="E82" s="1435"/>
      <c r="F82" s="1435"/>
      <c r="G82" s="1404"/>
      <c r="H82" s="1410"/>
      <c r="I82" s="1411"/>
      <c r="J82" s="1411"/>
      <c r="K82" s="1411"/>
      <c r="L82" s="1411"/>
      <c r="M82" s="1411"/>
      <c r="N82" s="1411"/>
      <c r="O82" s="1411"/>
      <c r="P82" s="1411"/>
      <c r="Q82" s="1411"/>
      <c r="R82" s="1411"/>
      <c r="S82" s="1411"/>
    </row>
    <row r="83" spans="1:19">
      <c r="A83" s="1124"/>
      <c r="B83" s="1105" t="s">
        <v>770</v>
      </c>
      <c r="C83" s="415"/>
      <c r="D83" s="416"/>
      <c r="E83" s="422"/>
      <c r="F83" s="422"/>
      <c r="G83" s="831"/>
      <c r="H83" s="445"/>
      <c r="I83" s="1182"/>
      <c r="J83" s="1182"/>
      <c r="K83" s="1182"/>
      <c r="L83" s="1182"/>
      <c r="M83" s="1182"/>
      <c r="N83" s="1182"/>
      <c r="O83" s="1182"/>
      <c r="P83" s="1182"/>
      <c r="Q83" s="1182"/>
      <c r="R83" s="1182"/>
      <c r="S83" s="1182"/>
    </row>
    <row r="84" spans="1:19" ht="15.75" thickBot="1">
      <c r="A84" s="1376"/>
      <c r="B84" s="1377" t="s">
        <v>771</v>
      </c>
      <c r="C84" s="1378"/>
      <c r="D84" s="1436"/>
      <c r="E84" s="1379"/>
      <c r="F84" s="1379"/>
      <c r="G84" s="1380"/>
      <c r="H84" s="1381"/>
      <c r="I84" s="1382"/>
      <c r="J84" s="1382"/>
      <c r="K84" s="1382"/>
      <c r="L84" s="1382"/>
      <c r="M84" s="1382"/>
      <c r="N84" s="1382"/>
      <c r="O84" s="1382"/>
      <c r="P84" s="1382"/>
      <c r="Q84" s="1382"/>
      <c r="R84" s="1382"/>
      <c r="S84" s="1382"/>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491" t="str">
        <f>H5</f>
        <v>Daniel Insulation</v>
      </c>
      <c r="F87" s="2"/>
      <c r="G87" s="2"/>
      <c r="H87" s="2"/>
      <c r="I87" s="2"/>
      <c r="J87" s="2"/>
      <c r="K87" s="2"/>
      <c r="L87" s="2"/>
      <c r="M87" s="2"/>
      <c r="N87" s="2"/>
      <c r="O87" s="2"/>
      <c r="P87" s="2"/>
      <c r="Q87" s="2"/>
      <c r="R87" s="2"/>
      <c r="S87" s="2"/>
    </row>
    <row r="88" spans="1:19">
      <c r="A88" s="1142" t="s">
        <v>702</v>
      </c>
      <c r="B88" s="1491" t="str">
        <f>H6</f>
        <v>Justin Cesaretti</v>
      </c>
      <c r="F88" s="2"/>
      <c r="G88" s="2"/>
      <c r="H88" s="2"/>
      <c r="I88" s="2"/>
      <c r="J88" s="2"/>
      <c r="K88" s="2"/>
      <c r="L88" s="2"/>
      <c r="M88" s="2"/>
      <c r="N88" s="2"/>
      <c r="O88" s="2"/>
      <c r="P88" s="2"/>
      <c r="Q88" s="2"/>
      <c r="R88" s="2"/>
      <c r="S88" s="2"/>
    </row>
    <row r="89" spans="1:19">
      <c r="A89" s="1454" t="s">
        <v>708</v>
      </c>
      <c r="B89" s="1491" t="str">
        <f>H7</f>
        <v xml:space="preserve">(689) 262-0407 </v>
      </c>
      <c r="F89" s="2"/>
      <c r="G89" s="2"/>
      <c r="H89" s="2"/>
      <c r="I89" s="2"/>
      <c r="J89" s="2"/>
      <c r="K89" s="2"/>
      <c r="L89" s="2"/>
      <c r="M89" s="2"/>
      <c r="N89" s="2"/>
      <c r="O89" s="2"/>
      <c r="P89" s="2"/>
      <c r="Q89" s="2"/>
      <c r="R89" s="2"/>
      <c r="S89" s="2"/>
    </row>
    <row r="90" spans="1:19">
      <c r="A90" s="1454" t="s">
        <v>713</v>
      </c>
      <c r="B90" s="1491" t="str">
        <f>H8</f>
        <v>justin.cesaretti@truteam.com</v>
      </c>
      <c r="F90" s="2"/>
      <c r="G90" s="2"/>
      <c r="H90" s="2"/>
      <c r="I90" s="2"/>
      <c r="J90" s="2"/>
      <c r="K90" s="2"/>
      <c r="L90" s="2"/>
      <c r="M90" s="2"/>
      <c r="N90" s="2"/>
      <c r="O90" s="2"/>
      <c r="P90" s="2"/>
      <c r="Q90" s="2"/>
      <c r="R90" s="2"/>
      <c r="S90" s="2"/>
    </row>
    <row r="91" spans="1:19" ht="15.75" thickBot="1">
      <c r="A91" s="1383" t="s">
        <v>69</v>
      </c>
      <c r="B91" s="1397">
        <f>I55</f>
        <v>170000</v>
      </c>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5:S5"/>
    <mergeCell ref="H4:I4"/>
    <mergeCell ref="J4:K4"/>
    <mergeCell ref="L4:M4"/>
    <mergeCell ref="N4:O4"/>
    <mergeCell ref="P4:Q4"/>
    <mergeCell ref="R4:S4"/>
    <mergeCell ref="H5:I5"/>
    <mergeCell ref="J5:K5"/>
    <mergeCell ref="L5:M5"/>
    <mergeCell ref="N5:O5"/>
    <mergeCell ref="P5:Q5"/>
    <mergeCell ref="R7:S7"/>
    <mergeCell ref="H6:I6"/>
    <mergeCell ref="J6:K6"/>
    <mergeCell ref="L6:M6"/>
    <mergeCell ref="N6:O6"/>
    <mergeCell ref="P6:Q6"/>
    <mergeCell ref="R6:S6"/>
    <mergeCell ref="H7:I7"/>
    <mergeCell ref="J7:K7"/>
    <mergeCell ref="L7:M7"/>
    <mergeCell ref="N7:O7"/>
    <mergeCell ref="P7:Q7"/>
    <mergeCell ref="R9:S9"/>
    <mergeCell ref="H8:I8"/>
    <mergeCell ref="J8:K8"/>
    <mergeCell ref="L8:M8"/>
    <mergeCell ref="N8:O8"/>
    <mergeCell ref="P8:Q8"/>
    <mergeCell ref="R8:S8"/>
    <mergeCell ref="H9:I9"/>
    <mergeCell ref="J9:K9"/>
    <mergeCell ref="L9:M9"/>
    <mergeCell ref="N9:O9"/>
    <mergeCell ref="P9:Q9"/>
  </mergeCells>
  <conditionalFormatting sqref="H11:H19">
    <cfRule type="cellIs" dxfId="451" priority="1" operator="equal">
      <formula>"X"</formula>
    </cfRule>
    <cfRule type="cellIs" dxfId="450" priority="2" operator="equal">
      <formula>"I"</formula>
    </cfRule>
  </conditionalFormatting>
  <conditionalFormatting sqref="J11:J19 L11:L19 N11:N19 P11:P19 R11:R19 H21:H50 J21:J50 L21:L50 N21:N50 P21:P50 R21:R50">
    <cfRule type="cellIs" dxfId="449" priority="15" operator="equal">
      <formula>"X"</formula>
    </cfRule>
    <cfRule type="cellIs" dxfId="448" priority="16" operator="equal">
      <formula>"I"</formula>
    </cfRule>
  </conditionalFormatting>
  <hyperlinks>
    <hyperlink ref="B4" location="'Cost Summary'!A1" display="BACK TO SUMMARY SHEET" xr:uid="{1F5FF9CF-70EA-476A-9A27-3A369C7C5EB0}"/>
    <hyperlink ref="H8" r:id="rId1" xr:uid="{219ADAA1-2BA5-4A7E-AE99-9673F8DC0004}"/>
  </hyperlinks>
  <pageMargins left="0.7" right="0.7" top="0.75" bottom="0.75" header="0.3" footer="0.3"/>
  <pageSetup orientation="portrait"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8C4E-6FAE-4228-B3F1-FCA51A49C1FC}">
  <sheetPr>
    <tabColor rgb="FFFF0000"/>
  </sheetPr>
  <dimension ref="A1:AS207"/>
  <sheetViews>
    <sheetView zoomScale="90" zoomScaleNormal="90" zoomScaleSheetLayoutView="100" workbookViewId="0">
      <pane xSplit="2" ySplit="10" topLeftCell="C146" activePane="bottomRight" state="frozen"/>
      <selection pane="topRight" activeCell="X34" sqref="X34"/>
      <selection pane="bottomLeft" activeCell="X34" sqref="X34"/>
      <selection pane="bottomRight" activeCell="K159" sqref="K159"/>
    </sheetView>
  </sheetViews>
  <sheetFormatPr defaultRowHeight="15"/>
  <cols>
    <col min="1" max="1" width="11" customWidth="1"/>
    <col min="2" max="2" width="70.7109375" style="1" customWidth="1"/>
    <col min="3" max="3" width="12.7109375" style="2" customWidth="1"/>
    <col min="4" max="4" width="12.7109375" style="497" customWidth="1"/>
    <col min="5" max="5" width="7.7109375" style="68"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 min="20" max="20" width="7.7109375" style="270" customWidth="1"/>
    <col min="21" max="21" width="15.7109375" style="270" customWidth="1"/>
    <col min="22" max="22" width="7.7109375" style="270" customWidth="1"/>
    <col min="23" max="23" width="15.7109375" style="270" customWidth="1"/>
    <col min="24" max="24" width="7.7109375" style="270" customWidth="1"/>
    <col min="25" max="25" width="15.7109375" style="270" customWidth="1"/>
    <col min="26" max="26" width="25.28515625" bestFit="1" customWidth="1"/>
  </cols>
  <sheetData>
    <row r="1" spans="1:28">
      <c r="F1" s="275"/>
      <c r="G1" s="269" t="s">
        <v>679</v>
      </c>
      <c r="AB1" s="261"/>
    </row>
    <row r="2" spans="1:28">
      <c r="F2" s="276" t="s">
        <v>680</v>
      </c>
      <c r="G2" s="269" t="s">
        <v>681</v>
      </c>
      <c r="AB2" s="261"/>
    </row>
    <row r="3" spans="1:28" ht="15.75" thickBot="1">
      <c r="F3" s="277" t="s">
        <v>682</v>
      </c>
      <c r="G3" s="269" t="s">
        <v>683</v>
      </c>
      <c r="AB3" s="261"/>
    </row>
    <row r="4" spans="1:28" ht="15.75" thickBot="1">
      <c r="B4" s="262" t="s">
        <v>684</v>
      </c>
      <c r="F4" s="278"/>
      <c r="G4" s="270" t="s">
        <v>685</v>
      </c>
      <c r="H4" s="2323" t="s">
        <v>689</v>
      </c>
      <c r="I4" s="2324"/>
      <c r="J4" s="2319" t="s">
        <v>688</v>
      </c>
      <c r="K4" s="2320"/>
      <c r="L4" s="2319" t="s">
        <v>1331</v>
      </c>
      <c r="M4" s="2320"/>
      <c r="N4" s="2319" t="s">
        <v>687</v>
      </c>
      <c r="O4" s="2320"/>
      <c r="P4" s="2319" t="s">
        <v>1332</v>
      </c>
      <c r="Q4" s="2320"/>
      <c r="R4" s="2319" t="s">
        <v>688</v>
      </c>
      <c r="S4" s="2320"/>
      <c r="T4" s="2319" t="s">
        <v>773</v>
      </c>
      <c r="U4" s="2320"/>
      <c r="V4" s="2319" t="s">
        <v>774</v>
      </c>
      <c r="W4" s="2320"/>
      <c r="X4" s="2319" t="s">
        <v>686</v>
      </c>
      <c r="Y4" s="2320"/>
      <c r="AB4" s="261"/>
    </row>
    <row r="5" spans="1:28" ht="15.75" thickTop="1">
      <c r="A5" s="292" t="s">
        <v>692</v>
      </c>
      <c r="B5" s="299" t="s">
        <v>1</v>
      </c>
      <c r="C5" s="294"/>
      <c r="D5" s="498"/>
      <c r="E5" s="264"/>
      <c r="F5" s="279"/>
      <c r="G5" s="271" t="s">
        <v>693</v>
      </c>
      <c r="H5" s="2321" t="s">
        <v>1333</v>
      </c>
      <c r="I5" s="2322"/>
      <c r="J5" s="2321" t="s">
        <v>1334</v>
      </c>
      <c r="K5" s="2322"/>
      <c r="L5" s="2333" t="s">
        <v>1335</v>
      </c>
      <c r="M5" s="2334"/>
      <c r="N5" s="2333" t="s">
        <v>1336</v>
      </c>
      <c r="O5" s="2334"/>
      <c r="P5" s="2321" t="s">
        <v>1337</v>
      </c>
      <c r="Q5" s="2322"/>
      <c r="R5" s="2321" t="s">
        <v>1338</v>
      </c>
      <c r="S5" s="2322"/>
      <c r="T5" s="2333" t="s">
        <v>1339</v>
      </c>
      <c r="U5" s="2334"/>
      <c r="V5" s="2321" t="s">
        <v>1340</v>
      </c>
      <c r="W5" s="2322"/>
      <c r="X5" s="2348" t="s">
        <v>1341</v>
      </c>
      <c r="Y5" s="2322"/>
      <c r="AB5" s="261"/>
    </row>
    <row r="6" spans="1:28">
      <c r="A6" s="1082" t="s">
        <v>700</v>
      </c>
      <c r="B6" s="1455" t="s">
        <v>1342</v>
      </c>
      <c r="C6" s="415"/>
      <c r="D6" s="499"/>
      <c r="E6" s="417"/>
      <c r="F6" s="418"/>
      <c r="G6" s="419" t="s">
        <v>702</v>
      </c>
      <c r="H6" s="2325"/>
      <c r="I6" s="2326"/>
      <c r="J6" s="2325"/>
      <c r="K6" s="2326"/>
      <c r="L6" s="2313"/>
      <c r="M6" s="2314"/>
      <c r="N6" s="2313" t="s">
        <v>1343</v>
      </c>
      <c r="O6" s="2314"/>
      <c r="P6" s="2325" t="s">
        <v>1344</v>
      </c>
      <c r="Q6" s="2326"/>
      <c r="R6" s="2325"/>
      <c r="S6" s="2326"/>
      <c r="T6" s="2313"/>
      <c r="U6" s="2314"/>
      <c r="V6" s="2313"/>
      <c r="W6" s="2314"/>
      <c r="X6" s="2325" t="s">
        <v>1345</v>
      </c>
      <c r="Y6" s="2326"/>
      <c r="AB6" s="261"/>
    </row>
    <row r="7" spans="1:28">
      <c r="A7" s="1082" t="s">
        <v>706</v>
      </c>
      <c r="B7" s="1456" t="s">
        <v>1346</v>
      </c>
      <c r="C7" s="415"/>
      <c r="D7" s="499"/>
      <c r="E7" s="417"/>
      <c r="F7" s="418"/>
      <c r="G7" s="829" t="s">
        <v>708</v>
      </c>
      <c r="H7" s="2325"/>
      <c r="I7" s="2326"/>
      <c r="J7" s="2325"/>
      <c r="K7" s="2326"/>
      <c r="L7" s="2313"/>
      <c r="M7" s="2314"/>
      <c r="N7" s="2313" t="s">
        <v>1347</v>
      </c>
      <c r="O7" s="2314"/>
      <c r="P7" s="2325" t="s">
        <v>1348</v>
      </c>
      <c r="Q7" s="2326"/>
      <c r="R7" s="2325"/>
      <c r="S7" s="2326"/>
      <c r="T7" s="2313"/>
      <c r="U7" s="2314"/>
      <c r="V7" s="2313"/>
      <c r="W7" s="2314"/>
      <c r="X7" s="2325" t="s">
        <v>1349</v>
      </c>
      <c r="Y7" s="2326"/>
      <c r="AB7" s="261"/>
    </row>
    <row r="8" spans="1:28">
      <c r="A8" s="1082" t="s">
        <v>712</v>
      </c>
      <c r="B8" s="1457" t="s">
        <v>1350</v>
      </c>
      <c r="C8" s="415"/>
      <c r="D8" s="499"/>
      <c r="E8" s="417"/>
      <c r="F8" s="418"/>
      <c r="G8" s="829" t="s">
        <v>713</v>
      </c>
      <c r="H8" s="2329"/>
      <c r="I8" s="2328"/>
      <c r="J8" s="2329"/>
      <c r="K8" s="2328"/>
      <c r="L8" s="2343"/>
      <c r="M8" s="2316"/>
      <c r="N8" s="2343" t="s">
        <v>1351</v>
      </c>
      <c r="O8" s="2316"/>
      <c r="P8" s="2327" t="s">
        <v>1352</v>
      </c>
      <c r="Q8" s="2328"/>
      <c r="R8" s="2329"/>
      <c r="S8" s="2328"/>
      <c r="T8" s="2315"/>
      <c r="U8" s="2316"/>
      <c r="V8" s="2315"/>
      <c r="W8" s="2316"/>
      <c r="X8" s="2327" t="s">
        <v>1353</v>
      </c>
      <c r="Y8" s="2328"/>
      <c r="AB8" s="261"/>
    </row>
    <row r="9" spans="1:28" ht="15.75" thickBot="1">
      <c r="A9" s="420"/>
      <c r="B9" s="421"/>
      <c r="C9" s="23"/>
      <c r="D9" s="500"/>
      <c r="E9" s="266"/>
      <c r="F9" s="283"/>
      <c r="G9" s="284" t="s">
        <v>717</v>
      </c>
      <c r="H9" s="2317">
        <f>I171</f>
        <v>2072590</v>
      </c>
      <c r="I9" s="2318"/>
      <c r="J9" s="2317">
        <f>K171</f>
        <v>2198500</v>
      </c>
      <c r="K9" s="2318"/>
      <c r="L9" s="2317">
        <f>M171</f>
        <v>2325500</v>
      </c>
      <c r="M9" s="2318"/>
      <c r="N9" s="2317">
        <f>O171</f>
        <v>0</v>
      </c>
      <c r="O9" s="2318"/>
      <c r="P9" s="2317">
        <f>Q171</f>
        <v>0</v>
      </c>
      <c r="Q9" s="2318"/>
      <c r="R9" s="2317">
        <f>S171</f>
        <v>0</v>
      </c>
      <c r="S9" s="2318"/>
      <c r="T9" s="2317">
        <f>U171</f>
        <v>0</v>
      </c>
      <c r="U9" s="2318"/>
      <c r="V9" s="2317">
        <f>W171</f>
        <v>0</v>
      </c>
      <c r="W9" s="2318"/>
      <c r="X9" s="2317">
        <f>Y171</f>
        <v>800291.42</v>
      </c>
      <c r="Y9" s="2318"/>
      <c r="AB9" s="261"/>
    </row>
    <row r="10" spans="1:28" s="267" customFormat="1" ht="32.1" customHeight="1" thickBot="1">
      <c r="A10" s="293"/>
      <c r="B10" s="300"/>
      <c r="C10" s="295" t="s">
        <v>718</v>
      </c>
      <c r="D10" s="501" t="s">
        <v>719</v>
      </c>
      <c r="E10" s="286" t="s">
        <v>720</v>
      </c>
      <c r="F10" s="288" t="s">
        <v>721</v>
      </c>
      <c r="G10" s="289" t="s">
        <v>722</v>
      </c>
      <c r="H10" s="290" t="s">
        <v>723</v>
      </c>
      <c r="I10" s="290" t="s">
        <v>724</v>
      </c>
      <c r="J10" s="290" t="s">
        <v>723</v>
      </c>
      <c r="K10" s="290" t="s">
        <v>724</v>
      </c>
      <c r="L10" s="290" t="s">
        <v>723</v>
      </c>
      <c r="M10" s="291" t="s">
        <v>724</v>
      </c>
      <c r="N10" s="290" t="s">
        <v>723</v>
      </c>
      <c r="O10" s="290" t="s">
        <v>724</v>
      </c>
      <c r="P10" s="290" t="s">
        <v>723</v>
      </c>
      <c r="Q10" s="291" t="s">
        <v>724</v>
      </c>
      <c r="R10" s="290" t="s">
        <v>723</v>
      </c>
      <c r="S10" s="290" t="s">
        <v>724</v>
      </c>
      <c r="T10" s="290" t="s">
        <v>723</v>
      </c>
      <c r="U10" s="290" t="s">
        <v>724</v>
      </c>
      <c r="V10" s="290" t="s">
        <v>723</v>
      </c>
      <c r="W10" s="291" t="s">
        <v>724</v>
      </c>
      <c r="X10" s="290" t="s">
        <v>723</v>
      </c>
      <c r="Y10" s="290" t="s">
        <v>724</v>
      </c>
      <c r="AB10" s="268"/>
    </row>
    <row r="11" spans="1:28">
      <c r="A11" s="1412"/>
      <c r="B11" s="1438" t="s">
        <v>725</v>
      </c>
      <c r="C11" s="1396"/>
      <c r="D11" s="1492"/>
      <c r="E11" s="1415"/>
      <c r="F11" s="1416"/>
      <c r="G11" s="1417"/>
      <c r="H11" s="1439"/>
      <c r="I11" s="1419"/>
      <c r="J11" s="1439"/>
      <c r="K11" s="1419"/>
      <c r="L11" s="1439"/>
      <c r="M11" s="1419"/>
      <c r="N11" s="1439"/>
      <c r="O11" s="348"/>
      <c r="P11" s="1439"/>
      <c r="Q11" s="1419"/>
      <c r="R11" s="1439"/>
      <c r="S11" s="1419"/>
      <c r="T11" s="1439"/>
      <c r="U11" s="1419"/>
      <c r="V11" s="1439"/>
      <c r="W11" s="1419"/>
      <c r="X11" s="1439"/>
      <c r="Y11" s="1420"/>
    </row>
    <row r="12" spans="1:28">
      <c r="A12" s="1412"/>
      <c r="B12" s="1485" t="s">
        <v>726</v>
      </c>
      <c r="C12" s="415"/>
      <c r="D12" s="499"/>
      <c r="E12" s="417"/>
      <c r="F12" s="418"/>
      <c r="G12" s="423"/>
      <c r="H12" s="1459" t="s">
        <v>727</v>
      </c>
      <c r="I12" s="1419"/>
      <c r="J12" s="1486"/>
      <c r="K12" s="1419"/>
      <c r="L12" s="1486"/>
      <c r="M12" s="1419"/>
      <c r="N12" s="1486"/>
      <c r="O12" s="1419"/>
      <c r="P12" s="1486"/>
      <c r="Q12" s="1419"/>
      <c r="R12" s="1486"/>
      <c r="S12" s="1419"/>
      <c r="T12" s="1486"/>
      <c r="U12" s="1419"/>
      <c r="V12" s="1486"/>
      <c r="W12" s="1419"/>
      <c r="X12" s="1486"/>
      <c r="Y12" s="1420"/>
    </row>
    <row r="13" spans="1:28">
      <c r="A13" s="1097"/>
      <c r="B13" s="1485" t="s">
        <v>728</v>
      </c>
      <c r="C13" s="415"/>
      <c r="D13" s="499"/>
      <c r="E13" s="417"/>
      <c r="F13" s="418"/>
      <c r="G13" s="423"/>
      <c r="H13" s="1459" t="s">
        <v>727</v>
      </c>
      <c r="I13" s="1419"/>
      <c r="J13" s="1486"/>
      <c r="K13" s="1419"/>
      <c r="L13" s="1486"/>
      <c r="M13" s="1419"/>
      <c r="N13" s="1486"/>
      <c r="O13" s="1419"/>
      <c r="P13" s="1486"/>
      <c r="Q13" s="1419"/>
      <c r="R13" s="1486"/>
      <c r="S13" s="1419"/>
      <c r="T13" s="1486"/>
      <c r="U13" s="1419"/>
      <c r="V13" s="1486"/>
      <c r="W13" s="1419"/>
      <c r="X13" s="1486"/>
      <c r="Y13" s="1420"/>
    </row>
    <row r="14" spans="1:28">
      <c r="A14" s="1412"/>
      <c r="B14" s="1487" t="s">
        <v>729</v>
      </c>
      <c r="C14" s="415"/>
      <c r="D14" s="499"/>
      <c r="E14" s="417"/>
      <c r="F14" s="418"/>
      <c r="G14" s="423"/>
      <c r="H14" s="1459" t="s">
        <v>730</v>
      </c>
      <c r="I14" s="1419"/>
      <c r="J14" s="1486"/>
      <c r="K14" s="1419"/>
      <c r="L14" s="1486"/>
      <c r="M14" s="1419"/>
      <c r="N14" s="1486"/>
      <c r="O14" s="1419"/>
      <c r="P14" s="1486"/>
      <c r="Q14" s="1419"/>
      <c r="R14" s="1486"/>
      <c r="S14" s="1419"/>
      <c r="T14" s="1486"/>
      <c r="U14" s="1419"/>
      <c r="V14" s="1486"/>
      <c r="W14" s="1419"/>
      <c r="X14" s="1486"/>
      <c r="Y14" s="1420"/>
    </row>
    <row r="15" spans="1:28">
      <c r="A15" s="1097"/>
      <c r="B15" s="1487" t="s">
        <v>731</v>
      </c>
      <c r="C15" s="415"/>
      <c r="D15" s="499"/>
      <c r="E15" s="417"/>
      <c r="F15" s="418"/>
      <c r="G15" s="423"/>
      <c r="H15" s="1459" t="s">
        <v>727</v>
      </c>
      <c r="I15" s="1420"/>
      <c r="J15" s="1486"/>
      <c r="K15" s="1420"/>
      <c r="L15" s="1486"/>
      <c r="M15" s="1420"/>
      <c r="N15" s="1486"/>
      <c r="O15" s="1420"/>
      <c r="P15" s="1486"/>
      <c r="Q15" s="1420"/>
      <c r="R15" s="1486"/>
      <c r="S15" s="1420"/>
      <c r="T15" s="1486"/>
      <c r="U15" s="1420"/>
      <c r="V15" s="1486"/>
      <c r="W15" s="1420"/>
      <c r="X15" s="1486"/>
      <c r="Y15" s="1420"/>
    </row>
    <row r="16" spans="1:28">
      <c r="A16" s="1412"/>
      <c r="B16" s="1487" t="s">
        <v>732</v>
      </c>
      <c r="C16" s="415"/>
      <c r="D16" s="499"/>
      <c r="E16" s="417"/>
      <c r="F16" s="418"/>
      <c r="G16" s="423"/>
      <c r="H16" s="1459" t="s">
        <v>727</v>
      </c>
      <c r="I16" s="1419"/>
      <c r="J16" s="1486"/>
      <c r="K16" s="1419"/>
      <c r="L16" s="1486"/>
      <c r="M16" s="1419"/>
      <c r="N16" s="1486"/>
      <c r="O16" s="1419"/>
      <c r="P16" s="1486"/>
      <c r="Q16" s="1419"/>
      <c r="R16" s="1486"/>
      <c r="S16" s="1419"/>
      <c r="T16" s="1486"/>
      <c r="U16" s="1419"/>
      <c r="V16" s="1486"/>
      <c r="W16" s="1419"/>
      <c r="X16" s="1486"/>
      <c r="Y16" s="1420"/>
    </row>
    <row r="17" spans="1:45">
      <c r="A17" s="1097"/>
      <c r="B17" s="1487" t="s">
        <v>733</v>
      </c>
      <c r="C17" s="415"/>
      <c r="D17" s="499"/>
      <c r="E17" s="417"/>
      <c r="F17" s="418"/>
      <c r="G17" s="423"/>
      <c r="H17" s="1459" t="s">
        <v>727</v>
      </c>
      <c r="I17" s="1419"/>
      <c r="J17" s="1486"/>
      <c r="K17" s="1419"/>
      <c r="L17" s="1486"/>
      <c r="M17" s="1419"/>
      <c r="N17" s="1486"/>
      <c r="O17" s="1419"/>
      <c r="P17" s="1486"/>
      <c r="Q17" s="1419"/>
      <c r="R17" s="1486"/>
      <c r="S17" s="1419"/>
      <c r="T17" s="1486"/>
      <c r="U17" s="1419"/>
      <c r="V17" s="1486"/>
      <c r="W17" s="1419"/>
      <c r="X17" s="1486"/>
      <c r="Y17" s="1420"/>
    </row>
    <row r="18" spans="1:45">
      <c r="A18" s="1412"/>
      <c r="B18" s="726" t="s">
        <v>734</v>
      </c>
      <c r="C18" s="415"/>
      <c r="D18" s="499"/>
      <c r="E18" s="417"/>
      <c r="F18" s="418"/>
      <c r="G18" s="423"/>
      <c r="H18" s="1459" t="s">
        <v>727</v>
      </c>
      <c r="I18" s="1419"/>
      <c r="J18" s="1486"/>
      <c r="K18" s="1419"/>
      <c r="L18" s="1486"/>
      <c r="M18" s="1419"/>
      <c r="N18" s="1486"/>
      <c r="O18" s="1419"/>
      <c r="P18" s="1486"/>
      <c r="Q18" s="1419"/>
      <c r="R18" s="1486"/>
      <c r="S18" s="1419"/>
      <c r="T18" s="1486"/>
      <c r="U18" s="1419"/>
      <c r="V18" s="1486"/>
      <c r="W18" s="1419"/>
      <c r="X18" s="1486"/>
      <c r="Y18" s="1420"/>
    </row>
    <row r="19" spans="1:45">
      <c r="A19" s="1412"/>
      <c r="B19" s="1099" t="s">
        <v>736</v>
      </c>
      <c r="C19" s="415"/>
      <c r="D19" s="499"/>
      <c r="E19" s="417"/>
      <c r="F19" s="418"/>
      <c r="G19" s="423"/>
      <c r="H19" s="1486"/>
      <c r="I19" s="1419"/>
      <c r="J19" s="1486"/>
      <c r="K19" s="1419"/>
      <c r="L19" s="1486"/>
      <c r="M19" s="1419"/>
      <c r="N19" s="1486"/>
      <c r="O19" s="1419"/>
      <c r="P19" s="1486"/>
      <c r="Q19" s="1419"/>
      <c r="R19" s="1486"/>
      <c r="S19" s="1419"/>
      <c r="T19" s="1486"/>
      <c r="U19" s="1419"/>
      <c r="V19" s="1486"/>
      <c r="W19" s="1419"/>
      <c r="X19" s="1486"/>
      <c r="Y19" s="1420"/>
    </row>
    <row r="20" spans="1:45">
      <c r="A20" s="1097"/>
      <c r="B20" s="586" t="s">
        <v>737</v>
      </c>
      <c r="C20" s="424"/>
      <c r="D20" s="502"/>
      <c r="E20" s="449"/>
      <c r="F20" s="426"/>
      <c r="G20" s="427"/>
      <c r="H20" s="1101"/>
      <c r="I20" s="1422"/>
      <c r="J20" s="1101"/>
      <c r="K20" s="1422"/>
      <c r="L20" s="1101"/>
      <c r="M20" s="1422"/>
      <c r="N20" s="1101"/>
      <c r="O20" s="1422"/>
      <c r="P20" s="1101"/>
      <c r="Q20" s="1422"/>
      <c r="R20" s="1101"/>
      <c r="S20" s="1422"/>
      <c r="T20" s="1101"/>
      <c r="U20" s="1422"/>
      <c r="V20" s="1101"/>
      <c r="W20" s="1422"/>
      <c r="X20" s="1101"/>
      <c r="Y20" s="1423"/>
    </row>
    <row r="21" spans="1:45" s="413" customFormat="1">
      <c r="A21" s="1097"/>
      <c r="B21" s="1493"/>
      <c r="C21" s="415"/>
      <c r="D21" s="499"/>
      <c r="E21" s="417"/>
      <c r="F21" s="429"/>
      <c r="G21" s="423"/>
      <c r="H21" s="1486"/>
      <c r="I21" s="1107"/>
      <c r="J21" s="1486"/>
      <c r="K21" s="1106"/>
      <c r="L21" s="1486"/>
      <c r="M21" s="1106"/>
      <c r="N21" s="1486"/>
      <c r="O21" s="1106"/>
      <c r="P21" s="1486"/>
      <c r="Q21" s="1106"/>
      <c r="R21" s="1486"/>
      <c r="S21" s="1106"/>
      <c r="T21" s="1486"/>
      <c r="U21" s="1107"/>
      <c r="V21" s="1486"/>
      <c r="W21" s="1106"/>
      <c r="X21" s="1486"/>
      <c r="Y21" s="1419"/>
      <c r="Z21"/>
      <c r="AA21"/>
      <c r="AB21"/>
      <c r="AC21"/>
      <c r="AD21"/>
      <c r="AE21"/>
      <c r="AF21"/>
      <c r="AG21"/>
      <c r="AH21"/>
      <c r="AI21"/>
      <c r="AJ21"/>
      <c r="AK21"/>
      <c r="AL21"/>
      <c r="AM21"/>
      <c r="AN21"/>
      <c r="AO21"/>
      <c r="AP21"/>
      <c r="AQ21"/>
      <c r="AR21"/>
      <c r="AS21"/>
    </row>
    <row r="22" spans="1:45">
      <c r="A22" s="1097"/>
      <c r="B22" s="1494" t="s">
        <v>1354</v>
      </c>
      <c r="C22" s="415" t="s">
        <v>1355</v>
      </c>
      <c r="D22" s="499"/>
      <c r="E22" s="417"/>
      <c r="F22" s="429"/>
      <c r="G22" s="423"/>
      <c r="H22" s="1486"/>
      <c r="I22" s="1106">
        <v>1768660</v>
      </c>
      <c r="J22" s="1486"/>
      <c r="K22" s="1106">
        <v>1538679.25</v>
      </c>
      <c r="L22" s="1486"/>
      <c r="M22" s="1106">
        <v>1726391.51</v>
      </c>
      <c r="N22" s="1486"/>
      <c r="O22" s="1106"/>
      <c r="P22" s="1486"/>
      <c r="Q22" s="1106"/>
      <c r="R22" s="1486"/>
      <c r="S22" s="1106"/>
      <c r="T22" s="1486"/>
      <c r="U22" s="1106"/>
      <c r="V22" s="1486"/>
      <c r="W22" s="1106"/>
      <c r="X22" s="1486"/>
      <c r="Y22" s="1419"/>
    </row>
    <row r="23" spans="1:45">
      <c r="A23" s="1097"/>
      <c r="B23" s="1494" t="s">
        <v>1356</v>
      </c>
      <c r="C23" s="415"/>
      <c r="D23" s="499"/>
      <c r="E23" s="417"/>
      <c r="F23" s="429"/>
      <c r="G23" s="423"/>
      <c r="H23" s="1486"/>
      <c r="I23" s="477"/>
      <c r="J23" s="1486"/>
      <c r="K23" s="577"/>
      <c r="L23" s="1486"/>
      <c r="M23" s="577"/>
      <c r="N23" s="1486"/>
      <c r="O23" s="577"/>
      <c r="P23" s="1486"/>
      <c r="Q23" s="577"/>
      <c r="R23" s="1486"/>
      <c r="S23" s="577"/>
      <c r="T23" s="1486"/>
      <c r="U23" s="477"/>
      <c r="V23" s="1486"/>
      <c r="W23" s="577"/>
      <c r="X23" s="1486"/>
      <c r="Y23" s="1419"/>
    </row>
    <row r="24" spans="1:45">
      <c r="A24" s="1412"/>
      <c r="B24" s="1495" t="s">
        <v>1357</v>
      </c>
      <c r="C24" s="415"/>
      <c r="D24" s="499"/>
      <c r="E24" s="417"/>
      <c r="F24" s="1496"/>
      <c r="G24" s="1417"/>
      <c r="H24" s="1486" t="s">
        <v>682</v>
      </c>
      <c r="I24" s="1389"/>
      <c r="J24" s="1486" t="s">
        <v>682</v>
      </c>
      <c r="K24" s="1419"/>
      <c r="L24" s="1486" t="s">
        <v>682</v>
      </c>
      <c r="M24" s="1419"/>
      <c r="N24" s="1486"/>
      <c r="O24" s="1419"/>
      <c r="P24" s="1486"/>
      <c r="Q24" s="1419"/>
      <c r="R24" s="1486"/>
      <c r="S24" s="1419"/>
      <c r="T24" s="1486"/>
      <c r="U24" s="1389"/>
      <c r="V24" s="1486"/>
      <c r="W24" s="1419"/>
      <c r="X24" s="1486"/>
      <c r="Y24" s="1419"/>
      <c r="AH24" t="s">
        <v>663</v>
      </c>
    </row>
    <row r="25" spans="1:45">
      <c r="A25" s="1412"/>
      <c r="B25" s="1497" t="s">
        <v>1358</v>
      </c>
      <c r="C25" s="415"/>
      <c r="D25" s="1492">
        <v>24</v>
      </c>
      <c r="E25" s="1415" t="s">
        <v>468</v>
      </c>
      <c r="F25" s="1496"/>
      <c r="G25" s="1417"/>
      <c r="H25" s="1486"/>
      <c r="I25" s="1389"/>
      <c r="J25" s="1486"/>
      <c r="K25" s="1419"/>
      <c r="L25" s="1486"/>
      <c r="M25" s="1419"/>
      <c r="N25" s="1486"/>
      <c r="O25" s="1419"/>
      <c r="P25" s="1486"/>
      <c r="Q25" s="1419"/>
      <c r="R25" s="1486"/>
      <c r="S25" s="1419"/>
      <c r="T25" s="1486"/>
      <c r="U25" s="1389"/>
      <c r="V25" s="1486"/>
      <c r="W25" s="1419"/>
      <c r="X25" s="1486"/>
      <c r="Y25" s="1419"/>
    </row>
    <row r="26" spans="1:45">
      <c r="A26" s="1412"/>
      <c r="B26" s="1497" t="s">
        <v>1359</v>
      </c>
      <c r="C26" s="415"/>
      <c r="D26" s="1492">
        <v>125</v>
      </c>
      <c r="E26" s="1415" t="s">
        <v>468</v>
      </c>
      <c r="F26" s="1496"/>
      <c r="G26" s="1417"/>
      <c r="H26" s="1486"/>
      <c r="I26" s="1389"/>
      <c r="J26" s="1486"/>
      <c r="K26" s="1419"/>
      <c r="L26" s="1486"/>
      <c r="M26" s="1419"/>
      <c r="N26" s="1486"/>
      <c r="O26" s="1419"/>
      <c r="P26" s="1486"/>
      <c r="Q26" s="1419"/>
      <c r="R26" s="1486"/>
      <c r="S26" s="1419"/>
      <c r="T26" s="1486"/>
      <c r="U26" s="1389"/>
      <c r="V26" s="1486"/>
      <c r="W26" s="1419"/>
      <c r="X26" s="1486"/>
      <c r="Y26" s="1419"/>
    </row>
    <row r="27" spans="1:45">
      <c r="A27" s="1412"/>
      <c r="B27" s="1497" t="s">
        <v>1360</v>
      </c>
      <c r="C27" s="415"/>
      <c r="D27" s="1492">
        <v>67</v>
      </c>
      <c r="E27" s="1415" t="s">
        <v>468</v>
      </c>
      <c r="F27" s="1496"/>
      <c r="G27" s="1417"/>
      <c r="H27" s="1486"/>
      <c r="I27" s="1389"/>
      <c r="J27" s="1486"/>
      <c r="K27" s="1419"/>
      <c r="L27" s="1486"/>
      <c r="M27" s="1419"/>
      <c r="N27" s="1486"/>
      <c r="O27" s="1419"/>
      <c r="P27" s="1486"/>
      <c r="Q27" s="1419"/>
      <c r="R27" s="1486"/>
      <c r="S27" s="1419"/>
      <c r="T27" s="1486"/>
      <c r="U27" s="1389"/>
      <c r="V27" s="1486"/>
      <c r="W27" s="1419"/>
      <c r="X27" s="1486"/>
      <c r="Y27" s="1419"/>
    </row>
    <row r="28" spans="1:45">
      <c r="A28" s="1412"/>
      <c r="B28" s="1497" t="s">
        <v>1361</v>
      </c>
      <c r="C28" s="415"/>
      <c r="D28" s="1492">
        <v>12</v>
      </c>
      <c r="E28" s="1415" t="s">
        <v>468</v>
      </c>
      <c r="F28" s="1496"/>
      <c r="G28" s="1417"/>
      <c r="H28" s="1486"/>
      <c r="I28" s="1389"/>
      <c r="J28" s="1486"/>
      <c r="K28" s="1419"/>
      <c r="L28" s="1486"/>
      <c r="M28" s="1419"/>
      <c r="N28" s="1486"/>
      <c r="O28" s="1419"/>
      <c r="P28" s="1486"/>
      <c r="Q28" s="1419"/>
      <c r="R28" s="1486"/>
      <c r="S28" s="1419"/>
      <c r="T28" s="1486"/>
      <c r="U28" s="1389"/>
      <c r="V28" s="1486"/>
      <c r="W28" s="1419"/>
      <c r="X28" s="1486"/>
      <c r="Y28" s="1419"/>
    </row>
    <row r="29" spans="1:45">
      <c r="A29" s="1412"/>
      <c r="B29" s="1497" t="s">
        <v>1362</v>
      </c>
      <c r="C29" s="415"/>
      <c r="D29" s="1492">
        <v>1</v>
      </c>
      <c r="E29" s="1415" t="s">
        <v>468</v>
      </c>
      <c r="F29" s="1496"/>
      <c r="G29" s="1417"/>
      <c r="H29" s="1486"/>
      <c r="I29" s="1389"/>
      <c r="J29" s="1486"/>
      <c r="K29" s="1419"/>
      <c r="L29" s="1486"/>
      <c r="M29" s="1419"/>
      <c r="N29" s="1486"/>
      <c r="O29" s="1419"/>
      <c r="P29" s="1486"/>
      <c r="Q29" s="1419"/>
      <c r="R29" s="1486"/>
      <c r="S29" s="1419"/>
      <c r="T29" s="1486"/>
      <c r="U29" s="1389"/>
      <c r="V29" s="1486"/>
      <c r="W29" s="1419"/>
      <c r="X29" s="1486"/>
      <c r="Y29" s="1419"/>
    </row>
    <row r="30" spans="1:45">
      <c r="A30" s="1412"/>
      <c r="B30" s="1497" t="s">
        <v>1363</v>
      </c>
      <c r="C30" s="415"/>
      <c r="D30" s="1492">
        <v>91</v>
      </c>
      <c r="E30" s="1415" t="s">
        <v>468</v>
      </c>
      <c r="F30" s="1496"/>
      <c r="G30" s="1417"/>
      <c r="H30" s="1486"/>
      <c r="I30" s="1389"/>
      <c r="J30" s="1486"/>
      <c r="K30" s="1419"/>
      <c r="L30" s="1486"/>
      <c r="M30" s="1419"/>
      <c r="N30" s="1486"/>
      <c r="O30" s="1419"/>
      <c r="P30" s="1486"/>
      <c r="Q30" s="1419"/>
      <c r="R30" s="1486"/>
      <c r="S30" s="1419"/>
      <c r="T30" s="1486"/>
      <c r="U30" s="1389"/>
      <c r="V30" s="1486"/>
      <c r="W30" s="1419"/>
      <c r="X30" s="1486"/>
      <c r="Y30" s="1419"/>
    </row>
    <row r="31" spans="1:45">
      <c r="A31" s="1412"/>
      <c r="B31" s="1497" t="s">
        <v>1364</v>
      </c>
      <c r="C31" s="415"/>
      <c r="D31" s="1492">
        <v>1</v>
      </c>
      <c r="E31" s="1415" t="s">
        <v>468</v>
      </c>
      <c r="F31" s="1496"/>
      <c r="G31" s="1417"/>
      <c r="H31" s="1486"/>
      <c r="I31" s="1389"/>
      <c r="J31" s="1486"/>
      <c r="K31" s="1419"/>
      <c r="L31" s="1486"/>
      <c r="M31" s="1419"/>
      <c r="N31" s="1486"/>
      <c r="O31" s="1419"/>
      <c r="P31" s="1486"/>
      <c r="Q31" s="1419"/>
      <c r="R31" s="1486"/>
      <c r="S31" s="1419"/>
      <c r="T31" s="1486"/>
      <c r="U31" s="1389"/>
      <c r="V31" s="1486"/>
      <c r="W31" s="1419"/>
      <c r="X31" s="1486"/>
      <c r="Y31" s="1419"/>
    </row>
    <row r="32" spans="1:45">
      <c r="A32" s="1412"/>
      <c r="B32" s="1497" t="s">
        <v>1365</v>
      </c>
      <c r="C32" s="415"/>
      <c r="D32" s="1492">
        <v>10</v>
      </c>
      <c r="E32" s="1415" t="s">
        <v>468</v>
      </c>
      <c r="F32" s="1496"/>
      <c r="G32" s="1417"/>
      <c r="H32" s="1486"/>
      <c r="I32" s="1389"/>
      <c r="J32" s="1486"/>
      <c r="K32" s="1419"/>
      <c r="L32" s="1486"/>
      <c r="M32" s="1419"/>
      <c r="N32" s="1486"/>
      <c r="O32" s="1419"/>
      <c r="P32" s="1486"/>
      <c r="Q32" s="1419"/>
      <c r="R32" s="1486"/>
      <c r="S32" s="1419"/>
      <c r="T32" s="1486"/>
      <c r="U32" s="1389"/>
      <c r="V32" s="1486"/>
      <c r="W32" s="1419"/>
      <c r="X32" s="1486"/>
      <c r="Y32" s="1419"/>
    </row>
    <row r="33" spans="1:34">
      <c r="A33" s="1412"/>
      <c r="B33" s="1497" t="s">
        <v>1366</v>
      </c>
      <c r="C33" s="415"/>
      <c r="D33" s="1492">
        <v>2</v>
      </c>
      <c r="E33" s="1415" t="s">
        <v>468</v>
      </c>
      <c r="F33" s="1496"/>
      <c r="G33" s="1417"/>
      <c r="H33" s="1486"/>
      <c r="I33" s="1389"/>
      <c r="J33" s="1486"/>
      <c r="K33" s="1419"/>
      <c r="L33" s="1486"/>
      <c r="M33" s="1419"/>
      <c r="N33" s="1486"/>
      <c r="O33" s="1419"/>
      <c r="P33" s="1486"/>
      <c r="Q33" s="1419"/>
      <c r="R33" s="1486"/>
      <c r="S33" s="1419"/>
      <c r="T33" s="1486"/>
      <c r="U33" s="1389"/>
      <c r="V33" s="1486"/>
      <c r="W33" s="1419"/>
      <c r="X33" s="1486"/>
      <c r="Y33" s="1419"/>
    </row>
    <row r="34" spans="1:34">
      <c r="A34" s="1412"/>
      <c r="B34" s="1497" t="s">
        <v>1367</v>
      </c>
      <c r="C34" s="415"/>
      <c r="D34" s="1492">
        <v>1</v>
      </c>
      <c r="E34" s="1415" t="s">
        <v>468</v>
      </c>
      <c r="F34" s="1496"/>
      <c r="G34" s="1417"/>
      <c r="H34" s="1486"/>
      <c r="I34" s="1389"/>
      <c r="J34" s="1486"/>
      <c r="K34" s="1419"/>
      <c r="L34" s="1486"/>
      <c r="M34" s="1419"/>
      <c r="N34" s="1486"/>
      <c r="O34" s="1419"/>
      <c r="P34" s="1486"/>
      <c r="Q34" s="1419"/>
      <c r="R34" s="1486"/>
      <c r="S34" s="1419"/>
      <c r="T34" s="1486"/>
      <c r="U34" s="1389"/>
      <c r="V34" s="1486"/>
      <c r="W34" s="1419"/>
      <c r="X34" s="1486"/>
      <c r="Y34" s="1419"/>
    </row>
    <row r="35" spans="1:34">
      <c r="A35" s="1412"/>
      <c r="B35" s="1497" t="s">
        <v>1368</v>
      </c>
      <c r="C35" s="415"/>
      <c r="D35" s="1492">
        <v>2</v>
      </c>
      <c r="E35" s="1415" t="s">
        <v>468</v>
      </c>
      <c r="F35" s="1496"/>
      <c r="G35" s="1417"/>
      <c r="H35" s="1486"/>
      <c r="I35" s="1389"/>
      <c r="J35" s="1486"/>
      <c r="K35" s="1419"/>
      <c r="L35" s="1486"/>
      <c r="M35" s="1419"/>
      <c r="N35" s="1486"/>
      <c r="O35" s="1419"/>
      <c r="P35" s="1486"/>
      <c r="Q35" s="1419"/>
      <c r="R35" s="1486"/>
      <c r="S35" s="1419"/>
      <c r="T35" s="1486"/>
      <c r="U35" s="1389"/>
      <c r="V35" s="1486"/>
      <c r="W35" s="1419"/>
      <c r="X35" s="1486"/>
      <c r="Y35" s="1419"/>
    </row>
    <row r="36" spans="1:34">
      <c r="A36" s="1412"/>
      <c r="B36" s="1497" t="s">
        <v>1369</v>
      </c>
      <c r="C36" s="415"/>
      <c r="D36" s="1492">
        <v>2</v>
      </c>
      <c r="E36" s="1415" t="s">
        <v>468</v>
      </c>
      <c r="F36" s="1496"/>
      <c r="G36" s="1417"/>
      <c r="H36" s="1486"/>
      <c r="I36" s="1389"/>
      <c r="J36" s="1486"/>
      <c r="K36" s="1419"/>
      <c r="L36" s="1486"/>
      <c r="M36" s="1419"/>
      <c r="N36" s="1486"/>
      <c r="O36" s="1419"/>
      <c r="P36" s="1486"/>
      <c r="Q36" s="1419"/>
      <c r="R36" s="1486"/>
      <c r="S36" s="1419"/>
      <c r="T36" s="1486"/>
      <c r="U36" s="1389"/>
      <c r="V36" s="1486"/>
      <c r="W36" s="1419"/>
      <c r="X36" s="1486"/>
      <c r="Y36" s="1419"/>
    </row>
    <row r="37" spans="1:34">
      <c r="A37" s="1412"/>
      <c r="B37" s="1497" t="s">
        <v>1370</v>
      </c>
      <c r="C37" s="415"/>
      <c r="D37" s="1492">
        <v>1</v>
      </c>
      <c r="E37" s="1415" t="s">
        <v>468</v>
      </c>
      <c r="F37" s="1496"/>
      <c r="G37" s="1417"/>
      <c r="H37" s="1486"/>
      <c r="I37" s="1389"/>
      <c r="J37" s="1486"/>
      <c r="K37" s="1419"/>
      <c r="L37" s="1486"/>
      <c r="M37" s="1419"/>
      <c r="N37" s="1486"/>
      <c r="O37" s="1419"/>
      <c r="P37" s="1486"/>
      <c r="Q37" s="1419"/>
      <c r="R37" s="1486"/>
      <c r="S37" s="1419"/>
      <c r="T37" s="1486"/>
      <c r="U37" s="1389"/>
      <c r="V37" s="1486"/>
      <c r="W37" s="1419"/>
      <c r="X37" s="1486"/>
      <c r="Y37" s="1419"/>
    </row>
    <row r="38" spans="1:34">
      <c r="A38" s="1412"/>
      <c r="B38" s="1497" t="s">
        <v>1371</v>
      </c>
      <c r="C38" s="415"/>
      <c r="D38" s="1492">
        <v>4</v>
      </c>
      <c r="E38" s="1415" t="s">
        <v>468</v>
      </c>
      <c r="F38" s="1496"/>
      <c r="G38" s="1417"/>
      <c r="H38" s="1486"/>
      <c r="I38" s="1389"/>
      <c r="J38" s="1486"/>
      <c r="K38" s="1419"/>
      <c r="L38" s="1486"/>
      <c r="M38" s="1419"/>
      <c r="N38" s="1486"/>
      <c r="O38" s="1419"/>
      <c r="P38" s="1486"/>
      <c r="Q38" s="1419"/>
      <c r="R38" s="1486"/>
      <c r="S38" s="1419"/>
      <c r="T38" s="1486"/>
      <c r="U38" s="1389"/>
      <c r="V38" s="1486"/>
      <c r="W38" s="1419"/>
      <c r="X38" s="1486"/>
      <c r="Y38" s="1419"/>
      <c r="AH38" t="s">
        <v>663</v>
      </c>
    </row>
    <row r="39" spans="1:34">
      <c r="A39" s="1412"/>
      <c r="B39" s="1497" t="s">
        <v>1372</v>
      </c>
      <c r="C39" s="415"/>
      <c r="D39" s="1492">
        <v>8</v>
      </c>
      <c r="E39" s="1415" t="s">
        <v>468</v>
      </c>
      <c r="F39" s="1496"/>
      <c r="G39" s="1417"/>
      <c r="H39" s="1486"/>
      <c r="I39" s="1389"/>
      <c r="J39" s="1486"/>
      <c r="K39" s="1419"/>
      <c r="L39" s="1486"/>
      <c r="M39" s="1419"/>
      <c r="N39" s="1486"/>
      <c r="O39" s="1419"/>
      <c r="P39" s="1486"/>
      <c r="Q39" s="1419"/>
      <c r="R39" s="1486"/>
      <c r="S39" s="1419"/>
      <c r="T39" s="1486"/>
      <c r="U39" s="1389"/>
      <c r="V39" s="1486"/>
      <c r="W39" s="1419"/>
      <c r="X39" s="1486"/>
      <c r="Y39" s="1419"/>
      <c r="AH39" t="s">
        <v>663</v>
      </c>
    </row>
    <row r="40" spans="1:34">
      <c r="A40" s="1412"/>
      <c r="B40" s="1495" t="s">
        <v>1373</v>
      </c>
      <c r="C40" s="415"/>
      <c r="D40" s="1492"/>
      <c r="E40" s="1415"/>
      <c r="F40" s="1496"/>
      <c r="G40" s="1417"/>
      <c r="H40" s="1486" t="s">
        <v>682</v>
      </c>
      <c r="I40" s="1389"/>
      <c r="J40" s="1486" t="s">
        <v>682</v>
      </c>
      <c r="K40" s="1419"/>
      <c r="L40" s="1486" t="s">
        <v>682</v>
      </c>
      <c r="M40" s="1419"/>
      <c r="N40" s="1486"/>
      <c r="O40" s="1419"/>
      <c r="P40" s="1486"/>
      <c r="Q40" s="1419"/>
      <c r="R40" s="1486"/>
      <c r="S40" s="1419"/>
      <c r="T40" s="1486"/>
      <c r="U40" s="1389"/>
      <c r="V40" s="1486"/>
      <c r="W40" s="1419"/>
      <c r="X40" s="1486"/>
      <c r="Y40" s="1419"/>
      <c r="AH40" t="s">
        <v>663</v>
      </c>
    </row>
    <row r="41" spans="1:34">
      <c r="A41" s="1412"/>
      <c r="B41" s="1497" t="s">
        <v>1358</v>
      </c>
      <c r="C41" s="415"/>
      <c r="D41" s="1492">
        <v>24</v>
      </c>
      <c r="E41" s="1415" t="s">
        <v>468</v>
      </c>
      <c r="F41" s="1496"/>
      <c r="G41" s="1417"/>
      <c r="H41" s="1486"/>
      <c r="I41" s="1389"/>
      <c r="J41" s="1486"/>
      <c r="K41" s="1419"/>
      <c r="L41" s="1486"/>
      <c r="M41" s="1419"/>
      <c r="N41" s="1486"/>
      <c r="O41" s="1419"/>
      <c r="P41" s="1486"/>
      <c r="Q41" s="1419"/>
      <c r="R41" s="1486"/>
      <c r="S41" s="1419"/>
      <c r="T41" s="1486"/>
      <c r="U41" s="1389"/>
      <c r="V41" s="1486"/>
      <c r="W41" s="1419"/>
      <c r="X41" s="1486"/>
      <c r="Y41" s="1419"/>
    </row>
    <row r="42" spans="1:34">
      <c r="A42" s="1412"/>
      <c r="B42" s="1497" t="s">
        <v>1359</v>
      </c>
      <c r="C42" s="415"/>
      <c r="D42" s="1492">
        <v>125</v>
      </c>
      <c r="E42" s="1415" t="s">
        <v>468</v>
      </c>
      <c r="F42" s="1496"/>
      <c r="G42" s="1417"/>
      <c r="H42" s="1486"/>
      <c r="I42" s="1389"/>
      <c r="J42" s="1486"/>
      <c r="K42" s="1419"/>
      <c r="L42" s="1486"/>
      <c r="M42" s="1419"/>
      <c r="N42" s="1486"/>
      <c r="O42" s="1419"/>
      <c r="P42" s="1486"/>
      <c r="Q42" s="1419"/>
      <c r="R42" s="1486"/>
      <c r="S42" s="1419"/>
      <c r="T42" s="1486"/>
      <c r="U42" s="1389"/>
      <c r="V42" s="1486"/>
      <c r="W42" s="1419"/>
      <c r="X42" s="1486"/>
      <c r="Y42" s="1419"/>
    </row>
    <row r="43" spans="1:34">
      <c r="A43" s="1412"/>
      <c r="B43" s="1497" t="s">
        <v>1360</v>
      </c>
      <c r="C43" s="415"/>
      <c r="D43" s="1492">
        <v>67</v>
      </c>
      <c r="E43" s="1415" t="s">
        <v>468</v>
      </c>
      <c r="F43" s="1496"/>
      <c r="G43" s="1417"/>
      <c r="H43" s="1486"/>
      <c r="I43" s="1389"/>
      <c r="J43" s="1486"/>
      <c r="K43" s="1419"/>
      <c r="L43" s="1486"/>
      <c r="M43" s="1419"/>
      <c r="N43" s="1486"/>
      <c r="O43" s="1419"/>
      <c r="P43" s="1486"/>
      <c r="Q43" s="1419"/>
      <c r="R43" s="1486"/>
      <c r="S43" s="1419"/>
      <c r="T43" s="1486"/>
      <c r="U43" s="1389"/>
      <c r="V43" s="1486"/>
      <c r="W43" s="1419"/>
      <c r="X43" s="1486"/>
      <c r="Y43" s="1419"/>
    </row>
    <row r="44" spans="1:34">
      <c r="A44" s="1412"/>
      <c r="B44" s="1497" t="s">
        <v>1361</v>
      </c>
      <c r="C44" s="415"/>
      <c r="D44" s="1492">
        <v>12</v>
      </c>
      <c r="E44" s="1415" t="s">
        <v>468</v>
      </c>
      <c r="F44" s="1496"/>
      <c r="G44" s="1417"/>
      <c r="H44" s="1486"/>
      <c r="I44" s="1389"/>
      <c r="J44" s="1486"/>
      <c r="K44" s="1419"/>
      <c r="L44" s="1486"/>
      <c r="M44" s="1419"/>
      <c r="N44" s="1486"/>
      <c r="O44" s="1419"/>
      <c r="P44" s="1486"/>
      <c r="Q44" s="1419"/>
      <c r="R44" s="1486"/>
      <c r="S44" s="1419"/>
      <c r="T44" s="1486"/>
      <c r="U44" s="1389"/>
      <c r="V44" s="1486"/>
      <c r="W44" s="1419"/>
      <c r="X44" s="1486"/>
      <c r="Y44" s="1419"/>
    </row>
    <row r="45" spans="1:34">
      <c r="A45" s="1412"/>
      <c r="B45" s="1497" t="s">
        <v>1362</v>
      </c>
      <c r="C45" s="415"/>
      <c r="D45" s="1492">
        <v>1</v>
      </c>
      <c r="E45" s="1415" t="s">
        <v>468</v>
      </c>
      <c r="F45" s="1496"/>
      <c r="G45" s="1417"/>
      <c r="H45" s="1486"/>
      <c r="I45" s="1389"/>
      <c r="J45" s="1486"/>
      <c r="K45" s="1419"/>
      <c r="L45" s="1486"/>
      <c r="M45" s="1419"/>
      <c r="N45" s="1486"/>
      <c r="O45" s="1419"/>
      <c r="P45" s="1486"/>
      <c r="Q45" s="1419"/>
      <c r="R45" s="1486"/>
      <c r="S45" s="1419"/>
      <c r="T45" s="1486"/>
      <c r="U45" s="1389"/>
      <c r="V45" s="1486"/>
      <c r="W45" s="1419"/>
      <c r="X45" s="1486"/>
      <c r="Y45" s="1419"/>
    </row>
    <row r="46" spans="1:34">
      <c r="A46" s="1412"/>
      <c r="B46" s="1497" t="s">
        <v>1363</v>
      </c>
      <c r="C46" s="415"/>
      <c r="D46" s="1492">
        <v>91</v>
      </c>
      <c r="E46" s="1415" t="s">
        <v>468</v>
      </c>
      <c r="F46" s="1496"/>
      <c r="G46" s="1417"/>
      <c r="H46" s="1486"/>
      <c r="I46" s="1389"/>
      <c r="J46" s="1486"/>
      <c r="K46" s="1419"/>
      <c r="L46" s="1486"/>
      <c r="M46" s="1419"/>
      <c r="N46" s="1486"/>
      <c r="O46" s="1419"/>
      <c r="P46" s="1486"/>
      <c r="Q46" s="1419"/>
      <c r="R46" s="1486"/>
      <c r="S46" s="1419"/>
      <c r="T46" s="1486"/>
      <c r="U46" s="1389"/>
      <c r="V46" s="1486"/>
      <c r="W46" s="1419"/>
      <c r="X46" s="1486"/>
      <c r="Y46" s="1419"/>
    </row>
    <row r="47" spans="1:34">
      <c r="A47" s="1412"/>
      <c r="B47" s="1497" t="s">
        <v>1364</v>
      </c>
      <c r="C47" s="415"/>
      <c r="D47" s="1492">
        <v>1</v>
      </c>
      <c r="E47" s="1415" t="s">
        <v>468</v>
      </c>
      <c r="F47" s="1496"/>
      <c r="G47" s="1417"/>
      <c r="H47" s="1486"/>
      <c r="I47" s="1389"/>
      <c r="J47" s="1486"/>
      <c r="K47" s="1419"/>
      <c r="L47" s="1486"/>
      <c r="M47" s="1419"/>
      <c r="N47" s="1486"/>
      <c r="O47" s="1419"/>
      <c r="P47" s="1486"/>
      <c r="Q47" s="1419"/>
      <c r="R47" s="1486"/>
      <c r="S47" s="1419"/>
      <c r="T47" s="1486"/>
      <c r="U47" s="1389"/>
      <c r="V47" s="1486"/>
      <c r="W47" s="1419"/>
      <c r="X47" s="1486"/>
      <c r="Y47" s="1419"/>
    </row>
    <row r="48" spans="1:34">
      <c r="A48" s="1412"/>
      <c r="B48" s="1497" t="s">
        <v>1365</v>
      </c>
      <c r="C48" s="415"/>
      <c r="D48" s="1492">
        <v>10</v>
      </c>
      <c r="E48" s="1415" t="s">
        <v>468</v>
      </c>
      <c r="F48" s="1496"/>
      <c r="G48" s="1417"/>
      <c r="H48" s="1486"/>
      <c r="I48" s="1389"/>
      <c r="J48" s="1486"/>
      <c r="K48" s="1419"/>
      <c r="L48" s="1486"/>
      <c r="M48" s="1419"/>
      <c r="N48" s="1486"/>
      <c r="O48" s="1419"/>
      <c r="P48" s="1486"/>
      <c r="Q48" s="1419"/>
      <c r="R48" s="1486"/>
      <c r="S48" s="1419"/>
      <c r="T48" s="1486"/>
      <c r="U48" s="1389"/>
      <c r="V48" s="1486"/>
      <c r="W48" s="1419"/>
      <c r="X48" s="1486"/>
      <c r="Y48" s="1419"/>
    </row>
    <row r="49" spans="1:34">
      <c r="A49" s="1412"/>
      <c r="B49" s="1497" t="s">
        <v>1366</v>
      </c>
      <c r="C49" s="415"/>
      <c r="D49" s="1492">
        <v>2</v>
      </c>
      <c r="E49" s="1415" t="s">
        <v>468</v>
      </c>
      <c r="F49" s="1496"/>
      <c r="G49" s="1417"/>
      <c r="H49" s="1486"/>
      <c r="I49" s="1389"/>
      <c r="J49" s="1486"/>
      <c r="K49" s="1419"/>
      <c r="L49" s="1486"/>
      <c r="M49" s="1419"/>
      <c r="N49" s="1486"/>
      <c r="O49" s="1419"/>
      <c r="P49" s="1486"/>
      <c r="Q49" s="1419"/>
      <c r="R49" s="1486"/>
      <c r="S49" s="1419"/>
      <c r="T49" s="1486"/>
      <c r="U49" s="1389"/>
      <c r="V49" s="1486"/>
      <c r="W49" s="1419"/>
      <c r="X49" s="1486"/>
      <c r="Y49" s="1419"/>
    </row>
    <row r="50" spans="1:34">
      <c r="A50" s="1412"/>
      <c r="B50" s="1497" t="s">
        <v>1367</v>
      </c>
      <c r="C50" s="415"/>
      <c r="D50" s="1492">
        <f>1*2</f>
        <v>2</v>
      </c>
      <c r="E50" s="1415" t="s">
        <v>468</v>
      </c>
      <c r="F50" s="1496"/>
      <c r="G50" s="1417"/>
      <c r="H50" s="1486"/>
      <c r="I50" s="1389"/>
      <c r="J50" s="1486"/>
      <c r="K50" s="1419"/>
      <c r="L50" s="1486"/>
      <c r="M50" s="1419"/>
      <c r="N50" s="1486"/>
      <c r="O50" s="1419"/>
      <c r="P50" s="1486"/>
      <c r="Q50" s="1419"/>
      <c r="R50" s="1486"/>
      <c r="S50" s="1419"/>
      <c r="T50" s="1486"/>
      <c r="U50" s="1389"/>
      <c r="V50" s="1486"/>
      <c r="W50" s="1419"/>
      <c r="X50" s="1486"/>
      <c r="Y50" s="1419"/>
    </row>
    <row r="51" spans="1:34">
      <c r="A51" s="1412"/>
      <c r="B51" s="1497" t="s">
        <v>1368</v>
      </c>
      <c r="C51" s="415"/>
      <c r="D51" s="1492">
        <f>2*2</f>
        <v>4</v>
      </c>
      <c r="E51" s="1415" t="s">
        <v>468</v>
      </c>
      <c r="F51" s="1496"/>
      <c r="G51" s="1417"/>
      <c r="H51" s="1486"/>
      <c r="I51" s="1389"/>
      <c r="J51" s="1486"/>
      <c r="K51" s="1419"/>
      <c r="L51" s="1486"/>
      <c r="M51" s="1419"/>
      <c r="N51" s="1486"/>
      <c r="O51" s="1419"/>
      <c r="P51" s="1486"/>
      <c r="Q51" s="1419"/>
      <c r="R51" s="1486"/>
      <c r="S51" s="1419"/>
      <c r="T51" s="1486"/>
      <c r="U51" s="1389"/>
      <c r="V51" s="1486"/>
      <c r="W51" s="1419"/>
      <c r="X51" s="1486"/>
      <c r="Y51" s="1419"/>
    </row>
    <row r="52" spans="1:34">
      <c r="A52" s="1412"/>
      <c r="B52" s="1497" t="s">
        <v>1369</v>
      </c>
      <c r="C52" s="415"/>
      <c r="D52" s="1492">
        <f>2*2</f>
        <v>4</v>
      </c>
      <c r="E52" s="1415" t="s">
        <v>468</v>
      </c>
      <c r="F52" s="1496"/>
      <c r="G52" s="1417"/>
      <c r="H52" s="1486"/>
      <c r="I52" s="1389"/>
      <c r="J52" s="1486"/>
      <c r="K52" s="1419"/>
      <c r="L52" s="1486"/>
      <c r="M52" s="1419"/>
      <c r="N52" s="1486"/>
      <c r="O52" s="1419"/>
      <c r="P52" s="1486"/>
      <c r="Q52" s="1419"/>
      <c r="R52" s="1486"/>
      <c r="S52" s="1419"/>
      <c r="T52" s="1486"/>
      <c r="U52" s="1389"/>
      <c r="V52" s="1486"/>
      <c r="W52" s="1419"/>
      <c r="X52" s="1486"/>
      <c r="Y52" s="1419"/>
    </row>
    <row r="53" spans="1:34">
      <c r="A53" s="1412"/>
      <c r="B53" s="1497" t="s">
        <v>1370</v>
      </c>
      <c r="C53" s="415"/>
      <c r="D53" s="1492">
        <f>1*2</f>
        <v>2</v>
      </c>
      <c r="E53" s="1415" t="s">
        <v>468</v>
      </c>
      <c r="F53" s="1496"/>
      <c r="G53" s="1417"/>
      <c r="H53" s="1486"/>
      <c r="I53" s="1389"/>
      <c r="J53" s="1486"/>
      <c r="K53" s="1419"/>
      <c r="L53" s="1486"/>
      <c r="M53" s="1419"/>
      <c r="N53" s="1486"/>
      <c r="O53" s="1419"/>
      <c r="P53" s="1486"/>
      <c r="Q53" s="1419"/>
      <c r="R53" s="1486"/>
      <c r="S53" s="1419"/>
      <c r="T53" s="1486"/>
      <c r="U53" s="1389"/>
      <c r="V53" s="1486"/>
      <c r="W53" s="1419"/>
      <c r="X53" s="1486"/>
      <c r="Y53" s="1419"/>
    </row>
    <row r="54" spans="1:34">
      <c r="A54" s="1412"/>
      <c r="B54" s="1497" t="s">
        <v>1371</v>
      </c>
      <c r="C54" s="415"/>
      <c r="D54" s="1492">
        <f>4*2</f>
        <v>8</v>
      </c>
      <c r="E54" s="1415" t="s">
        <v>468</v>
      </c>
      <c r="F54" s="1496"/>
      <c r="G54" s="1417"/>
      <c r="H54" s="1486"/>
      <c r="I54" s="1389"/>
      <c r="J54" s="1486"/>
      <c r="K54" s="1419"/>
      <c r="L54" s="1486"/>
      <c r="M54" s="1419"/>
      <c r="N54" s="1486"/>
      <c r="O54" s="1419"/>
      <c r="P54" s="1486"/>
      <c r="Q54" s="1419"/>
      <c r="R54" s="1486"/>
      <c r="S54" s="1419"/>
      <c r="T54" s="1486"/>
      <c r="U54" s="1389"/>
      <c r="V54" s="1486"/>
      <c r="W54" s="1419"/>
      <c r="X54" s="1486"/>
      <c r="Y54" s="1419"/>
    </row>
    <row r="55" spans="1:34">
      <c r="A55" s="1412"/>
      <c r="B55" s="1497" t="s">
        <v>1372</v>
      </c>
      <c r="C55" s="415"/>
      <c r="D55" s="1492">
        <f>8*2</f>
        <v>16</v>
      </c>
      <c r="E55" s="1415" t="s">
        <v>468</v>
      </c>
      <c r="F55" s="1496"/>
      <c r="G55" s="1417"/>
      <c r="H55" s="1486"/>
      <c r="I55" s="1389"/>
      <c r="J55" s="1486"/>
      <c r="K55" s="1419"/>
      <c r="L55" s="1486"/>
      <c r="M55" s="1419"/>
      <c r="N55" s="1486"/>
      <c r="O55" s="1419"/>
      <c r="P55" s="1486"/>
      <c r="Q55" s="1419"/>
      <c r="R55" s="1486"/>
      <c r="S55" s="1419"/>
      <c r="T55" s="1486"/>
      <c r="U55" s="1389"/>
      <c r="V55" s="1486"/>
      <c r="W55" s="1419"/>
      <c r="X55" s="1486"/>
      <c r="Y55" s="1419"/>
    </row>
    <row r="56" spans="1:34">
      <c r="A56" s="1412"/>
      <c r="B56" s="1495" t="s">
        <v>1374</v>
      </c>
      <c r="C56" s="415"/>
      <c r="D56" s="1492"/>
      <c r="E56" s="1415"/>
      <c r="F56" s="1496"/>
      <c r="G56" s="1417"/>
      <c r="H56" s="1486" t="s">
        <v>682</v>
      </c>
      <c r="I56" s="1389"/>
      <c r="J56" s="1486" t="s">
        <v>682</v>
      </c>
      <c r="K56" s="1419"/>
      <c r="L56" s="1486" t="s">
        <v>682</v>
      </c>
      <c r="M56" s="1419"/>
      <c r="N56" s="1486"/>
      <c r="O56" s="1419"/>
      <c r="P56" s="1486"/>
      <c r="Q56" s="1419"/>
      <c r="R56" s="1486"/>
      <c r="S56" s="1419"/>
      <c r="T56" s="1486"/>
      <c r="U56" s="1389"/>
      <c r="V56" s="1486"/>
      <c r="W56" s="1419"/>
      <c r="X56" s="1486"/>
      <c r="Y56" s="1419"/>
    </row>
    <row r="57" spans="1:34">
      <c r="A57" s="1412"/>
      <c r="B57" s="1497" t="s">
        <v>1375</v>
      </c>
      <c r="C57" s="415"/>
      <c r="D57" s="1492">
        <v>26</v>
      </c>
      <c r="E57" s="1415" t="s">
        <v>468</v>
      </c>
      <c r="F57" s="1496"/>
      <c r="G57" s="1417"/>
      <c r="H57" s="1486"/>
      <c r="I57" s="1389"/>
      <c r="J57" s="1486"/>
      <c r="K57" s="1419"/>
      <c r="L57" s="1486"/>
      <c r="M57" s="1419"/>
      <c r="N57" s="1486"/>
      <c r="O57" s="1419"/>
      <c r="P57" s="1486"/>
      <c r="Q57" s="1419"/>
      <c r="R57" s="1486"/>
      <c r="S57" s="1419"/>
      <c r="T57" s="1486"/>
      <c r="U57" s="1389"/>
      <c r="V57" s="1486"/>
      <c r="W57" s="1419"/>
      <c r="X57" s="1486"/>
      <c r="Y57" s="1419"/>
    </row>
    <row r="58" spans="1:34">
      <c r="A58" s="1412"/>
      <c r="B58" s="1497" t="s">
        <v>1376</v>
      </c>
      <c r="C58" s="415"/>
      <c r="D58" s="1492">
        <f>1*2</f>
        <v>2</v>
      </c>
      <c r="E58" s="1415" t="s">
        <v>468</v>
      </c>
      <c r="F58" s="1496"/>
      <c r="G58" s="1417"/>
      <c r="H58" s="1486"/>
      <c r="I58" s="1389"/>
      <c r="J58" s="1486"/>
      <c r="K58" s="1419"/>
      <c r="L58" s="1486"/>
      <c r="M58" s="1419"/>
      <c r="N58" s="1486"/>
      <c r="O58" s="1419"/>
      <c r="P58" s="1486"/>
      <c r="Q58" s="1419"/>
      <c r="R58" s="1486"/>
      <c r="S58" s="1419"/>
      <c r="T58" s="1486"/>
      <c r="U58" s="1389"/>
      <c r="V58" s="1486"/>
      <c r="W58" s="1419"/>
      <c r="X58" s="1486"/>
      <c r="Y58" s="1419"/>
    </row>
    <row r="59" spans="1:34">
      <c r="A59" s="1412"/>
      <c r="B59" s="1497" t="s">
        <v>1377</v>
      </c>
      <c r="C59" s="415"/>
      <c r="D59" s="1492">
        <f>2*2</f>
        <v>4</v>
      </c>
      <c r="E59" s="1415" t="s">
        <v>468</v>
      </c>
      <c r="F59" s="1496"/>
      <c r="G59" s="1417"/>
      <c r="H59" s="1486"/>
      <c r="I59" s="1389"/>
      <c r="J59" s="1486"/>
      <c r="K59" s="1419"/>
      <c r="L59" s="1486"/>
      <c r="M59" s="1419"/>
      <c r="N59" s="1486"/>
      <c r="O59" s="1419"/>
      <c r="P59" s="1486"/>
      <c r="Q59" s="1419"/>
      <c r="R59" s="1486"/>
      <c r="S59" s="1419"/>
      <c r="T59" s="1486"/>
      <c r="U59" s="1389"/>
      <c r="V59" s="1486"/>
      <c r="W59" s="1419"/>
      <c r="X59" s="1486"/>
      <c r="Y59" s="1419"/>
    </row>
    <row r="60" spans="1:34">
      <c r="A60" s="1412"/>
      <c r="B60" s="1495"/>
      <c r="C60" s="415"/>
      <c r="D60" s="1492"/>
      <c r="E60" s="1415"/>
      <c r="F60" s="1496"/>
      <c r="G60" s="1417"/>
      <c r="H60" s="1486"/>
      <c r="I60" s="1389"/>
      <c r="J60" s="1486"/>
      <c r="K60" s="1419"/>
      <c r="L60" s="1486"/>
      <c r="M60" s="1419"/>
      <c r="N60" s="1486"/>
      <c r="O60" s="1419"/>
      <c r="P60" s="1486"/>
      <c r="Q60" s="1419"/>
      <c r="R60" s="1486"/>
      <c r="S60" s="1419"/>
      <c r="T60" s="1486"/>
      <c r="U60" s="1389"/>
      <c r="V60" s="1486"/>
      <c r="W60" s="1419"/>
      <c r="X60" s="1486"/>
      <c r="Y60" s="1419"/>
    </row>
    <row r="61" spans="1:34">
      <c r="A61" s="1412"/>
      <c r="B61" s="1495" t="s">
        <v>1378</v>
      </c>
      <c r="C61" s="415"/>
      <c r="D61" s="1492"/>
      <c r="E61" s="1415"/>
      <c r="F61" s="1496"/>
      <c r="G61" s="1417"/>
      <c r="H61" s="1486"/>
      <c r="I61" s="1389"/>
      <c r="J61" s="1486" t="s">
        <v>682</v>
      </c>
      <c r="K61" s="1419"/>
      <c r="L61" s="1486"/>
      <c r="M61" s="1419"/>
      <c r="N61" s="1486"/>
      <c r="O61" s="1419"/>
      <c r="P61" s="1486"/>
      <c r="Q61" s="1419"/>
      <c r="R61" s="1486"/>
      <c r="S61" s="1419"/>
      <c r="T61" s="1486"/>
      <c r="U61" s="1389"/>
      <c r="V61" s="1486"/>
      <c r="W61" s="1419"/>
      <c r="X61" s="1486"/>
      <c r="Y61" s="1419"/>
    </row>
    <row r="62" spans="1:34">
      <c r="A62" s="1412"/>
      <c r="B62" s="1497" t="s">
        <v>1379</v>
      </c>
      <c r="C62" s="415"/>
      <c r="D62" s="1492">
        <v>12</v>
      </c>
      <c r="E62" s="1415" t="s">
        <v>468</v>
      </c>
      <c r="F62" s="1496">
        <v>250</v>
      </c>
      <c r="G62" s="1417">
        <f>D62*F62</f>
        <v>3000</v>
      </c>
      <c r="H62" s="1486"/>
      <c r="I62" s="1430">
        <f>$G62</f>
        <v>3000</v>
      </c>
      <c r="J62" s="1486"/>
      <c r="K62" s="1419"/>
      <c r="L62" s="1486"/>
      <c r="M62" s="1430">
        <f>$G62</f>
        <v>3000</v>
      </c>
      <c r="N62" s="1486"/>
      <c r="O62" s="1419"/>
      <c r="P62" s="1486"/>
      <c r="Q62" s="1419"/>
      <c r="R62" s="1486"/>
      <c r="S62" s="1419"/>
      <c r="T62" s="1486"/>
      <c r="U62" s="1389"/>
      <c r="V62" s="1486"/>
      <c r="W62" s="1419"/>
      <c r="X62" s="1486"/>
      <c r="Y62" s="1419"/>
    </row>
    <row r="63" spans="1:34">
      <c r="A63" s="1412"/>
      <c r="B63" s="1497" t="s">
        <v>1380</v>
      </c>
      <c r="C63" s="415"/>
      <c r="D63" s="1492">
        <f>2*2</f>
        <v>4</v>
      </c>
      <c r="E63" s="1415" t="s">
        <v>468</v>
      </c>
      <c r="F63" s="1496">
        <v>250</v>
      </c>
      <c r="G63" s="1417">
        <f t="shared" ref="G63:G64" si="0">D63*F63</f>
        <v>1000</v>
      </c>
      <c r="H63" s="1486"/>
      <c r="I63" s="1430">
        <f t="shared" ref="I63:M64" si="1">$G63</f>
        <v>1000</v>
      </c>
      <c r="J63" s="1486"/>
      <c r="K63" s="1419"/>
      <c r="L63" s="1486"/>
      <c r="M63" s="1430">
        <f t="shared" si="1"/>
        <v>1000</v>
      </c>
      <c r="N63" s="1486"/>
      <c r="O63" s="1419"/>
      <c r="P63" s="1486"/>
      <c r="Q63" s="1419"/>
      <c r="R63" s="1486"/>
      <c r="S63" s="1419"/>
      <c r="T63" s="1486"/>
      <c r="U63" s="1389"/>
      <c r="V63" s="1486"/>
      <c r="W63" s="1419"/>
      <c r="X63" s="1486"/>
      <c r="Y63" s="1419"/>
    </row>
    <row r="64" spans="1:34">
      <c r="A64" s="1412"/>
      <c r="B64" s="1497" t="s">
        <v>1381</v>
      </c>
      <c r="C64" s="415"/>
      <c r="D64" s="1492">
        <f>11*2</f>
        <v>22</v>
      </c>
      <c r="E64" s="1415" t="s">
        <v>468</v>
      </c>
      <c r="F64" s="1496">
        <v>250</v>
      </c>
      <c r="G64" s="1417">
        <f t="shared" si="0"/>
        <v>5500</v>
      </c>
      <c r="H64" s="1486"/>
      <c r="I64" s="1430">
        <f t="shared" si="1"/>
        <v>5500</v>
      </c>
      <c r="J64" s="1486"/>
      <c r="K64" s="1419"/>
      <c r="L64" s="1486"/>
      <c r="M64" s="1430">
        <f t="shared" si="1"/>
        <v>5500</v>
      </c>
      <c r="N64" s="1486"/>
      <c r="O64" s="1419"/>
      <c r="P64" s="1486"/>
      <c r="Q64" s="1419"/>
      <c r="R64" s="1486"/>
      <c r="S64" s="1419"/>
      <c r="T64" s="1486"/>
      <c r="U64" s="1389"/>
      <c r="V64" s="1486"/>
      <c r="W64" s="1419"/>
      <c r="X64" s="1486"/>
      <c r="Y64" s="1419"/>
      <c r="AH64" t="s">
        <v>663</v>
      </c>
    </row>
    <row r="65" spans="1:34">
      <c r="A65" s="1412"/>
      <c r="B65" s="1494"/>
      <c r="C65" s="415"/>
      <c r="D65" s="1492"/>
      <c r="E65" s="1415"/>
      <c r="F65" s="1496"/>
      <c r="G65" s="1417"/>
      <c r="H65" s="1486"/>
      <c r="I65" s="1389"/>
      <c r="J65" s="1486"/>
      <c r="K65" s="1419"/>
      <c r="L65" s="1486"/>
      <c r="M65" s="1419"/>
      <c r="N65" s="1486"/>
      <c r="O65" s="1419"/>
      <c r="P65" s="1486"/>
      <c r="Q65" s="1419"/>
      <c r="R65" s="1486"/>
      <c r="S65" s="1419"/>
      <c r="T65" s="1486"/>
      <c r="U65" s="1389"/>
      <c r="V65" s="1486"/>
      <c r="W65" s="1419"/>
      <c r="X65" s="1486"/>
      <c r="Y65" s="1419"/>
      <c r="AH65" t="s">
        <v>663</v>
      </c>
    </row>
    <row r="66" spans="1:34">
      <c r="A66" s="1412">
        <v>103</v>
      </c>
      <c r="B66" s="1498" t="s">
        <v>1382</v>
      </c>
      <c r="C66" s="415"/>
      <c r="D66" s="1499"/>
      <c r="E66" s="1415"/>
      <c r="F66" s="1401"/>
      <c r="G66" s="1402"/>
      <c r="H66" s="1486"/>
      <c r="I66" s="1419"/>
      <c r="J66" s="1486"/>
      <c r="K66" s="1419"/>
      <c r="L66" s="1486"/>
      <c r="M66" s="1419"/>
      <c r="N66" s="1486"/>
      <c r="O66" s="1419"/>
      <c r="P66" s="1486"/>
      <c r="Q66" s="1419"/>
      <c r="R66" s="1486"/>
      <c r="S66" s="1419"/>
      <c r="T66" s="1486"/>
      <c r="U66" s="1419"/>
      <c r="V66" s="1486"/>
      <c r="W66" s="1419"/>
      <c r="X66" s="1486"/>
      <c r="Y66" s="1419">
        <f>111284.28+643212</f>
        <v>754496.28</v>
      </c>
      <c r="AH66" t="s">
        <v>663</v>
      </c>
    </row>
    <row r="67" spans="1:34">
      <c r="A67" s="1412"/>
      <c r="B67" s="1495" t="s">
        <v>1357</v>
      </c>
      <c r="C67" s="415"/>
      <c r="D67" s="1499"/>
      <c r="E67" s="1415"/>
      <c r="F67" s="1401"/>
      <c r="G67" s="1402"/>
      <c r="H67" s="1486"/>
      <c r="I67" s="1419"/>
      <c r="J67" s="1486"/>
      <c r="K67" s="1419"/>
      <c r="L67" s="1486"/>
      <c r="M67" s="1419"/>
      <c r="N67" s="1486"/>
      <c r="O67" s="1419"/>
      <c r="P67" s="1486"/>
      <c r="Q67" s="1419"/>
      <c r="R67" s="1486"/>
      <c r="S67" s="1419"/>
      <c r="T67" s="1486"/>
      <c r="U67" s="1419"/>
      <c r="V67" s="1486"/>
      <c r="W67" s="1419"/>
      <c r="X67" s="1486"/>
      <c r="Y67" s="1419"/>
    </row>
    <row r="68" spans="1:34">
      <c r="A68" s="1412"/>
      <c r="B68" s="1495" t="s">
        <v>1373</v>
      </c>
      <c r="C68" s="415"/>
      <c r="D68" s="1499"/>
      <c r="E68" s="1415"/>
      <c r="F68" s="1401"/>
      <c r="G68" s="1402"/>
      <c r="H68" s="1486" t="s">
        <v>682</v>
      </c>
      <c r="I68" s="1419"/>
      <c r="J68" s="1486" t="s">
        <v>682</v>
      </c>
      <c r="K68" s="1419"/>
      <c r="L68" s="1486" t="s">
        <v>682</v>
      </c>
      <c r="M68" s="1419"/>
      <c r="N68" s="1486"/>
      <c r="O68" s="1419"/>
      <c r="P68" s="1486"/>
      <c r="Q68" s="1419"/>
      <c r="R68" s="1486"/>
      <c r="S68" s="1419"/>
      <c r="T68" s="1486"/>
      <c r="U68" s="1419"/>
      <c r="V68" s="1486"/>
      <c r="W68" s="1419"/>
      <c r="X68" s="1486"/>
      <c r="Y68" s="1419"/>
    </row>
    <row r="69" spans="1:34">
      <c r="A69" s="1412"/>
      <c r="B69" s="1497" t="s">
        <v>1383</v>
      </c>
      <c r="C69" s="415"/>
      <c r="D69" s="1499">
        <v>103</v>
      </c>
      <c r="E69" s="1415" t="s">
        <v>468</v>
      </c>
      <c r="F69" s="1401"/>
      <c r="G69" s="1402"/>
      <c r="H69" s="1486"/>
      <c r="I69" s="1419"/>
      <c r="J69" s="1486"/>
      <c r="K69" s="1419"/>
      <c r="L69" s="1486"/>
      <c r="M69" s="1419"/>
      <c r="N69" s="1486"/>
      <c r="O69" s="1419"/>
      <c r="P69" s="1486"/>
      <c r="Q69" s="1419"/>
      <c r="R69" s="1486"/>
      <c r="S69" s="1419"/>
      <c r="T69" s="1486"/>
      <c r="U69" s="1419"/>
      <c r="V69" s="1486"/>
      <c r="W69" s="1419"/>
      <c r="X69" s="1486"/>
      <c r="Y69" s="1419"/>
    </row>
    <row r="70" spans="1:34">
      <c r="A70" s="1412"/>
      <c r="B70" s="1495" t="s">
        <v>1384</v>
      </c>
      <c r="C70" s="415"/>
      <c r="D70" s="1499"/>
      <c r="E70" s="1415"/>
      <c r="F70" s="1401"/>
      <c r="G70" s="1402"/>
      <c r="H70" s="1486" t="s">
        <v>682</v>
      </c>
      <c r="I70" s="1419"/>
      <c r="J70" s="1486" t="s">
        <v>682</v>
      </c>
      <c r="K70" s="1419"/>
      <c r="L70" s="1486" t="s">
        <v>682</v>
      </c>
      <c r="M70" s="1419"/>
      <c r="N70" s="1486"/>
      <c r="O70" s="1419"/>
      <c r="P70" s="1486"/>
      <c r="Q70" s="1419"/>
      <c r="R70" s="1486"/>
      <c r="S70" s="1419"/>
      <c r="T70" s="1486"/>
      <c r="U70" s="1419"/>
      <c r="V70" s="1486"/>
      <c r="W70" s="1419"/>
      <c r="X70" s="1486"/>
      <c r="Y70" s="1419"/>
      <c r="AH70" t="s">
        <v>663</v>
      </c>
    </row>
    <row r="71" spans="1:34">
      <c r="A71" s="1412"/>
      <c r="B71" s="1497" t="s">
        <v>1383</v>
      </c>
      <c r="C71" s="415"/>
      <c r="D71" s="1499">
        <v>103</v>
      </c>
      <c r="E71" s="1415" t="s">
        <v>468</v>
      </c>
      <c r="F71" s="1401"/>
      <c r="G71" s="1402"/>
      <c r="H71" s="1486"/>
      <c r="I71" s="1419"/>
      <c r="J71" s="1486"/>
      <c r="K71" s="1419"/>
      <c r="L71" s="1486"/>
      <c r="M71" s="1419"/>
      <c r="N71" s="1486"/>
      <c r="O71" s="1419"/>
      <c r="P71" s="1486"/>
      <c r="Q71" s="1419"/>
      <c r="R71" s="1486"/>
      <c r="S71" s="1419"/>
      <c r="T71" s="1486"/>
      <c r="U71" s="1419"/>
      <c r="V71" s="1486"/>
      <c r="W71" s="1419"/>
      <c r="X71" s="1486"/>
      <c r="Y71" s="1419"/>
    </row>
    <row r="72" spans="1:34">
      <c r="A72" s="1097"/>
      <c r="B72" s="1497" t="s">
        <v>1385</v>
      </c>
      <c r="C72" s="415"/>
      <c r="D72" s="504">
        <f>4*103</f>
        <v>412</v>
      </c>
      <c r="E72" s="1415" t="s">
        <v>468</v>
      </c>
      <c r="F72" s="431"/>
      <c r="G72" s="1402"/>
      <c r="H72" s="1486"/>
      <c r="I72" s="1419"/>
      <c r="J72" s="1486"/>
      <c r="K72" s="1419"/>
      <c r="L72" s="1486"/>
      <c r="M72" s="1419"/>
      <c r="N72" s="1486"/>
      <c r="O72" s="1419"/>
      <c r="P72" s="1486"/>
      <c r="Q72" s="1419"/>
      <c r="R72" s="1486"/>
      <c r="S72" s="1419"/>
      <c r="T72" s="1486"/>
      <c r="U72" s="1419"/>
      <c r="V72" s="1486"/>
      <c r="W72" s="1419"/>
      <c r="X72" s="1486"/>
      <c r="Y72" s="1419"/>
      <c r="AH72" t="s">
        <v>663</v>
      </c>
    </row>
    <row r="73" spans="1:34">
      <c r="A73" s="1412"/>
      <c r="B73" s="1497" t="s">
        <v>1386</v>
      </c>
      <c r="C73" s="415"/>
      <c r="D73" s="504">
        <f>4*103</f>
        <v>412</v>
      </c>
      <c r="E73" s="1415" t="s">
        <v>468</v>
      </c>
      <c r="F73" s="431"/>
      <c r="G73" s="1402"/>
      <c r="H73" s="1486"/>
      <c r="I73" s="1419"/>
      <c r="J73" s="1486"/>
      <c r="K73" s="1419"/>
      <c r="L73" s="1486"/>
      <c r="M73" s="1419"/>
      <c r="N73" s="1486"/>
      <c r="O73" s="1419"/>
      <c r="P73" s="1486"/>
      <c r="Q73" s="1419"/>
      <c r="R73" s="1486"/>
      <c r="S73" s="1419"/>
      <c r="T73" s="1486"/>
      <c r="U73" s="1419"/>
      <c r="V73" s="1486"/>
      <c r="W73" s="1419"/>
      <c r="X73" s="1486"/>
      <c r="Y73" s="1419"/>
      <c r="AH73" t="s">
        <v>663</v>
      </c>
    </row>
    <row r="74" spans="1:34">
      <c r="A74" s="1097"/>
      <c r="B74" s="1497" t="s">
        <v>1387</v>
      </c>
      <c r="C74" s="415"/>
      <c r="D74" s="504">
        <f>1*103</f>
        <v>103</v>
      </c>
      <c r="E74" s="1415" t="s">
        <v>468</v>
      </c>
      <c r="F74" s="431"/>
      <c r="G74" s="1402"/>
      <c r="H74" s="1486"/>
      <c r="I74" s="1419"/>
      <c r="J74" s="1486"/>
      <c r="K74" s="1419"/>
      <c r="L74" s="1486"/>
      <c r="M74" s="1419"/>
      <c r="N74" s="1486"/>
      <c r="O74" s="1419"/>
      <c r="P74" s="1486"/>
      <c r="Q74" s="1419"/>
      <c r="R74" s="1486"/>
      <c r="S74" s="1419"/>
      <c r="T74" s="1486"/>
      <c r="U74" s="1419"/>
      <c r="V74" s="1486"/>
      <c r="W74" s="1419"/>
      <c r="X74" s="1486"/>
      <c r="Y74" s="1419"/>
      <c r="AH74" t="s">
        <v>663</v>
      </c>
    </row>
    <row r="75" spans="1:34">
      <c r="A75" s="1097"/>
      <c r="B75" s="1497" t="s">
        <v>1388</v>
      </c>
      <c r="C75" s="415"/>
      <c r="D75" s="504"/>
      <c r="E75" s="1415" t="s">
        <v>468</v>
      </c>
      <c r="F75" s="431"/>
      <c r="G75" s="1402"/>
      <c r="H75" s="1486"/>
      <c r="I75" s="1419"/>
      <c r="J75" s="1486"/>
      <c r="K75" s="1419"/>
      <c r="L75" s="1486"/>
      <c r="M75" s="1419"/>
      <c r="N75" s="1486"/>
      <c r="O75" s="1419"/>
      <c r="P75" s="1486"/>
      <c r="Q75" s="1419"/>
      <c r="R75" s="1486"/>
      <c r="S75" s="1419"/>
      <c r="T75" s="1486"/>
      <c r="U75" s="1419"/>
      <c r="V75" s="1486"/>
      <c r="W75" s="1419"/>
      <c r="X75" s="1486"/>
      <c r="Y75" s="1419"/>
      <c r="AH75" t="s">
        <v>663</v>
      </c>
    </row>
    <row r="76" spans="1:34">
      <c r="A76" s="1412"/>
      <c r="B76" s="1495" t="s">
        <v>1374</v>
      </c>
      <c r="C76" s="23"/>
      <c r="D76" s="503"/>
      <c r="E76" s="1415"/>
      <c r="F76" s="431"/>
      <c r="G76" s="1402"/>
      <c r="H76" s="1486" t="s">
        <v>682</v>
      </c>
      <c r="I76" s="1419"/>
      <c r="J76" s="1486" t="s">
        <v>682</v>
      </c>
      <c r="K76" s="1419"/>
      <c r="L76" s="1486" t="s">
        <v>682</v>
      </c>
      <c r="M76" s="1419"/>
      <c r="N76" s="1486"/>
      <c r="O76" s="1419"/>
      <c r="P76" s="1486"/>
      <c r="Q76" s="1419"/>
      <c r="R76" s="1486"/>
      <c r="S76" s="1419"/>
      <c r="T76" s="1486"/>
      <c r="U76" s="1419"/>
      <c r="V76" s="1486"/>
      <c r="W76" s="1419"/>
      <c r="X76" s="1486"/>
      <c r="Y76" s="1419"/>
      <c r="AH76" t="s">
        <v>663</v>
      </c>
    </row>
    <row r="77" spans="1:34">
      <c r="A77" s="1412"/>
      <c r="B77" s="1497" t="s">
        <v>1385</v>
      </c>
      <c r="C77" s="23"/>
      <c r="D77" s="503">
        <f>4*103</f>
        <v>412</v>
      </c>
      <c r="E77" s="1415" t="s">
        <v>468</v>
      </c>
      <c r="F77" s="431"/>
      <c r="G77" s="1402"/>
      <c r="H77" s="1486"/>
      <c r="I77" s="1419"/>
      <c r="J77" s="1486"/>
      <c r="K77" s="1419"/>
      <c r="L77" s="1486"/>
      <c r="M77" s="1419"/>
      <c r="N77" s="1486"/>
      <c r="O77" s="1419"/>
      <c r="P77" s="1486"/>
      <c r="Q77" s="1419"/>
      <c r="R77" s="1486"/>
      <c r="S77" s="1419"/>
      <c r="T77" s="1486"/>
      <c r="U77" s="1419"/>
      <c r="V77" s="1486"/>
      <c r="W77" s="1419"/>
      <c r="X77" s="1486"/>
      <c r="Y77" s="1419"/>
      <c r="AH77" t="s">
        <v>663</v>
      </c>
    </row>
    <row r="78" spans="1:34">
      <c r="A78" s="1412"/>
      <c r="B78" s="1497" t="s">
        <v>1386</v>
      </c>
      <c r="C78" s="23"/>
      <c r="D78" s="503">
        <f>4*103</f>
        <v>412</v>
      </c>
      <c r="E78" s="1415" t="s">
        <v>468</v>
      </c>
      <c r="F78" s="431"/>
      <c r="G78" s="1402"/>
      <c r="H78" s="1486"/>
      <c r="I78" s="1419"/>
      <c r="J78" s="1486"/>
      <c r="K78" s="1419"/>
      <c r="L78" s="1486"/>
      <c r="M78" s="1419"/>
      <c r="N78" s="1486"/>
      <c r="O78" s="1419"/>
      <c r="P78" s="1486"/>
      <c r="Q78" s="1419"/>
      <c r="R78" s="1486"/>
      <c r="S78" s="1419"/>
      <c r="T78" s="1486"/>
      <c r="U78" s="1419"/>
      <c r="V78" s="1486"/>
      <c r="W78" s="1419"/>
      <c r="X78" s="1486"/>
      <c r="Y78" s="1419"/>
      <c r="AH78" t="s">
        <v>663</v>
      </c>
    </row>
    <row r="79" spans="1:34">
      <c r="A79" s="1412"/>
      <c r="B79" s="1497" t="s">
        <v>1387</v>
      </c>
      <c r="C79" s="23"/>
      <c r="D79" s="503">
        <f>1*103*2</f>
        <v>206</v>
      </c>
      <c r="E79" s="1415" t="s">
        <v>468</v>
      </c>
      <c r="F79" s="431"/>
      <c r="G79" s="1402"/>
      <c r="H79" s="1486"/>
      <c r="I79" s="1419"/>
      <c r="J79" s="1486"/>
      <c r="K79" s="1419"/>
      <c r="L79" s="1486"/>
      <c r="M79" s="1419"/>
      <c r="N79" s="1486"/>
      <c r="O79" s="1419"/>
      <c r="P79" s="1486"/>
      <c r="Q79" s="1419"/>
      <c r="R79" s="1486"/>
      <c r="S79" s="1419"/>
      <c r="T79" s="1486"/>
      <c r="U79" s="1419"/>
      <c r="V79" s="1486"/>
      <c r="W79" s="1419"/>
      <c r="X79" s="1486"/>
      <c r="Y79" s="1419"/>
      <c r="AH79" t="s">
        <v>663</v>
      </c>
    </row>
    <row r="80" spans="1:34">
      <c r="A80" s="1412"/>
      <c r="B80" s="1497" t="s">
        <v>1388</v>
      </c>
      <c r="C80" s="23"/>
      <c r="D80" s="503"/>
      <c r="E80" s="510" t="s">
        <v>468</v>
      </c>
      <c r="F80" s="431"/>
      <c r="G80" s="1402"/>
      <c r="H80" s="1486"/>
      <c r="I80" s="1419"/>
      <c r="J80" s="1486"/>
      <c r="K80" s="1419"/>
      <c r="L80" s="1486"/>
      <c r="M80" s="1419"/>
      <c r="N80" s="1486"/>
      <c r="O80" s="1419"/>
      <c r="P80" s="1486"/>
      <c r="Q80" s="1419"/>
      <c r="R80" s="1486"/>
      <c r="S80" s="1419"/>
      <c r="T80" s="1486"/>
      <c r="U80" s="1419"/>
      <c r="V80" s="1486"/>
      <c r="W80" s="1419"/>
      <c r="X80" s="1486"/>
      <c r="Y80" s="1419"/>
      <c r="AH80" t="s">
        <v>663</v>
      </c>
    </row>
    <row r="81" spans="1:34">
      <c r="A81" s="1412"/>
      <c r="B81" s="1498" t="s">
        <v>1389</v>
      </c>
      <c r="C81" s="23"/>
      <c r="D81" s="584"/>
      <c r="E81" s="417"/>
      <c r="F81" s="585"/>
      <c r="G81" s="1402"/>
      <c r="H81" s="1486"/>
      <c r="I81" s="1419"/>
      <c r="J81" s="1486"/>
      <c r="K81" s="1419"/>
      <c r="L81" s="1486"/>
      <c r="M81" s="1419"/>
      <c r="N81" s="1486"/>
      <c r="O81" s="1419"/>
      <c r="P81" s="1486"/>
      <c r="Q81" s="1419"/>
      <c r="R81" s="1486"/>
      <c r="S81" s="1419"/>
      <c r="T81" s="1486"/>
      <c r="U81" s="1419"/>
      <c r="V81" s="1486"/>
      <c r="W81" s="1419"/>
      <c r="X81" s="1486"/>
      <c r="Y81" s="1419"/>
      <c r="AH81" t="s">
        <v>663</v>
      </c>
    </row>
    <row r="82" spans="1:34">
      <c r="A82" s="1412"/>
      <c r="B82" s="1495" t="s">
        <v>1357</v>
      </c>
      <c r="C82" s="23"/>
      <c r="D82" s="584"/>
      <c r="E82" s="417"/>
      <c r="F82" s="585"/>
      <c r="G82" s="1402"/>
      <c r="H82" s="1486"/>
      <c r="I82" s="1419"/>
      <c r="J82" s="1486"/>
      <c r="K82" s="1419"/>
      <c r="L82" s="1486"/>
      <c r="M82" s="1419"/>
      <c r="N82" s="1486"/>
      <c r="O82" s="1419"/>
      <c r="P82" s="1486"/>
      <c r="Q82" s="1419"/>
      <c r="R82" s="1486"/>
      <c r="S82" s="1419"/>
      <c r="T82" s="1486"/>
      <c r="U82" s="1419"/>
      <c r="V82" s="1486"/>
      <c r="W82" s="1419"/>
      <c r="X82" s="1486"/>
      <c r="Y82" s="1419"/>
    </row>
    <row r="83" spans="1:34">
      <c r="A83" s="1412"/>
      <c r="B83" s="1495" t="s">
        <v>1373</v>
      </c>
      <c r="C83" s="23"/>
      <c r="D83" s="584"/>
      <c r="E83" s="417"/>
      <c r="F83" s="585"/>
      <c r="G83" s="1402"/>
      <c r="H83" s="1486" t="s">
        <v>682</v>
      </c>
      <c r="I83" s="1419"/>
      <c r="J83" s="1486" t="s">
        <v>682</v>
      </c>
      <c r="K83" s="1419"/>
      <c r="L83" s="1486" t="s">
        <v>682</v>
      </c>
      <c r="M83" s="1419"/>
      <c r="N83" s="1486"/>
      <c r="O83" s="1419"/>
      <c r="P83" s="1486"/>
      <c r="Q83" s="1419"/>
      <c r="R83" s="1486"/>
      <c r="S83" s="1419"/>
      <c r="T83" s="1486"/>
      <c r="U83" s="1419"/>
      <c r="V83" s="1486"/>
      <c r="W83" s="1419"/>
      <c r="X83" s="1486"/>
      <c r="Y83" s="1419"/>
    </row>
    <row r="84" spans="1:34">
      <c r="A84" s="1412"/>
      <c r="B84" s="1497" t="s">
        <v>1390</v>
      </c>
      <c r="C84" s="23"/>
      <c r="D84" s="584">
        <v>4</v>
      </c>
      <c r="E84" s="417" t="s">
        <v>468</v>
      </c>
      <c r="F84" s="585"/>
      <c r="G84" s="1402"/>
      <c r="H84" s="1486"/>
      <c r="I84" s="1419"/>
      <c r="J84" s="1486"/>
      <c r="K84" s="1419"/>
      <c r="L84" s="1486"/>
      <c r="M84" s="1419"/>
      <c r="N84" s="1486"/>
      <c r="O84" s="1419"/>
      <c r="P84" s="1486"/>
      <c r="Q84" s="1419"/>
      <c r="R84" s="1486"/>
      <c r="S84" s="1419"/>
      <c r="T84" s="1486"/>
      <c r="U84" s="1419"/>
      <c r="V84" s="1486"/>
      <c r="W84" s="1419"/>
      <c r="X84" s="1486"/>
      <c r="Y84" s="1419"/>
    </row>
    <row r="85" spans="1:34">
      <c r="A85" s="1412"/>
      <c r="B85" s="1495" t="s">
        <v>1384</v>
      </c>
      <c r="C85" s="23"/>
      <c r="D85" s="584"/>
      <c r="E85" s="417"/>
      <c r="F85" s="585"/>
      <c r="G85" s="1402"/>
      <c r="H85" s="1486" t="s">
        <v>682</v>
      </c>
      <c r="I85" s="1419"/>
      <c r="J85" s="1486" t="s">
        <v>682</v>
      </c>
      <c r="K85" s="1419"/>
      <c r="L85" s="1486" t="s">
        <v>682</v>
      </c>
      <c r="M85" s="1419"/>
      <c r="N85" s="1486"/>
      <c r="O85" s="1419"/>
      <c r="P85" s="1486"/>
      <c r="Q85" s="1419"/>
      <c r="R85" s="1486"/>
      <c r="S85" s="1419"/>
      <c r="T85" s="1486"/>
      <c r="U85" s="1419"/>
      <c r="V85" s="1486"/>
      <c r="W85" s="1419"/>
      <c r="X85" s="1486"/>
      <c r="Y85" s="1419"/>
    </row>
    <row r="86" spans="1:34">
      <c r="A86" s="1412"/>
      <c r="B86" s="1497" t="s">
        <v>1390</v>
      </c>
      <c r="C86" s="23"/>
      <c r="D86" s="584">
        <v>4</v>
      </c>
      <c r="E86" s="417" t="s">
        <v>468</v>
      </c>
      <c r="F86" s="585"/>
      <c r="G86" s="1402"/>
      <c r="H86" s="1486"/>
      <c r="I86" s="1419"/>
      <c r="J86" s="1486"/>
      <c r="K86" s="1419"/>
      <c r="L86" s="1486"/>
      <c r="M86" s="1419"/>
      <c r="N86" s="1486"/>
      <c r="O86" s="1419"/>
      <c r="P86" s="1486"/>
      <c r="Q86" s="1419"/>
      <c r="R86" s="1486"/>
      <c r="S86" s="1419"/>
      <c r="T86" s="1486"/>
      <c r="U86" s="1419"/>
      <c r="V86" s="1486"/>
      <c r="W86" s="1419"/>
      <c r="X86" s="1486"/>
      <c r="Y86" s="1419"/>
    </row>
    <row r="87" spans="1:34">
      <c r="A87" s="1412"/>
      <c r="B87" s="1497" t="s">
        <v>1385</v>
      </c>
      <c r="C87" s="23"/>
      <c r="D87" s="584">
        <v>6</v>
      </c>
      <c r="E87" s="417" t="s">
        <v>468</v>
      </c>
      <c r="F87" s="585"/>
      <c r="G87" s="1402"/>
      <c r="H87" s="1486"/>
      <c r="I87" s="1419"/>
      <c r="J87" s="1486"/>
      <c r="K87" s="1419"/>
      <c r="L87" s="1486"/>
      <c r="M87" s="1419"/>
      <c r="N87" s="1486"/>
      <c r="O87" s="1419"/>
      <c r="P87" s="1486"/>
      <c r="Q87" s="1419"/>
      <c r="R87" s="1486"/>
      <c r="S87" s="1419"/>
      <c r="T87" s="1486"/>
      <c r="U87" s="1419"/>
      <c r="V87" s="1486"/>
      <c r="W87" s="1419"/>
      <c r="X87" s="1486"/>
      <c r="Y87" s="1419"/>
    </row>
    <row r="88" spans="1:34">
      <c r="A88" s="1412"/>
      <c r="B88" s="1497" t="s">
        <v>1386</v>
      </c>
      <c r="C88" s="23"/>
      <c r="D88" s="584">
        <v>6</v>
      </c>
      <c r="E88" s="417" t="s">
        <v>468</v>
      </c>
      <c r="F88" s="585"/>
      <c r="G88" s="1402"/>
      <c r="H88" s="1486"/>
      <c r="I88" s="1419"/>
      <c r="J88" s="1486"/>
      <c r="K88" s="1419"/>
      <c r="L88" s="1486"/>
      <c r="M88" s="1419"/>
      <c r="N88" s="1486"/>
      <c r="O88" s="1419"/>
      <c r="P88" s="1486"/>
      <c r="Q88" s="1419"/>
      <c r="R88" s="1486"/>
      <c r="S88" s="1419"/>
      <c r="T88" s="1486"/>
      <c r="U88" s="1419"/>
      <c r="V88" s="1486"/>
      <c r="W88" s="1419"/>
      <c r="X88" s="1486"/>
      <c r="Y88" s="1419"/>
    </row>
    <row r="89" spans="1:34">
      <c r="A89" s="1412"/>
      <c r="B89" s="1497" t="s">
        <v>1387</v>
      </c>
      <c r="C89" s="23"/>
      <c r="D89" s="584">
        <v>2</v>
      </c>
      <c r="E89" s="417" t="s">
        <v>468</v>
      </c>
      <c r="F89" s="585"/>
      <c r="G89" s="1402"/>
      <c r="H89" s="1486"/>
      <c r="I89" s="1419"/>
      <c r="J89" s="1486"/>
      <c r="K89" s="1419"/>
      <c r="L89" s="1486"/>
      <c r="M89" s="1419"/>
      <c r="N89" s="1486"/>
      <c r="O89" s="1419"/>
      <c r="P89" s="1486"/>
      <c r="Q89" s="1419"/>
      <c r="R89" s="1486"/>
      <c r="S89" s="1419"/>
      <c r="T89" s="1486"/>
      <c r="U89" s="1419"/>
      <c r="V89" s="1486"/>
      <c r="W89" s="1419"/>
      <c r="X89" s="1486"/>
      <c r="Y89" s="1419"/>
    </row>
    <row r="90" spans="1:34">
      <c r="A90" s="1412"/>
      <c r="B90" s="1497" t="s">
        <v>1388</v>
      </c>
      <c r="C90" s="23"/>
      <c r="D90" s="584">
        <v>2</v>
      </c>
      <c r="E90" s="417" t="s">
        <v>468</v>
      </c>
      <c r="F90" s="585"/>
      <c r="G90" s="1402"/>
      <c r="H90" s="1486"/>
      <c r="I90" s="1419"/>
      <c r="J90" s="1486"/>
      <c r="K90" s="1419"/>
      <c r="L90" s="1486"/>
      <c r="M90" s="1419"/>
      <c r="N90" s="1486"/>
      <c r="O90" s="1419"/>
      <c r="P90" s="1486"/>
      <c r="Q90" s="1419"/>
      <c r="R90" s="1486"/>
      <c r="S90" s="1419"/>
      <c r="T90" s="1486"/>
      <c r="U90" s="1419"/>
      <c r="V90" s="1486"/>
      <c r="W90" s="1419"/>
      <c r="X90" s="1486"/>
      <c r="Y90" s="1419"/>
    </row>
    <row r="91" spans="1:34">
      <c r="A91" s="1412"/>
      <c r="B91" s="1495" t="s">
        <v>1374</v>
      </c>
      <c r="C91" s="23"/>
      <c r="D91" s="584"/>
      <c r="E91" s="417"/>
      <c r="F91" s="585"/>
      <c r="G91" s="1402"/>
      <c r="H91" s="1486" t="s">
        <v>682</v>
      </c>
      <c r="I91" s="1419"/>
      <c r="J91" s="1486" t="s">
        <v>682</v>
      </c>
      <c r="K91" s="1419"/>
      <c r="L91" s="1486" t="s">
        <v>682</v>
      </c>
      <c r="M91" s="1419"/>
      <c r="N91" s="1486"/>
      <c r="O91" s="1419"/>
      <c r="P91" s="1486"/>
      <c r="Q91" s="1419"/>
      <c r="R91" s="1486"/>
      <c r="S91" s="1419"/>
      <c r="T91" s="1486"/>
      <c r="U91" s="1419"/>
      <c r="V91" s="1486"/>
      <c r="W91" s="1419"/>
      <c r="X91" s="1486"/>
      <c r="Y91" s="1419"/>
    </row>
    <row r="92" spans="1:34">
      <c r="A92" s="1412"/>
      <c r="B92" s="1497" t="s">
        <v>1385</v>
      </c>
      <c r="C92" s="23"/>
      <c r="D92" s="584">
        <v>6</v>
      </c>
      <c r="E92" s="417" t="s">
        <v>468</v>
      </c>
      <c r="F92" s="585"/>
      <c r="G92" s="1402"/>
      <c r="H92" s="1486"/>
      <c r="I92" s="1419"/>
      <c r="J92" s="1486"/>
      <c r="K92" s="1419"/>
      <c r="L92" s="1486"/>
      <c r="M92" s="1419"/>
      <c r="N92" s="1486"/>
      <c r="O92" s="1419"/>
      <c r="P92" s="1486"/>
      <c r="Q92" s="1419"/>
      <c r="R92" s="1486"/>
      <c r="S92" s="1419"/>
      <c r="T92" s="1486"/>
      <c r="U92" s="1419"/>
      <c r="V92" s="1486"/>
      <c r="W92" s="1419"/>
      <c r="X92" s="1486"/>
      <c r="Y92" s="1419"/>
    </row>
    <row r="93" spans="1:34">
      <c r="A93" s="1412"/>
      <c r="B93" s="1497" t="s">
        <v>1386</v>
      </c>
      <c r="C93" s="23"/>
      <c r="D93" s="584">
        <v>6</v>
      </c>
      <c r="E93" s="417" t="s">
        <v>468</v>
      </c>
      <c r="F93" s="585"/>
      <c r="G93" s="1402"/>
      <c r="H93" s="1486"/>
      <c r="I93" s="1419"/>
      <c r="J93" s="1486"/>
      <c r="K93" s="1419"/>
      <c r="L93" s="1486"/>
      <c r="M93" s="1419"/>
      <c r="N93" s="1486"/>
      <c r="O93" s="1419"/>
      <c r="P93" s="1486"/>
      <c r="Q93" s="1419"/>
      <c r="R93" s="1486"/>
      <c r="S93" s="1419"/>
      <c r="T93" s="1486"/>
      <c r="U93" s="1419"/>
      <c r="V93" s="1486"/>
      <c r="W93" s="1419"/>
      <c r="X93" s="1486"/>
      <c r="Y93" s="1419"/>
    </row>
    <row r="94" spans="1:34">
      <c r="A94" s="1412"/>
      <c r="B94" s="1497" t="s">
        <v>1387</v>
      </c>
      <c r="C94" s="23"/>
      <c r="D94" s="584">
        <v>4</v>
      </c>
      <c r="E94" s="417" t="s">
        <v>468</v>
      </c>
      <c r="F94" s="585"/>
      <c r="G94" s="1402"/>
      <c r="H94" s="1486"/>
      <c r="I94" s="1419"/>
      <c r="J94" s="1486"/>
      <c r="K94" s="1419"/>
      <c r="L94" s="1486"/>
      <c r="M94" s="1419"/>
      <c r="N94" s="1486"/>
      <c r="O94" s="1419"/>
      <c r="P94" s="1486"/>
      <c r="Q94" s="1419"/>
      <c r="R94" s="1486"/>
      <c r="S94" s="1419"/>
      <c r="T94" s="1486"/>
      <c r="U94" s="1419"/>
      <c r="V94" s="1486"/>
      <c r="W94" s="1419"/>
      <c r="X94" s="1486"/>
      <c r="Y94" s="1419"/>
    </row>
    <row r="95" spans="1:34">
      <c r="A95" s="1412"/>
      <c r="B95" s="1497" t="s">
        <v>1388</v>
      </c>
      <c r="C95" s="23"/>
      <c r="D95" s="584">
        <v>2</v>
      </c>
      <c r="E95" s="417" t="s">
        <v>468</v>
      </c>
      <c r="F95" s="585"/>
      <c r="G95" s="1402"/>
      <c r="H95" s="1486"/>
      <c r="I95" s="1419"/>
      <c r="J95" s="1486"/>
      <c r="K95" s="1419"/>
      <c r="L95" s="1486"/>
      <c r="M95" s="1419"/>
      <c r="N95" s="1486"/>
      <c r="O95" s="1419"/>
      <c r="P95" s="1486"/>
      <c r="Q95" s="1419"/>
      <c r="R95" s="1486"/>
      <c r="S95" s="1419"/>
      <c r="T95" s="1486"/>
      <c r="U95" s="1419"/>
      <c r="V95" s="1486"/>
      <c r="W95" s="1419"/>
      <c r="X95" s="1486"/>
      <c r="Y95" s="1419"/>
    </row>
    <row r="96" spans="1:34">
      <c r="A96" s="1412"/>
      <c r="B96" s="1442"/>
      <c r="C96" s="23"/>
      <c r="D96" s="503"/>
      <c r="E96" s="417"/>
      <c r="F96" s="431"/>
      <c r="G96" s="1402"/>
      <c r="H96" s="1486"/>
      <c r="I96" s="1419"/>
      <c r="J96" s="1486"/>
      <c r="K96" s="1419"/>
      <c r="L96" s="1486"/>
      <c r="M96" s="1419"/>
      <c r="N96" s="1486"/>
      <c r="O96" s="1419"/>
      <c r="P96" s="1486"/>
      <c r="Q96" s="1419"/>
      <c r="R96" s="1486"/>
      <c r="S96" s="1419"/>
      <c r="T96" s="1486"/>
      <c r="U96" s="1419"/>
      <c r="V96" s="1486"/>
      <c r="W96" s="1419"/>
      <c r="X96" s="1486"/>
      <c r="Y96" s="1419"/>
    </row>
    <row r="97" spans="1:25">
      <c r="A97" s="1412"/>
      <c r="B97" s="1442" t="s">
        <v>1391</v>
      </c>
      <c r="C97" s="23"/>
      <c r="D97" s="503">
        <f>SUM(D41:D55)</f>
        <v>369</v>
      </c>
      <c r="E97" s="417" t="s">
        <v>468</v>
      </c>
      <c r="F97" s="431"/>
      <c r="G97" s="1402"/>
      <c r="H97" s="1486"/>
      <c r="I97" s="1419"/>
      <c r="J97" s="1486"/>
      <c r="K97" s="1419"/>
      <c r="L97" s="1486"/>
      <c r="M97" s="1419"/>
      <c r="N97" s="1486"/>
      <c r="O97" s="1419"/>
      <c r="P97" s="1486"/>
      <c r="Q97" s="1419"/>
      <c r="R97" s="1486"/>
      <c r="S97" s="1419"/>
      <c r="T97" s="1486"/>
      <c r="U97" s="1419"/>
      <c r="V97" s="1486"/>
      <c r="W97" s="1419"/>
      <c r="X97" s="1486"/>
      <c r="Y97" s="1419"/>
    </row>
    <row r="98" spans="1:25">
      <c r="A98" s="1412"/>
      <c r="B98" s="1442"/>
      <c r="C98" s="23"/>
      <c r="D98" s="503"/>
      <c r="E98" s="510"/>
      <c r="F98" s="431"/>
      <c r="G98" s="1402"/>
      <c r="H98" s="1486"/>
      <c r="I98" s="1419"/>
      <c r="J98" s="1486"/>
      <c r="K98" s="1419"/>
      <c r="L98" s="1486"/>
      <c r="M98" s="1419"/>
      <c r="N98" s="1486"/>
      <c r="O98" s="1419"/>
      <c r="P98" s="1486"/>
      <c r="Q98" s="1419"/>
      <c r="R98" s="1486"/>
      <c r="S98" s="1419"/>
      <c r="T98" s="1486"/>
      <c r="U98" s="1419"/>
      <c r="V98" s="1486"/>
      <c r="W98" s="1419"/>
      <c r="X98" s="1486"/>
      <c r="Y98" s="1419"/>
    </row>
    <row r="99" spans="1:25">
      <c r="A99" s="1412"/>
      <c r="B99" s="1500" t="s">
        <v>1392</v>
      </c>
      <c r="C99" s="23"/>
      <c r="D99" s="503"/>
      <c r="E99" s="266"/>
      <c r="F99" s="431"/>
      <c r="G99" s="1402"/>
      <c r="H99" s="1486" t="s">
        <v>682</v>
      </c>
      <c r="I99" s="1419"/>
      <c r="J99" s="1486" t="s">
        <v>682</v>
      </c>
      <c r="K99" s="1419"/>
      <c r="L99" s="1486" t="s">
        <v>682</v>
      </c>
      <c r="M99" s="1419"/>
      <c r="N99" s="1486"/>
      <c r="O99" s="1419"/>
      <c r="P99" s="1486"/>
      <c r="Q99" s="1419"/>
      <c r="R99" s="1486"/>
      <c r="S99" s="1419"/>
      <c r="T99" s="1486"/>
      <c r="U99" s="1419"/>
      <c r="V99" s="1486"/>
      <c r="W99" s="1419"/>
      <c r="X99" s="1486"/>
      <c r="Y99" s="1419"/>
    </row>
    <row r="100" spans="1:25">
      <c r="A100" s="1412"/>
      <c r="B100" s="1501" t="s">
        <v>1393</v>
      </c>
      <c r="C100" s="23"/>
      <c r="D100" s="503">
        <v>1</v>
      </c>
      <c r="E100" s="266" t="s">
        <v>468</v>
      </c>
      <c r="F100" s="431"/>
      <c r="G100" s="1402"/>
      <c r="H100" s="1486"/>
      <c r="I100" s="1419"/>
      <c r="J100" s="1486"/>
      <c r="K100" s="1419"/>
      <c r="L100" s="1486"/>
      <c r="M100" s="1419"/>
      <c r="N100" s="1486"/>
      <c r="O100" s="1419"/>
      <c r="P100" s="1486"/>
      <c r="Q100" s="1419"/>
      <c r="R100" s="1486"/>
      <c r="S100" s="1419"/>
      <c r="T100" s="1486"/>
      <c r="U100" s="1419"/>
      <c r="V100" s="1486"/>
      <c r="W100" s="1419"/>
      <c r="X100" s="1486"/>
      <c r="Y100" s="1419"/>
    </row>
    <row r="101" spans="1:25">
      <c r="A101" s="1412"/>
      <c r="B101" s="1501" t="s">
        <v>1394</v>
      </c>
      <c r="C101" s="23"/>
      <c r="D101" s="503">
        <v>8</v>
      </c>
      <c r="E101" s="266" t="s">
        <v>468</v>
      </c>
      <c r="F101" s="431"/>
      <c r="G101" s="1402"/>
      <c r="H101" s="1486"/>
      <c r="I101" s="1419"/>
      <c r="J101" s="1486"/>
      <c r="K101" s="1419"/>
      <c r="L101" s="1486"/>
      <c r="M101" s="1419"/>
      <c r="N101" s="1486"/>
      <c r="O101" s="1419"/>
      <c r="P101" s="1486"/>
      <c r="Q101" s="1419"/>
      <c r="R101" s="1486"/>
      <c r="S101" s="1419"/>
      <c r="T101" s="1486"/>
      <c r="U101" s="1419"/>
      <c r="V101" s="1486"/>
      <c r="W101" s="1419"/>
      <c r="X101" s="1486"/>
      <c r="Y101" s="1419"/>
    </row>
    <row r="102" spans="1:25">
      <c r="A102" s="1412"/>
      <c r="B102" s="1501" t="s">
        <v>1395</v>
      </c>
      <c r="C102" s="23"/>
      <c r="D102" s="503">
        <v>1</v>
      </c>
      <c r="E102" s="266" t="s">
        <v>468</v>
      </c>
      <c r="F102" s="431"/>
      <c r="G102" s="1402"/>
      <c r="H102" s="1486"/>
      <c r="I102" s="1419"/>
      <c r="J102" s="1486"/>
      <c r="K102" s="1419"/>
      <c r="L102" s="1486"/>
      <c r="M102" s="1419"/>
      <c r="N102" s="1486"/>
      <c r="O102" s="1419"/>
      <c r="P102" s="1486"/>
      <c r="Q102" s="1419"/>
      <c r="R102" s="1486"/>
      <c r="S102" s="1419"/>
      <c r="T102" s="1486"/>
      <c r="U102" s="1419"/>
      <c r="V102" s="1486"/>
      <c r="W102" s="1419"/>
      <c r="X102" s="1486"/>
      <c r="Y102" s="1419"/>
    </row>
    <row r="103" spans="1:25">
      <c r="A103" s="1412"/>
      <c r="B103" s="1501" t="s">
        <v>1396</v>
      </c>
      <c r="C103" s="23"/>
      <c r="D103" s="503">
        <v>2</v>
      </c>
      <c r="E103" s="266" t="s">
        <v>468</v>
      </c>
      <c r="F103" s="431"/>
      <c r="G103" s="1402"/>
      <c r="H103" s="1486"/>
      <c r="I103" s="1419"/>
      <c r="J103" s="1486"/>
      <c r="K103" s="1419"/>
      <c r="L103" s="1486"/>
      <c r="M103" s="1419"/>
      <c r="N103" s="1486"/>
      <c r="O103" s="1419"/>
      <c r="P103" s="1486"/>
      <c r="Q103" s="1419"/>
      <c r="R103" s="1486"/>
      <c r="S103" s="1419"/>
      <c r="T103" s="1486"/>
      <c r="U103" s="1419"/>
      <c r="V103" s="1486"/>
      <c r="W103" s="1419"/>
      <c r="X103" s="1486"/>
      <c r="Y103" s="1419"/>
    </row>
    <row r="104" spans="1:25">
      <c r="A104" s="1412"/>
      <c r="B104" s="1501" t="s">
        <v>1397</v>
      </c>
      <c r="C104" s="23"/>
      <c r="D104" s="503">
        <v>2</v>
      </c>
      <c r="E104" s="266" t="s">
        <v>468</v>
      </c>
      <c r="F104" s="431"/>
      <c r="G104" s="1402"/>
      <c r="H104" s="1486"/>
      <c r="I104" s="1419"/>
      <c r="J104" s="1486"/>
      <c r="K104" s="1419"/>
      <c r="L104" s="1486"/>
      <c r="M104" s="1419"/>
      <c r="N104" s="1486"/>
      <c r="O104" s="1419"/>
      <c r="P104" s="1486"/>
      <c r="Q104" s="1419"/>
      <c r="R104" s="1486"/>
      <c r="S104" s="1419"/>
      <c r="T104" s="1486"/>
      <c r="U104" s="1419"/>
      <c r="V104" s="1486"/>
      <c r="W104" s="1419"/>
      <c r="X104" s="1486"/>
      <c r="Y104" s="1419"/>
    </row>
    <row r="105" spans="1:25">
      <c r="A105" s="1412"/>
      <c r="B105" s="1501" t="s">
        <v>1398</v>
      </c>
      <c r="C105" s="23"/>
      <c r="D105" s="503">
        <v>2</v>
      </c>
      <c r="E105" s="266" t="s">
        <v>468</v>
      </c>
      <c r="F105" s="431"/>
      <c r="G105" s="1402"/>
      <c r="H105" s="1486"/>
      <c r="I105" s="1419"/>
      <c r="J105" s="1486"/>
      <c r="K105" s="1419"/>
      <c r="L105" s="1486"/>
      <c r="M105" s="1419"/>
      <c r="N105" s="1486"/>
      <c r="O105" s="1419"/>
      <c r="P105" s="1486"/>
      <c r="Q105" s="1419"/>
      <c r="R105" s="1486"/>
      <c r="S105" s="1419"/>
      <c r="T105" s="1486"/>
      <c r="U105" s="1419"/>
      <c r="V105" s="1486"/>
      <c r="W105" s="1419"/>
      <c r="X105" s="1486"/>
      <c r="Y105" s="1419"/>
    </row>
    <row r="106" spans="1:25">
      <c r="A106" s="1412"/>
      <c r="B106" s="1501" t="s">
        <v>1399</v>
      </c>
      <c r="C106" s="23"/>
      <c r="D106" s="503">
        <v>3</v>
      </c>
      <c r="E106" s="266" t="s">
        <v>468</v>
      </c>
      <c r="F106" s="431"/>
      <c r="G106" s="1402"/>
      <c r="H106" s="1486"/>
      <c r="I106" s="1419"/>
      <c r="J106" s="1486"/>
      <c r="K106" s="1419"/>
      <c r="L106" s="1486"/>
      <c r="M106" s="1419"/>
      <c r="N106" s="1486"/>
      <c r="O106" s="1419"/>
      <c r="P106" s="1486"/>
      <c r="Q106" s="1419"/>
      <c r="R106" s="1486"/>
      <c r="S106" s="1419"/>
      <c r="T106" s="1486"/>
      <c r="U106" s="1419"/>
      <c r="V106" s="1486"/>
      <c r="W106" s="1419"/>
      <c r="X106" s="1486"/>
      <c r="Y106" s="1419"/>
    </row>
    <row r="107" spans="1:25">
      <c r="A107" s="1412"/>
      <c r="B107" s="1501" t="s">
        <v>1400</v>
      </c>
      <c r="C107" s="23"/>
      <c r="D107" s="503">
        <v>1</v>
      </c>
      <c r="E107" s="266" t="s">
        <v>468</v>
      </c>
      <c r="F107" s="431"/>
      <c r="G107" s="1402"/>
      <c r="H107" s="1486"/>
      <c r="I107" s="1419"/>
      <c r="J107" s="1486"/>
      <c r="K107" s="1419"/>
      <c r="L107" s="1486"/>
      <c r="M107" s="1419"/>
      <c r="N107" s="1486"/>
      <c r="O107" s="1419"/>
      <c r="P107" s="1486"/>
      <c r="Q107" s="1419"/>
      <c r="R107" s="1486"/>
      <c r="S107" s="1419"/>
      <c r="T107" s="1486"/>
      <c r="U107" s="1419"/>
      <c r="V107" s="1486"/>
      <c r="W107" s="1419"/>
      <c r="X107" s="1486"/>
      <c r="Y107" s="1419"/>
    </row>
    <row r="108" spans="1:25">
      <c r="A108" s="1412"/>
      <c r="B108" s="1501" t="s">
        <v>1401</v>
      </c>
      <c r="C108" s="23"/>
      <c r="D108" s="503">
        <v>3</v>
      </c>
      <c r="E108" s="266" t="s">
        <v>468</v>
      </c>
      <c r="F108" s="431"/>
      <c r="G108" s="1402"/>
      <c r="H108" s="1486"/>
      <c r="I108" s="1419"/>
      <c r="J108" s="1486"/>
      <c r="K108" s="1419"/>
      <c r="L108" s="1486"/>
      <c r="M108" s="1419"/>
      <c r="N108" s="1486"/>
      <c r="O108" s="1419"/>
      <c r="P108" s="1486"/>
      <c r="Q108" s="1419"/>
      <c r="R108" s="1486"/>
      <c r="S108" s="1419"/>
      <c r="T108" s="1486"/>
      <c r="U108" s="1419"/>
      <c r="V108" s="1486"/>
      <c r="W108" s="1419"/>
      <c r="X108" s="1486"/>
      <c r="Y108" s="1419"/>
    </row>
    <row r="109" spans="1:25">
      <c r="A109" s="1412"/>
      <c r="B109" s="1501" t="s">
        <v>1402</v>
      </c>
      <c r="C109" s="23"/>
      <c r="D109" s="503">
        <v>2</v>
      </c>
      <c r="E109" s="266" t="s">
        <v>468</v>
      </c>
      <c r="F109" s="431"/>
      <c r="G109" s="1402"/>
      <c r="H109" s="1486"/>
      <c r="I109" s="1419"/>
      <c r="J109" s="1486"/>
      <c r="K109" s="1419"/>
      <c r="L109" s="1486"/>
      <c r="M109" s="1419"/>
      <c r="N109" s="1486"/>
      <c r="O109" s="1419"/>
      <c r="P109" s="1486"/>
      <c r="Q109" s="1419"/>
      <c r="R109" s="1486"/>
      <c r="S109" s="1419"/>
      <c r="T109" s="1486"/>
      <c r="U109" s="1419"/>
      <c r="V109" s="1486"/>
      <c r="W109" s="1419"/>
      <c r="X109" s="1486"/>
      <c r="Y109" s="1419"/>
    </row>
    <row r="110" spans="1:25">
      <c r="A110" s="1412"/>
      <c r="B110" s="1501" t="s">
        <v>1403</v>
      </c>
      <c r="C110" s="23"/>
      <c r="D110" s="503">
        <v>1</v>
      </c>
      <c r="E110" s="266" t="s">
        <v>468</v>
      </c>
      <c r="F110" s="431"/>
      <c r="G110" s="1402"/>
      <c r="H110" s="1486"/>
      <c r="I110" s="1419"/>
      <c r="J110" s="1486"/>
      <c r="K110" s="1419"/>
      <c r="L110" s="1486"/>
      <c r="M110" s="1419"/>
      <c r="N110" s="1486"/>
      <c r="O110" s="1419"/>
      <c r="P110" s="1486"/>
      <c r="Q110" s="1419"/>
      <c r="R110" s="1486"/>
      <c r="S110" s="1419"/>
      <c r="T110" s="1486"/>
      <c r="U110" s="1419"/>
      <c r="V110" s="1486"/>
      <c r="W110" s="1419"/>
      <c r="X110" s="1486"/>
      <c r="Y110" s="1419"/>
    </row>
    <row r="111" spans="1:25">
      <c r="A111" s="1412"/>
      <c r="B111" s="1501" t="s">
        <v>1404</v>
      </c>
      <c r="C111" s="23"/>
      <c r="D111" s="503">
        <v>13</v>
      </c>
      <c r="E111" s="266" t="s">
        <v>468</v>
      </c>
      <c r="F111" s="431"/>
      <c r="G111" s="1402"/>
      <c r="H111" s="1486"/>
      <c r="I111" s="1419"/>
      <c r="J111" s="1486"/>
      <c r="K111" s="1419"/>
      <c r="L111" s="1486"/>
      <c r="M111" s="1419"/>
      <c r="N111" s="1486"/>
      <c r="O111" s="1419"/>
      <c r="P111" s="1486"/>
      <c r="Q111" s="1419"/>
      <c r="R111" s="1486"/>
      <c r="S111" s="1419"/>
      <c r="T111" s="1486"/>
      <c r="U111" s="1419"/>
      <c r="V111" s="1486"/>
      <c r="W111" s="1419"/>
      <c r="X111" s="1486"/>
      <c r="Y111" s="1419"/>
    </row>
    <row r="112" spans="1:25">
      <c r="A112" s="1412"/>
      <c r="B112" s="1501" t="s">
        <v>1405</v>
      </c>
      <c r="C112" s="23"/>
      <c r="D112" s="503">
        <v>23</v>
      </c>
      <c r="E112" s="266" t="s">
        <v>468</v>
      </c>
      <c r="F112" s="431"/>
      <c r="G112" s="1402"/>
      <c r="H112" s="1486"/>
      <c r="I112" s="1419"/>
      <c r="J112" s="1486"/>
      <c r="K112" s="1419"/>
      <c r="L112" s="1486"/>
      <c r="M112" s="1419"/>
      <c r="N112" s="1486"/>
      <c r="O112" s="1419"/>
      <c r="P112" s="1486"/>
      <c r="Q112" s="1419"/>
      <c r="R112" s="1486"/>
      <c r="S112" s="1419"/>
      <c r="T112" s="1486"/>
      <c r="U112" s="1419"/>
      <c r="V112" s="1486"/>
      <c r="W112" s="1419"/>
      <c r="X112" s="1486"/>
      <c r="Y112" s="1419"/>
    </row>
    <row r="113" spans="1:25">
      <c r="A113" s="1412"/>
      <c r="B113" s="1501" t="s">
        <v>1406</v>
      </c>
      <c r="C113" s="23"/>
      <c r="D113" s="503">
        <v>6</v>
      </c>
      <c r="E113" s="266" t="s">
        <v>468</v>
      </c>
      <c r="F113" s="431"/>
      <c r="G113" s="1402"/>
      <c r="H113" s="1486"/>
      <c r="I113" s="1419"/>
      <c r="J113" s="1486"/>
      <c r="K113" s="1419"/>
      <c r="L113" s="1486"/>
      <c r="M113" s="1419"/>
      <c r="N113" s="1486"/>
      <c r="O113" s="1419"/>
      <c r="P113" s="1486"/>
      <c r="Q113" s="1419"/>
      <c r="R113" s="1486"/>
      <c r="S113" s="1419"/>
      <c r="T113" s="1486"/>
      <c r="U113" s="1419"/>
      <c r="V113" s="1486"/>
      <c r="W113" s="1419"/>
      <c r="X113" s="1486"/>
      <c r="Y113" s="1419"/>
    </row>
    <row r="114" spans="1:25">
      <c r="A114" s="1412"/>
      <c r="B114" s="1501" t="s">
        <v>1407</v>
      </c>
      <c r="C114" s="23"/>
      <c r="D114" s="503">
        <v>2</v>
      </c>
      <c r="E114" s="266" t="s">
        <v>468</v>
      </c>
      <c r="F114" s="431"/>
      <c r="G114" s="1402"/>
      <c r="H114" s="1486"/>
      <c r="I114" s="1419"/>
      <c r="J114" s="1486"/>
      <c r="K114" s="1419"/>
      <c r="L114" s="1486"/>
      <c r="M114" s="1419"/>
      <c r="N114" s="1486"/>
      <c r="O114" s="1419"/>
      <c r="P114" s="1486"/>
      <c r="Q114" s="1419"/>
      <c r="R114" s="1486"/>
      <c r="S114" s="1419"/>
      <c r="T114" s="1486"/>
      <c r="U114" s="1419"/>
      <c r="V114" s="1486"/>
      <c r="W114" s="1419"/>
      <c r="X114" s="1486"/>
      <c r="Y114" s="1419"/>
    </row>
    <row r="115" spans="1:25">
      <c r="A115" s="1412"/>
      <c r="B115" s="1501" t="s">
        <v>1408</v>
      </c>
      <c r="C115" s="23"/>
      <c r="D115" s="503">
        <v>11</v>
      </c>
      <c r="E115" s="266" t="s">
        <v>468</v>
      </c>
      <c r="F115" s="431"/>
      <c r="G115" s="1402"/>
      <c r="H115" s="1486"/>
      <c r="I115" s="1419"/>
      <c r="J115" s="1486"/>
      <c r="K115" s="1419"/>
      <c r="L115" s="1486"/>
      <c r="M115" s="1419"/>
      <c r="N115" s="1486"/>
      <c r="O115" s="1419"/>
      <c r="P115" s="1486"/>
      <c r="Q115" s="1419"/>
      <c r="R115" s="1486"/>
      <c r="S115" s="1419"/>
      <c r="T115" s="1486"/>
      <c r="U115" s="1419"/>
      <c r="V115" s="1486"/>
      <c r="W115" s="1419"/>
      <c r="X115" s="1486"/>
      <c r="Y115" s="1419"/>
    </row>
    <row r="116" spans="1:25">
      <c r="A116" s="1412"/>
      <c r="B116" s="1501" t="s">
        <v>1409</v>
      </c>
      <c r="C116" s="23"/>
      <c r="D116" s="503">
        <v>2</v>
      </c>
      <c r="E116" s="266" t="s">
        <v>468</v>
      </c>
      <c r="F116" s="431"/>
      <c r="G116" s="1402"/>
      <c r="H116" s="1486"/>
      <c r="I116" s="1419"/>
      <c r="J116" s="1486"/>
      <c r="K116" s="1419"/>
      <c r="L116" s="1486"/>
      <c r="M116" s="1419"/>
      <c r="N116" s="1486"/>
      <c r="O116" s="1419"/>
      <c r="P116" s="1486"/>
      <c r="Q116" s="1419"/>
      <c r="R116" s="1486"/>
      <c r="S116" s="1419"/>
      <c r="T116" s="1486"/>
      <c r="U116" s="1419"/>
      <c r="V116" s="1486"/>
      <c r="W116" s="1419"/>
      <c r="X116" s="1486"/>
      <c r="Y116" s="1419"/>
    </row>
    <row r="117" spans="1:25">
      <c r="A117" s="1412"/>
      <c r="B117" s="1501" t="s">
        <v>1410</v>
      </c>
      <c r="C117" s="23"/>
      <c r="D117" s="503">
        <v>2</v>
      </c>
      <c r="E117" s="266" t="s">
        <v>468</v>
      </c>
      <c r="F117" s="431"/>
      <c r="G117" s="1402"/>
      <c r="H117" s="1486"/>
      <c r="I117" s="1419"/>
      <c r="J117" s="1486"/>
      <c r="K117" s="1419"/>
      <c r="L117" s="1486"/>
      <c r="M117" s="1419"/>
      <c r="N117" s="1486"/>
      <c r="O117" s="1419"/>
      <c r="P117" s="1486"/>
      <c r="Q117" s="1419"/>
      <c r="R117" s="1486"/>
      <c r="S117" s="1419"/>
      <c r="T117" s="1486"/>
      <c r="U117" s="1419"/>
      <c r="V117" s="1486"/>
      <c r="W117" s="1419"/>
      <c r="X117" s="1486"/>
      <c r="Y117" s="1419"/>
    </row>
    <row r="118" spans="1:25">
      <c r="A118" s="1412"/>
      <c r="B118" s="1501" t="s">
        <v>1411</v>
      </c>
      <c r="C118" s="23"/>
      <c r="D118" s="503">
        <v>21</v>
      </c>
      <c r="E118" s="266" t="s">
        <v>468</v>
      </c>
      <c r="F118" s="431"/>
      <c r="G118" s="1402"/>
      <c r="H118" s="1486"/>
      <c r="I118" s="1419"/>
      <c r="J118" s="1486"/>
      <c r="K118" s="1419"/>
      <c r="L118" s="1486"/>
      <c r="M118" s="1419"/>
      <c r="N118" s="1486"/>
      <c r="O118" s="1419"/>
      <c r="P118" s="1486"/>
      <c r="Q118" s="1419"/>
      <c r="R118" s="1486"/>
      <c r="S118" s="1419"/>
      <c r="T118" s="1486"/>
      <c r="U118" s="1419"/>
      <c r="V118" s="1486"/>
      <c r="W118" s="1419"/>
      <c r="X118" s="1486"/>
      <c r="Y118" s="1419"/>
    </row>
    <row r="119" spans="1:25">
      <c r="A119" s="1412"/>
      <c r="B119" s="1501" t="s">
        <v>1412</v>
      </c>
      <c r="C119" s="23"/>
      <c r="D119" s="503">
        <v>2</v>
      </c>
      <c r="E119" s="266" t="s">
        <v>468</v>
      </c>
      <c r="F119" s="431"/>
      <c r="G119" s="1402"/>
      <c r="H119" s="1486"/>
      <c r="I119" s="1419"/>
      <c r="J119" s="1486"/>
      <c r="K119" s="1419"/>
      <c r="L119" s="1486"/>
      <c r="M119" s="1419"/>
      <c r="N119" s="1486"/>
      <c r="O119" s="1419"/>
      <c r="P119" s="1486"/>
      <c r="Q119" s="1419"/>
      <c r="R119" s="1486"/>
      <c r="S119" s="1419"/>
      <c r="T119" s="1486"/>
      <c r="U119" s="1419"/>
      <c r="V119" s="1486"/>
      <c r="W119" s="1419"/>
      <c r="X119" s="1486"/>
      <c r="Y119" s="1419"/>
    </row>
    <row r="120" spans="1:25">
      <c r="A120" s="1412"/>
      <c r="B120" s="1501" t="s">
        <v>1413</v>
      </c>
      <c r="C120" s="23"/>
      <c r="D120" s="503">
        <v>2</v>
      </c>
      <c r="E120" s="266" t="s">
        <v>468</v>
      </c>
      <c r="F120" s="431"/>
      <c r="G120" s="1402"/>
      <c r="H120" s="1486"/>
      <c r="I120" s="1419"/>
      <c r="J120" s="1486"/>
      <c r="K120" s="1419"/>
      <c r="L120" s="1486"/>
      <c r="M120" s="1419"/>
      <c r="N120" s="1486"/>
      <c r="O120" s="1419"/>
      <c r="P120" s="1486"/>
      <c r="Q120" s="1419"/>
      <c r="R120" s="1486"/>
      <c r="S120" s="1419"/>
      <c r="T120" s="1486"/>
      <c r="U120" s="1419"/>
      <c r="V120" s="1486"/>
      <c r="W120" s="1419"/>
      <c r="X120" s="1486"/>
      <c r="Y120" s="1419"/>
    </row>
    <row r="121" spans="1:25">
      <c r="A121" s="1412"/>
      <c r="B121" s="1501" t="s">
        <v>1414</v>
      </c>
      <c r="C121" s="23"/>
      <c r="D121" s="503">
        <v>0</v>
      </c>
      <c r="E121" s="266" t="s">
        <v>468</v>
      </c>
      <c r="F121" s="431"/>
      <c r="G121" s="1402"/>
      <c r="H121" s="1486"/>
      <c r="I121" s="1419"/>
      <c r="J121" s="1486"/>
      <c r="K121" s="1419"/>
      <c r="L121" s="1486"/>
      <c r="M121" s="1419"/>
      <c r="N121" s="1486"/>
      <c r="O121" s="1419"/>
      <c r="P121" s="1486"/>
      <c r="Q121" s="1419"/>
      <c r="R121" s="1486"/>
      <c r="S121" s="1419"/>
      <c r="T121" s="1486"/>
      <c r="U121" s="1419"/>
      <c r="V121" s="1486"/>
      <c r="W121" s="1419"/>
      <c r="X121" s="1486"/>
      <c r="Y121" s="1419"/>
    </row>
    <row r="122" spans="1:25">
      <c r="A122" s="1412"/>
      <c r="B122" s="1501" t="s">
        <v>1415</v>
      </c>
      <c r="C122" s="23"/>
      <c r="D122" s="503">
        <v>0</v>
      </c>
      <c r="E122" s="266" t="s">
        <v>468</v>
      </c>
      <c r="F122" s="431"/>
      <c r="G122" s="1402"/>
      <c r="H122" s="1486"/>
      <c r="I122" s="1419"/>
      <c r="J122" s="1486"/>
      <c r="K122" s="1419"/>
      <c r="L122" s="1486"/>
      <c r="M122" s="1419"/>
      <c r="N122" s="1486"/>
      <c r="O122" s="1419"/>
      <c r="P122" s="1486"/>
      <c r="Q122" s="1419"/>
      <c r="R122" s="1486"/>
      <c r="S122" s="1419"/>
      <c r="T122" s="1486"/>
      <c r="U122" s="1419"/>
      <c r="V122" s="1486"/>
      <c r="W122" s="1419"/>
      <c r="X122" s="1486"/>
      <c r="Y122" s="1419"/>
    </row>
    <row r="123" spans="1:25">
      <c r="A123" s="1412"/>
      <c r="B123" s="1501" t="s">
        <v>1416</v>
      </c>
      <c r="C123" s="23"/>
      <c r="D123" s="503">
        <v>23</v>
      </c>
      <c r="E123" s="266" t="s">
        <v>468</v>
      </c>
      <c r="F123" s="431"/>
      <c r="G123" s="1402"/>
      <c r="H123" s="1486"/>
      <c r="I123" s="1419"/>
      <c r="J123" s="1486"/>
      <c r="K123" s="1419"/>
      <c r="L123" s="1486"/>
      <c r="M123" s="1419"/>
      <c r="N123" s="1486"/>
      <c r="O123" s="1419"/>
      <c r="P123" s="1486"/>
      <c r="Q123" s="1419"/>
      <c r="R123" s="1486"/>
      <c r="S123" s="1419"/>
      <c r="T123" s="1486"/>
      <c r="U123" s="1419"/>
      <c r="V123" s="1486"/>
      <c r="W123" s="1419"/>
      <c r="X123" s="1486"/>
      <c r="Y123" s="1419"/>
    </row>
    <row r="124" spans="1:25">
      <c r="A124" s="1412"/>
      <c r="B124" s="1501" t="s">
        <v>1417</v>
      </c>
      <c r="C124" s="23"/>
      <c r="D124" s="503">
        <v>19</v>
      </c>
      <c r="E124" s="266" t="s">
        <v>468</v>
      </c>
      <c r="F124" s="431"/>
      <c r="G124" s="1402"/>
      <c r="H124" s="1486"/>
      <c r="I124" s="1419"/>
      <c r="J124" s="1486"/>
      <c r="K124" s="1419"/>
      <c r="L124" s="1486"/>
      <c r="M124" s="1419"/>
      <c r="N124" s="1486"/>
      <c r="O124" s="1419"/>
      <c r="P124" s="1486"/>
      <c r="Q124" s="1419"/>
      <c r="R124" s="1486"/>
      <c r="S124" s="1419"/>
      <c r="T124" s="1486"/>
      <c r="U124" s="1419"/>
      <c r="V124" s="1486"/>
      <c r="W124" s="1419"/>
      <c r="X124" s="1486"/>
      <c r="Y124" s="1419"/>
    </row>
    <row r="125" spans="1:25">
      <c r="A125" s="1412"/>
      <c r="B125" s="1501" t="s">
        <v>1418</v>
      </c>
      <c r="C125" s="23"/>
      <c r="D125" s="503">
        <v>15</v>
      </c>
      <c r="E125" s="266" t="s">
        <v>468</v>
      </c>
      <c r="F125" s="431"/>
      <c r="G125" s="1402"/>
      <c r="H125" s="1486"/>
      <c r="I125" s="1419"/>
      <c r="J125" s="1486"/>
      <c r="K125" s="1419"/>
      <c r="L125" s="1486"/>
      <c r="M125" s="1419"/>
      <c r="N125" s="1486"/>
      <c r="O125" s="1419"/>
      <c r="P125" s="1486"/>
      <c r="Q125" s="1419"/>
      <c r="R125" s="1486"/>
      <c r="S125" s="1419"/>
      <c r="T125" s="1486"/>
      <c r="U125" s="1419"/>
      <c r="V125" s="1486"/>
      <c r="W125" s="1419"/>
      <c r="X125" s="1486"/>
      <c r="Y125" s="1419"/>
    </row>
    <row r="126" spans="1:25">
      <c r="A126" s="1412"/>
      <c r="B126" s="1501" t="s">
        <v>1419</v>
      </c>
      <c r="C126" s="23"/>
      <c r="D126" s="503">
        <v>13</v>
      </c>
      <c r="E126" s="266" t="s">
        <v>468</v>
      </c>
      <c r="F126" s="431"/>
      <c r="G126" s="1402"/>
      <c r="H126" s="1486"/>
      <c r="I126" s="1419"/>
      <c r="J126" s="1486"/>
      <c r="K126" s="1419"/>
      <c r="L126" s="1486"/>
      <c r="M126" s="1419"/>
      <c r="N126" s="1486"/>
      <c r="O126" s="1419"/>
      <c r="P126" s="1486"/>
      <c r="Q126" s="1419"/>
      <c r="R126" s="1486"/>
      <c r="S126" s="1419"/>
      <c r="T126" s="1486"/>
      <c r="U126" s="1419"/>
      <c r="V126" s="1486"/>
      <c r="W126" s="1419"/>
      <c r="X126" s="1486"/>
      <c r="Y126" s="1419"/>
    </row>
    <row r="127" spans="1:25">
      <c r="A127" s="1412"/>
      <c r="B127" s="1501" t="s">
        <v>1420</v>
      </c>
      <c r="C127" s="23"/>
      <c r="D127" s="503">
        <v>3</v>
      </c>
      <c r="E127" s="266" t="s">
        <v>468</v>
      </c>
      <c r="F127" s="431"/>
      <c r="G127" s="1402"/>
      <c r="H127" s="1486"/>
      <c r="I127" s="1419"/>
      <c r="J127" s="1486"/>
      <c r="K127" s="1419"/>
      <c r="L127" s="1486"/>
      <c r="M127" s="1419"/>
      <c r="N127" s="1486"/>
      <c r="O127" s="1419"/>
      <c r="P127" s="1486"/>
      <c r="Q127" s="1419"/>
      <c r="R127" s="1486"/>
      <c r="S127" s="1419"/>
      <c r="T127" s="1486"/>
      <c r="U127" s="1419"/>
      <c r="V127" s="1486"/>
      <c r="W127" s="1419"/>
      <c r="X127" s="1486"/>
      <c r="Y127" s="1419"/>
    </row>
    <row r="128" spans="1:25">
      <c r="A128" s="1412"/>
      <c r="B128" s="1501" t="s">
        <v>1421</v>
      </c>
      <c r="C128" s="23"/>
      <c r="D128" s="503">
        <v>1</v>
      </c>
      <c r="E128" s="266" t="s">
        <v>468</v>
      </c>
      <c r="F128" s="431"/>
      <c r="G128" s="1402"/>
      <c r="H128" s="1486"/>
      <c r="I128" s="1419"/>
      <c r="J128" s="1486"/>
      <c r="K128" s="1419"/>
      <c r="L128" s="1486"/>
      <c r="M128" s="1419"/>
      <c r="N128" s="1486"/>
      <c r="O128" s="1419"/>
      <c r="P128" s="1486"/>
      <c r="Q128" s="1419"/>
      <c r="R128" s="1486"/>
      <c r="S128" s="1419"/>
      <c r="T128" s="1486"/>
      <c r="U128" s="1419"/>
      <c r="V128" s="1486"/>
      <c r="W128" s="1419"/>
      <c r="X128" s="1486"/>
      <c r="Y128" s="1419"/>
    </row>
    <row r="129" spans="1:25">
      <c r="A129" s="1412"/>
      <c r="B129" s="1501" t="s">
        <v>1422</v>
      </c>
      <c r="C129" s="23"/>
      <c r="D129" s="503">
        <v>174</v>
      </c>
      <c r="E129" s="266" t="s">
        <v>468</v>
      </c>
      <c r="F129" s="431"/>
      <c r="G129" s="1402"/>
      <c r="H129" s="1486"/>
      <c r="I129" s="1419"/>
      <c r="J129" s="1486"/>
      <c r="K129" s="1419"/>
      <c r="L129" s="1486"/>
      <c r="M129" s="1419"/>
      <c r="N129" s="1486"/>
      <c r="O129" s="1419"/>
      <c r="P129" s="1486"/>
      <c r="Q129" s="1419"/>
      <c r="R129" s="1486"/>
      <c r="S129" s="1419"/>
      <c r="T129" s="1486"/>
      <c r="U129" s="1419"/>
      <c r="V129" s="1486"/>
      <c r="W129" s="1419"/>
      <c r="X129" s="1486"/>
      <c r="Y129" s="1419"/>
    </row>
    <row r="130" spans="1:25">
      <c r="A130" s="1412"/>
      <c r="B130" s="1501" t="s">
        <v>1423</v>
      </c>
      <c r="C130" s="23"/>
      <c r="D130" s="503">
        <v>1</v>
      </c>
      <c r="E130" s="266" t="s">
        <v>468</v>
      </c>
      <c r="F130" s="431"/>
      <c r="G130" s="1402"/>
      <c r="H130" s="1486"/>
      <c r="I130" s="1419"/>
      <c r="J130" s="1486"/>
      <c r="K130" s="1419"/>
      <c r="L130" s="1486"/>
      <c r="M130" s="1419"/>
      <c r="N130" s="1486"/>
      <c r="O130" s="1419"/>
      <c r="P130" s="1486"/>
      <c r="Q130" s="1419"/>
      <c r="R130" s="1486"/>
      <c r="S130" s="1419"/>
      <c r="T130" s="1486"/>
      <c r="U130" s="1419"/>
      <c r="V130" s="1486"/>
      <c r="W130" s="1419"/>
      <c r="X130" s="1486"/>
      <c r="Y130" s="1419"/>
    </row>
    <row r="131" spans="1:25">
      <c r="A131" s="1412"/>
      <c r="B131" s="1501" t="s">
        <v>1424</v>
      </c>
      <c r="C131" s="23"/>
      <c r="D131" s="503">
        <v>42</v>
      </c>
      <c r="E131" s="266" t="s">
        <v>468</v>
      </c>
      <c r="F131" s="431"/>
      <c r="G131" s="1402"/>
      <c r="H131" s="1486"/>
      <c r="I131" s="1419"/>
      <c r="J131" s="1486"/>
      <c r="K131" s="1419"/>
      <c r="L131" s="1486"/>
      <c r="M131" s="1419"/>
      <c r="N131" s="1486"/>
      <c r="O131" s="1419"/>
      <c r="P131" s="1486"/>
      <c r="Q131" s="1419"/>
      <c r="R131" s="1486"/>
      <c r="S131" s="1419"/>
      <c r="T131" s="1486"/>
      <c r="U131" s="1419"/>
      <c r="V131" s="1486"/>
      <c r="W131" s="1419"/>
      <c r="X131" s="1486"/>
      <c r="Y131" s="1419"/>
    </row>
    <row r="132" spans="1:25">
      <c r="A132" s="1412"/>
      <c r="B132" s="1501" t="s">
        <v>1425</v>
      </c>
      <c r="C132" s="23"/>
      <c r="D132" s="503">
        <v>3</v>
      </c>
      <c r="E132" s="266" t="s">
        <v>468</v>
      </c>
      <c r="F132" s="431"/>
      <c r="G132" s="1402"/>
      <c r="H132" s="1486"/>
      <c r="I132" s="1419"/>
      <c r="J132" s="1486"/>
      <c r="K132" s="1419"/>
      <c r="L132" s="1486"/>
      <c r="M132" s="1419"/>
      <c r="N132" s="1486"/>
      <c r="O132" s="1419"/>
      <c r="P132" s="1486"/>
      <c r="Q132" s="1419"/>
      <c r="R132" s="1486"/>
      <c r="S132" s="1419"/>
      <c r="T132" s="1486"/>
      <c r="U132" s="1419"/>
      <c r="V132" s="1486"/>
      <c r="W132" s="1419"/>
      <c r="X132" s="1486"/>
      <c r="Y132" s="1419"/>
    </row>
    <row r="133" spans="1:25">
      <c r="A133" s="1412"/>
      <c r="B133" s="1501" t="s">
        <v>1426</v>
      </c>
      <c r="C133" s="23"/>
      <c r="D133" s="503">
        <v>6</v>
      </c>
      <c r="E133" s="266" t="s">
        <v>468</v>
      </c>
      <c r="F133" s="431"/>
      <c r="G133" s="1402"/>
      <c r="H133" s="1486"/>
      <c r="I133" s="1419"/>
      <c r="J133" s="1486"/>
      <c r="K133" s="1419"/>
      <c r="L133" s="1486"/>
      <c r="M133" s="1419"/>
      <c r="N133" s="1486"/>
      <c r="O133" s="1419"/>
      <c r="P133" s="1486"/>
      <c r="Q133" s="1419"/>
      <c r="R133" s="1486"/>
      <c r="S133" s="1419"/>
      <c r="T133" s="1486"/>
      <c r="U133" s="1419"/>
      <c r="V133" s="1486"/>
      <c r="W133" s="1419"/>
      <c r="X133" s="1486"/>
      <c r="Y133" s="1419"/>
    </row>
    <row r="134" spans="1:25">
      <c r="A134" s="1412"/>
      <c r="B134" s="1501" t="s">
        <v>1427</v>
      </c>
      <c r="C134" s="23"/>
      <c r="D134" s="503">
        <v>4</v>
      </c>
      <c r="E134" s="266" t="s">
        <v>468</v>
      </c>
      <c r="F134" s="431"/>
      <c r="G134" s="1402"/>
      <c r="H134" s="1486"/>
      <c r="I134" s="1419"/>
      <c r="J134" s="1486"/>
      <c r="K134" s="1419"/>
      <c r="L134" s="1486"/>
      <c r="M134" s="1419"/>
      <c r="N134" s="1486"/>
      <c r="O134" s="1419"/>
      <c r="P134" s="1486"/>
      <c r="Q134" s="1419"/>
      <c r="R134" s="1486"/>
      <c r="S134" s="1419"/>
      <c r="T134" s="1486"/>
      <c r="U134" s="1419"/>
      <c r="V134" s="1486"/>
      <c r="W134" s="1419"/>
      <c r="X134" s="1486"/>
      <c r="Y134" s="1419"/>
    </row>
    <row r="135" spans="1:25">
      <c r="A135" s="1412"/>
      <c r="B135" s="1501" t="s">
        <v>1428</v>
      </c>
      <c r="C135" s="23"/>
      <c r="D135" s="503">
        <v>4</v>
      </c>
      <c r="E135" s="266" t="s">
        <v>468</v>
      </c>
      <c r="F135" s="431"/>
      <c r="G135" s="1402"/>
      <c r="H135" s="1486"/>
      <c r="I135" s="1419"/>
      <c r="J135" s="1486"/>
      <c r="K135" s="1419"/>
      <c r="L135" s="1486"/>
      <c r="M135" s="1419"/>
      <c r="N135" s="1486"/>
      <c r="O135" s="1419"/>
      <c r="P135" s="1486"/>
      <c r="Q135" s="1419"/>
      <c r="R135" s="1486"/>
      <c r="S135" s="1419"/>
      <c r="T135" s="1486"/>
      <c r="U135" s="1419"/>
      <c r="V135" s="1486"/>
      <c r="W135" s="1419"/>
      <c r="X135" s="1486"/>
      <c r="Y135" s="1419"/>
    </row>
    <row r="136" spans="1:25">
      <c r="A136" s="1412"/>
      <c r="B136" s="1501" t="s">
        <v>1429</v>
      </c>
      <c r="C136" s="23"/>
      <c r="D136" s="503">
        <v>2</v>
      </c>
      <c r="E136" s="266" t="s">
        <v>468</v>
      </c>
      <c r="F136" s="431"/>
      <c r="G136" s="1402"/>
      <c r="H136" s="1486"/>
      <c r="I136" s="1419"/>
      <c r="J136" s="1486"/>
      <c r="K136" s="1419"/>
      <c r="L136" s="1486"/>
      <c r="M136" s="1419"/>
      <c r="N136" s="1486"/>
      <c r="O136" s="1419"/>
      <c r="P136" s="1486"/>
      <c r="Q136" s="1419"/>
      <c r="R136" s="1486"/>
      <c r="S136" s="1419"/>
      <c r="T136" s="1486"/>
      <c r="U136" s="1419"/>
      <c r="V136" s="1486"/>
      <c r="W136" s="1419"/>
      <c r="X136" s="1486"/>
      <c r="Y136" s="1419"/>
    </row>
    <row r="137" spans="1:25">
      <c r="A137" s="1412"/>
      <c r="B137" s="1501" t="s">
        <v>1430</v>
      </c>
      <c r="C137" s="23"/>
      <c r="D137" s="503">
        <v>0</v>
      </c>
      <c r="E137" s="266" t="s">
        <v>468</v>
      </c>
      <c r="F137" s="431"/>
      <c r="G137" s="1402"/>
      <c r="H137" s="1486"/>
      <c r="I137" s="1419"/>
      <c r="J137" s="1486"/>
      <c r="K137" s="1419"/>
      <c r="L137" s="1486"/>
      <c r="M137" s="1419"/>
      <c r="N137" s="1486"/>
      <c r="O137" s="1419"/>
      <c r="P137" s="1486"/>
      <c r="Q137" s="1419"/>
      <c r="R137" s="1486"/>
      <c r="S137" s="1419"/>
      <c r="T137" s="1486"/>
      <c r="U137" s="1419"/>
      <c r="V137" s="1486"/>
      <c r="W137" s="1419"/>
      <c r="X137" s="1486"/>
      <c r="Y137" s="1419"/>
    </row>
    <row r="138" spans="1:25">
      <c r="A138" s="1412"/>
      <c r="B138" s="1501" t="s">
        <v>1431</v>
      </c>
      <c r="C138" s="23"/>
      <c r="D138" s="503">
        <v>39</v>
      </c>
      <c r="E138" s="266" t="s">
        <v>468</v>
      </c>
      <c r="F138" s="431"/>
      <c r="G138" s="1402"/>
      <c r="H138" s="1486"/>
      <c r="I138" s="1419"/>
      <c r="J138" s="1486"/>
      <c r="K138" s="1419"/>
      <c r="L138" s="1486"/>
      <c r="M138" s="1419"/>
      <c r="N138" s="1486"/>
      <c r="O138" s="1419"/>
      <c r="P138" s="1486"/>
      <c r="Q138" s="1419"/>
      <c r="R138" s="1486"/>
      <c r="S138" s="1419"/>
      <c r="T138" s="1486"/>
      <c r="U138" s="1419"/>
      <c r="V138" s="1486"/>
      <c r="W138" s="1419"/>
      <c r="X138" s="1486"/>
      <c r="Y138" s="1419"/>
    </row>
    <row r="139" spans="1:25">
      <c r="A139" s="1412"/>
      <c r="B139" s="1501" t="s">
        <v>1432</v>
      </c>
      <c r="C139" s="23"/>
      <c r="D139" s="503">
        <v>5</v>
      </c>
      <c r="E139" s="266" t="s">
        <v>468</v>
      </c>
      <c r="F139" s="431"/>
      <c r="G139" s="1402"/>
      <c r="H139" s="1486"/>
      <c r="I139" s="1419"/>
      <c r="J139" s="1486"/>
      <c r="K139" s="1419"/>
      <c r="L139" s="1486"/>
      <c r="M139" s="1419"/>
      <c r="N139" s="1486"/>
      <c r="O139" s="1419"/>
      <c r="P139" s="1486"/>
      <c r="Q139" s="1419"/>
      <c r="R139" s="1486"/>
      <c r="S139" s="1419"/>
      <c r="T139" s="1486"/>
      <c r="U139" s="1419"/>
      <c r="V139" s="1486"/>
      <c r="W139" s="1419"/>
      <c r="X139" s="1486"/>
      <c r="Y139" s="1419"/>
    </row>
    <row r="140" spans="1:25">
      <c r="A140" s="1412"/>
      <c r="B140" s="1501" t="s">
        <v>1433</v>
      </c>
      <c r="C140" s="23"/>
      <c r="D140" s="503">
        <v>0</v>
      </c>
      <c r="E140" s="266" t="s">
        <v>468</v>
      </c>
      <c r="F140" s="431"/>
      <c r="G140" s="1402"/>
      <c r="H140" s="1486"/>
      <c r="I140" s="1419"/>
      <c r="J140" s="1486"/>
      <c r="K140" s="1419"/>
      <c r="L140" s="1486"/>
      <c r="M140" s="1419"/>
      <c r="N140" s="1486"/>
      <c r="O140" s="1419"/>
      <c r="P140" s="1486"/>
      <c r="Q140" s="1419"/>
      <c r="R140" s="1486"/>
      <c r="S140" s="1419"/>
      <c r="T140" s="1486"/>
      <c r="U140" s="1419"/>
      <c r="V140" s="1486"/>
      <c r="W140" s="1419"/>
      <c r="X140" s="1486"/>
      <c r="Y140" s="1419"/>
    </row>
    <row r="141" spans="1:25">
      <c r="A141" s="1412"/>
      <c r="B141" s="1501" t="s">
        <v>1434</v>
      </c>
      <c r="C141" s="23"/>
      <c r="D141" s="503">
        <v>0</v>
      </c>
      <c r="E141" s="266" t="s">
        <v>468</v>
      </c>
      <c r="F141" s="431"/>
      <c r="G141" s="1402"/>
      <c r="H141" s="1486"/>
      <c r="I141" s="1419"/>
      <c r="J141" s="1486"/>
      <c r="K141" s="1419"/>
      <c r="L141" s="1486"/>
      <c r="M141" s="1419"/>
      <c r="N141" s="1486"/>
      <c r="O141" s="1419"/>
      <c r="P141" s="1486"/>
      <c r="Q141" s="1419"/>
      <c r="R141" s="1486"/>
      <c r="S141" s="1419"/>
      <c r="T141" s="1486"/>
      <c r="U141" s="1419"/>
      <c r="V141" s="1486"/>
      <c r="W141" s="1419"/>
      <c r="X141" s="1486"/>
      <c r="Y141" s="1419"/>
    </row>
    <row r="142" spans="1:25">
      <c r="A142" s="1412"/>
      <c r="B142" s="1501" t="s">
        <v>1435</v>
      </c>
      <c r="C142" s="23"/>
      <c r="D142" s="503">
        <v>0</v>
      </c>
      <c r="E142" s="266" t="s">
        <v>468</v>
      </c>
      <c r="F142" s="431"/>
      <c r="G142" s="1402"/>
      <c r="H142" s="1486"/>
      <c r="I142" s="1419"/>
      <c r="J142" s="1486"/>
      <c r="K142" s="1419"/>
      <c r="L142" s="1486"/>
      <c r="M142" s="1419"/>
      <c r="N142" s="1486"/>
      <c r="O142" s="1419"/>
      <c r="P142" s="1486"/>
      <c r="Q142" s="1419"/>
      <c r="R142" s="1486"/>
      <c r="S142" s="1419"/>
      <c r="T142" s="1486"/>
      <c r="U142" s="1419"/>
      <c r="V142" s="1486"/>
      <c r="W142" s="1419"/>
      <c r="X142" s="1486"/>
      <c r="Y142" s="1419"/>
    </row>
    <row r="143" spans="1:25">
      <c r="A143" s="1412"/>
      <c r="B143" s="1501" t="s">
        <v>1436</v>
      </c>
      <c r="C143" s="23"/>
      <c r="D143" s="503">
        <v>2</v>
      </c>
      <c r="E143" s="266" t="s">
        <v>468</v>
      </c>
      <c r="F143" s="431"/>
      <c r="G143" s="1402"/>
      <c r="H143" s="1486"/>
      <c r="I143" s="1419"/>
      <c r="J143" s="1486"/>
      <c r="K143" s="1419"/>
      <c r="L143" s="1486"/>
      <c r="M143" s="1419"/>
      <c r="N143" s="1486"/>
      <c r="O143" s="1419"/>
      <c r="P143" s="1486"/>
      <c r="Q143" s="1419"/>
      <c r="R143" s="1486"/>
      <c r="S143" s="1419"/>
      <c r="T143" s="1486"/>
      <c r="U143" s="1419"/>
      <c r="V143" s="1486"/>
      <c r="W143" s="1419"/>
      <c r="X143" s="1486"/>
      <c r="Y143" s="1419"/>
    </row>
    <row r="144" spans="1:25">
      <c r="A144" s="1412"/>
      <c r="B144" s="1501" t="s">
        <v>1437</v>
      </c>
      <c r="C144" s="23"/>
      <c r="D144" s="503">
        <v>3</v>
      </c>
      <c r="E144" s="266" t="s">
        <v>468</v>
      </c>
      <c r="F144" s="431"/>
      <c r="G144" s="1402"/>
      <c r="H144" s="1486"/>
      <c r="I144" s="1419"/>
      <c r="J144" s="1486"/>
      <c r="K144" s="1419"/>
      <c r="L144" s="1486"/>
      <c r="M144" s="1419"/>
      <c r="N144" s="1486"/>
      <c r="O144" s="1419"/>
      <c r="P144" s="1486"/>
      <c r="Q144" s="1419"/>
      <c r="R144" s="1486"/>
      <c r="S144" s="1419"/>
      <c r="T144" s="1486"/>
      <c r="U144" s="1419"/>
      <c r="V144" s="1486"/>
      <c r="W144" s="1419"/>
      <c r="X144" s="1486"/>
      <c r="Y144" s="1419"/>
    </row>
    <row r="145" spans="1:25">
      <c r="A145" s="1412"/>
      <c r="B145" s="1500"/>
      <c r="C145" s="23"/>
      <c r="D145" s="503"/>
      <c r="E145" s="266"/>
      <c r="F145" s="431"/>
      <c r="G145" s="1402"/>
      <c r="H145" s="1486"/>
      <c r="I145" s="1419"/>
      <c r="J145" s="1486"/>
      <c r="K145" s="1419"/>
      <c r="L145" s="1486"/>
      <c r="M145" s="1419"/>
      <c r="N145" s="1486"/>
      <c r="O145" s="1419"/>
      <c r="P145" s="1486"/>
      <c r="Q145" s="1419"/>
      <c r="R145" s="1486"/>
      <c r="S145" s="1419"/>
      <c r="T145" s="1486"/>
      <c r="U145" s="1419"/>
      <c r="V145" s="1486"/>
      <c r="W145" s="1419"/>
      <c r="X145" s="1486"/>
      <c r="Y145" s="1419"/>
    </row>
    <row r="146" spans="1:25">
      <c r="A146" s="1412"/>
      <c r="B146" s="1500" t="s">
        <v>1438</v>
      </c>
      <c r="C146" s="23"/>
      <c r="D146" s="503"/>
      <c r="E146" s="266"/>
      <c r="F146" s="431"/>
      <c r="G146" s="1402"/>
      <c r="H146" s="1486" t="s">
        <v>682</v>
      </c>
      <c r="I146" s="1419"/>
      <c r="J146" s="1486" t="s">
        <v>682</v>
      </c>
      <c r="K146" s="1419"/>
      <c r="L146" s="1486" t="s">
        <v>682</v>
      </c>
      <c r="M146" s="1419"/>
      <c r="N146" s="1486"/>
      <c r="O146" s="1419"/>
      <c r="P146" s="1486"/>
      <c r="Q146" s="1419"/>
      <c r="R146" s="1486"/>
      <c r="S146" s="1419"/>
      <c r="T146" s="1486"/>
      <c r="U146" s="1419"/>
      <c r="V146" s="1486"/>
      <c r="W146" s="1419"/>
      <c r="X146" s="1486"/>
      <c r="Y146" s="1419">
        <v>45795.14</v>
      </c>
    </row>
    <row r="147" spans="1:25">
      <c r="A147" s="1502" t="s">
        <v>1439</v>
      </c>
      <c r="B147" s="1501" t="s">
        <v>1429</v>
      </c>
      <c r="C147" s="23"/>
      <c r="D147" s="503">
        <f>D72+D87</f>
        <v>418</v>
      </c>
      <c r="E147" s="266" t="s">
        <v>468</v>
      </c>
      <c r="F147" s="431"/>
      <c r="G147" s="1402"/>
      <c r="H147" s="1486"/>
      <c r="I147" s="1419"/>
      <c r="J147" s="1486"/>
      <c r="K147" s="1419"/>
      <c r="L147" s="1486"/>
      <c r="M147" s="1419"/>
      <c r="N147" s="1486"/>
      <c r="O147" s="1419"/>
      <c r="P147" s="1486"/>
      <c r="Q147" s="1419"/>
      <c r="R147" s="1486"/>
      <c r="S147" s="1419"/>
      <c r="T147" s="1486"/>
      <c r="U147" s="1419"/>
      <c r="V147" s="1486"/>
      <c r="W147" s="1419"/>
      <c r="X147" s="1486"/>
      <c r="Y147" s="1419"/>
    </row>
    <row r="148" spans="1:25">
      <c r="A148" s="1502" t="s">
        <v>1440</v>
      </c>
      <c r="B148" s="1501" t="s">
        <v>1430</v>
      </c>
      <c r="C148" s="23"/>
      <c r="D148" s="503">
        <f>+D86</f>
        <v>4</v>
      </c>
      <c r="E148" s="266" t="s">
        <v>468</v>
      </c>
      <c r="F148" s="431"/>
      <c r="G148" s="1402"/>
      <c r="H148" s="1486"/>
      <c r="I148" s="1419"/>
      <c r="J148" s="1486"/>
      <c r="K148" s="1419"/>
      <c r="L148" s="1486"/>
      <c r="M148" s="1419"/>
      <c r="N148" s="1486"/>
      <c r="O148" s="1419"/>
      <c r="P148" s="1486"/>
      <c r="Q148" s="1419"/>
      <c r="R148" s="1486"/>
      <c r="S148" s="1419"/>
      <c r="T148" s="1486"/>
      <c r="U148" s="1419"/>
      <c r="V148" s="1486"/>
      <c r="W148" s="1419"/>
      <c r="X148" s="1486"/>
      <c r="Y148" s="1419"/>
    </row>
    <row r="149" spans="1:25">
      <c r="A149" s="1502" t="s">
        <v>1441</v>
      </c>
      <c r="B149" s="1501" t="s">
        <v>1433</v>
      </c>
      <c r="C149" s="23"/>
      <c r="D149" s="503">
        <f>D73+D88</f>
        <v>418</v>
      </c>
      <c r="E149" s="266" t="s">
        <v>468</v>
      </c>
      <c r="F149" s="431"/>
      <c r="G149" s="1402"/>
      <c r="H149" s="1486"/>
      <c r="I149" s="1419"/>
      <c r="J149" s="1486"/>
      <c r="K149" s="1419"/>
      <c r="L149" s="1486"/>
      <c r="M149" s="1419"/>
      <c r="N149" s="1486"/>
      <c r="O149" s="1419"/>
      <c r="P149" s="1486"/>
      <c r="Q149" s="1419"/>
      <c r="R149" s="1486"/>
      <c r="S149" s="1419"/>
      <c r="T149" s="1486"/>
      <c r="U149" s="1419"/>
      <c r="V149" s="1486"/>
      <c r="W149" s="1419"/>
      <c r="X149" s="1486"/>
      <c r="Y149" s="1419"/>
    </row>
    <row r="150" spans="1:25">
      <c r="A150" s="1502" t="s">
        <v>1442</v>
      </c>
      <c r="B150" s="1501" t="s">
        <v>1434</v>
      </c>
      <c r="C150" s="23"/>
      <c r="D150" s="503">
        <f>D74+D89</f>
        <v>105</v>
      </c>
      <c r="E150" s="266" t="s">
        <v>468</v>
      </c>
      <c r="F150" s="431"/>
      <c r="G150" s="1402"/>
      <c r="H150" s="1486"/>
      <c r="I150" s="1419"/>
      <c r="J150" s="1486"/>
      <c r="K150" s="1419"/>
      <c r="L150" s="1486"/>
      <c r="M150" s="1419"/>
      <c r="N150" s="1486"/>
      <c r="O150" s="1419"/>
      <c r="P150" s="1486"/>
      <c r="Q150" s="1419"/>
      <c r="R150" s="1486"/>
      <c r="S150" s="1419"/>
      <c r="T150" s="1486"/>
      <c r="U150" s="1419"/>
      <c r="V150" s="1486"/>
      <c r="W150" s="1419"/>
      <c r="X150" s="1486"/>
      <c r="Y150" s="1419"/>
    </row>
    <row r="151" spans="1:25">
      <c r="A151" s="1502" t="s">
        <v>1443</v>
      </c>
      <c r="B151" s="1501" t="s">
        <v>1435</v>
      </c>
      <c r="C151" s="23"/>
      <c r="D151" s="503">
        <f>D90</f>
        <v>2</v>
      </c>
      <c r="E151" s="266" t="s">
        <v>468</v>
      </c>
      <c r="F151" s="431"/>
      <c r="G151" s="1402"/>
      <c r="H151" s="1486"/>
      <c r="I151" s="1419"/>
      <c r="J151" s="1486"/>
      <c r="K151" s="1419"/>
      <c r="L151" s="1486"/>
      <c r="M151" s="1419"/>
      <c r="N151" s="1486"/>
      <c r="O151" s="1419"/>
      <c r="P151" s="1486"/>
      <c r="Q151" s="1419"/>
      <c r="R151" s="1486"/>
      <c r="S151" s="1419"/>
      <c r="T151" s="1486"/>
      <c r="U151" s="1419"/>
      <c r="V151" s="1486"/>
      <c r="W151" s="1419"/>
      <c r="X151" s="1486"/>
      <c r="Y151" s="1419"/>
    </row>
    <row r="152" spans="1:25">
      <c r="A152" s="1412"/>
      <c r="B152" s="1500"/>
      <c r="C152" s="23"/>
      <c r="D152" s="503"/>
      <c r="E152" s="266"/>
      <c r="F152" s="431"/>
      <c r="G152" s="1402"/>
      <c r="H152" s="1486"/>
      <c r="I152" s="1419"/>
      <c r="J152" s="1486"/>
      <c r="K152" s="1419"/>
      <c r="L152" s="1486"/>
      <c r="M152" s="1419"/>
      <c r="N152" s="1486"/>
      <c r="O152" s="1419"/>
      <c r="P152" s="1486"/>
      <c r="Q152" s="1419"/>
      <c r="R152" s="1486"/>
      <c r="S152" s="1419"/>
      <c r="T152" s="1486"/>
      <c r="U152" s="1419"/>
      <c r="V152" s="1486"/>
      <c r="W152" s="1419"/>
      <c r="X152" s="1486"/>
      <c r="Y152" s="1419"/>
    </row>
    <row r="153" spans="1:25">
      <c r="A153" s="1412"/>
      <c r="B153" s="1500" t="s">
        <v>1444</v>
      </c>
      <c r="C153" s="23"/>
      <c r="D153" s="503"/>
      <c r="E153" s="266"/>
      <c r="F153" s="431"/>
      <c r="G153" s="1402"/>
      <c r="H153" s="1486" t="s">
        <v>682</v>
      </c>
      <c r="I153" s="1419"/>
      <c r="J153" s="1486"/>
      <c r="K153" s="1419">
        <v>92320.75</v>
      </c>
      <c r="L153" s="1486" t="s">
        <v>682</v>
      </c>
      <c r="M153" s="1419">
        <v>103608.49</v>
      </c>
      <c r="N153" s="1486"/>
      <c r="O153" s="1419"/>
      <c r="P153" s="1486"/>
      <c r="Q153" s="1419"/>
      <c r="R153" s="1486"/>
      <c r="S153" s="1419"/>
      <c r="T153" s="1486"/>
      <c r="U153" s="1419"/>
      <c r="V153" s="1486"/>
      <c r="W153" s="1419"/>
      <c r="X153" s="1486"/>
      <c r="Y153" s="1419"/>
    </row>
    <row r="154" spans="1:25">
      <c r="A154" s="1412"/>
      <c r="B154" s="1500"/>
      <c r="C154" s="23"/>
      <c r="D154" s="503"/>
      <c r="E154" s="266"/>
      <c r="F154" s="431"/>
      <c r="G154" s="1402"/>
      <c r="H154" s="1486"/>
      <c r="I154" s="1419"/>
      <c r="J154" s="1486"/>
      <c r="K154" s="1419"/>
      <c r="L154" s="1486"/>
      <c r="M154" s="1419"/>
      <c r="N154" s="1486"/>
      <c r="O154" s="1419"/>
      <c r="P154" s="1486"/>
      <c r="Q154" s="1419"/>
      <c r="R154" s="1486"/>
      <c r="S154" s="1419"/>
      <c r="T154" s="1486"/>
      <c r="U154" s="1419"/>
      <c r="V154" s="1486"/>
      <c r="W154" s="1419"/>
      <c r="X154" s="1486"/>
      <c r="Y154" s="1419"/>
    </row>
    <row r="155" spans="1:25">
      <c r="A155" s="1412"/>
      <c r="B155" s="1500" t="s">
        <v>1180</v>
      </c>
      <c r="C155" s="23"/>
      <c r="D155" s="503"/>
      <c r="E155" s="266"/>
      <c r="F155" s="431"/>
      <c r="G155" s="1402"/>
      <c r="H155" s="1486"/>
      <c r="I155" s="1419">
        <v>290365</v>
      </c>
      <c r="J155" s="1486"/>
      <c r="K155" s="1419">
        <v>567500</v>
      </c>
      <c r="L155" s="1486"/>
      <c r="M155" s="1419">
        <v>486000</v>
      </c>
      <c r="N155" s="1486"/>
      <c r="O155" s="1419"/>
      <c r="P155" s="1486"/>
      <c r="Q155" s="1419"/>
      <c r="R155" s="1486"/>
      <c r="S155" s="1419"/>
      <c r="T155" s="1486"/>
      <c r="U155" s="1419"/>
      <c r="V155" s="1486"/>
      <c r="W155" s="1419"/>
      <c r="X155" s="1486"/>
      <c r="Y155" s="1419"/>
    </row>
    <row r="156" spans="1:25">
      <c r="A156" s="1412"/>
      <c r="B156" s="1501" t="s">
        <v>1445</v>
      </c>
      <c r="C156" s="23"/>
      <c r="D156" s="503">
        <f>SUM(D41:D55)+SUM(D57:D59)+D69+SUM(D77:D80)+SUM(D92:D95)</f>
        <v>1552</v>
      </c>
      <c r="E156" s="266" t="s">
        <v>468</v>
      </c>
      <c r="F156" s="431"/>
      <c r="G156" s="1402"/>
      <c r="H156" s="1486" t="s">
        <v>682</v>
      </c>
      <c r="I156" s="1419"/>
      <c r="J156" s="1486"/>
      <c r="K156" s="1419"/>
      <c r="L156" s="1486" t="s">
        <v>682</v>
      </c>
      <c r="M156" s="1419"/>
      <c r="N156" s="1486"/>
      <c r="O156" s="1419"/>
      <c r="P156" s="1486"/>
      <c r="Q156" s="1419"/>
      <c r="R156" s="1486"/>
      <c r="S156" s="1419"/>
      <c r="T156" s="1486"/>
      <c r="U156" s="1419"/>
      <c r="V156" s="1486"/>
      <c r="W156" s="1419"/>
      <c r="X156" s="1486"/>
      <c r="Y156" s="1419"/>
    </row>
    <row r="157" spans="1:25">
      <c r="A157" s="1412"/>
      <c r="B157" s="1501" t="s">
        <v>1446</v>
      </c>
      <c r="C157" s="23"/>
      <c r="D157" s="503">
        <f>D69+D77+D78+D79+D84+D92+D93+D94+D95</f>
        <v>1155</v>
      </c>
      <c r="E157" s="266" t="s">
        <v>468</v>
      </c>
      <c r="F157" s="431"/>
      <c r="G157" s="1402"/>
      <c r="H157" s="1486" t="s">
        <v>682</v>
      </c>
      <c r="I157" s="1419"/>
      <c r="J157" s="1486"/>
      <c r="K157" s="1419"/>
      <c r="L157" s="1486" t="s">
        <v>682</v>
      </c>
      <c r="M157" s="1419"/>
      <c r="N157" s="1486"/>
      <c r="O157" s="1419"/>
      <c r="P157" s="1486"/>
      <c r="Q157" s="1419"/>
      <c r="R157" s="1486"/>
      <c r="S157" s="1419"/>
      <c r="T157" s="1486"/>
      <c r="U157" s="1419"/>
      <c r="V157" s="1486"/>
      <c r="W157" s="1419"/>
      <c r="X157" s="1486"/>
      <c r="Y157" s="1419"/>
    </row>
    <row r="158" spans="1:25">
      <c r="A158" s="1412"/>
      <c r="B158" s="1503" t="s">
        <v>1447</v>
      </c>
      <c r="C158" s="23"/>
      <c r="D158" s="503"/>
      <c r="E158" s="266"/>
      <c r="F158" s="431"/>
      <c r="G158" s="1402"/>
      <c r="H158" s="1486"/>
      <c r="I158" s="1419"/>
      <c r="J158" s="1486"/>
      <c r="K158" s="1419"/>
      <c r="L158" s="1486"/>
      <c r="M158" s="1419"/>
      <c r="N158" s="1486"/>
      <c r="O158" s="1419"/>
      <c r="P158" s="1486"/>
      <c r="Q158" s="1419"/>
      <c r="R158" s="1486"/>
      <c r="S158" s="1419"/>
      <c r="T158" s="1486"/>
      <c r="U158" s="1419"/>
      <c r="V158" s="1486"/>
      <c r="W158" s="1419"/>
      <c r="X158" s="1486"/>
      <c r="Y158" s="1419"/>
    </row>
    <row r="159" spans="1:25">
      <c r="A159" s="1412"/>
      <c r="B159" s="1501" t="s">
        <v>1448</v>
      </c>
      <c r="C159" s="23"/>
      <c r="D159" s="503"/>
      <c r="E159" s="266"/>
      <c r="F159" s="431"/>
      <c r="G159" s="1402"/>
      <c r="H159" s="1486"/>
      <c r="I159" s="1430">
        <v>50000</v>
      </c>
      <c r="J159" s="1486"/>
      <c r="K159" s="1419"/>
      <c r="L159" s="1486"/>
      <c r="M159" s="1419"/>
      <c r="N159" s="1486"/>
      <c r="O159" s="1419"/>
      <c r="P159" s="1486"/>
      <c r="Q159" s="1419"/>
      <c r="R159" s="1486"/>
      <c r="S159" s="1419"/>
      <c r="T159" s="1486"/>
      <c r="U159" s="1419"/>
      <c r="V159" s="1486"/>
      <c r="W159" s="1419"/>
      <c r="X159" s="1486"/>
      <c r="Y159" s="1419"/>
    </row>
    <row r="160" spans="1:25">
      <c r="A160" s="1412"/>
      <c r="B160" s="1501"/>
      <c r="C160" s="23"/>
      <c r="D160" s="503"/>
      <c r="E160" s="266"/>
      <c r="F160" s="431"/>
      <c r="G160" s="1402"/>
      <c r="H160" s="1504"/>
      <c r="I160" s="1488"/>
      <c r="J160" s="1504"/>
      <c r="K160" s="1488"/>
      <c r="L160" s="1504"/>
      <c r="M160" s="1488"/>
      <c r="N160" s="1504"/>
      <c r="O160" s="1488"/>
      <c r="P160" s="1504"/>
      <c r="Q160" s="1488"/>
      <c r="R160" s="1486"/>
      <c r="S160" s="1419"/>
      <c r="T160" s="1486"/>
      <c r="U160" s="1419"/>
      <c r="V160" s="1486"/>
      <c r="W160" s="1419"/>
      <c r="X160" s="1486"/>
      <c r="Y160" s="1419"/>
    </row>
    <row r="161" spans="1:25">
      <c r="A161" s="1412"/>
      <c r="B161" s="1505" t="s">
        <v>1449</v>
      </c>
      <c r="C161" s="23"/>
      <c r="D161" s="503"/>
      <c r="E161" s="266"/>
      <c r="F161" s="431"/>
      <c r="G161" s="1402"/>
      <c r="H161" s="1486"/>
      <c r="I161" s="1430">
        <f>-32905+-13030</f>
        <v>-45935</v>
      </c>
      <c r="J161" s="1486"/>
      <c r="K161" s="1419"/>
      <c r="L161" s="1486"/>
      <c r="M161" s="1419"/>
      <c r="N161" s="1486"/>
      <c r="O161" s="1419"/>
      <c r="P161" s="1486"/>
      <c r="Q161" s="1419"/>
      <c r="R161" s="1486"/>
      <c r="S161" s="1419"/>
      <c r="T161" s="1486"/>
      <c r="U161" s="1419"/>
      <c r="V161" s="1486"/>
      <c r="W161" s="1419"/>
      <c r="X161" s="1486"/>
      <c r="Y161" s="1419"/>
    </row>
    <row r="162" spans="1:25">
      <c r="A162" s="1412"/>
      <c r="B162" s="1501"/>
      <c r="C162" s="23"/>
      <c r="D162" s="503"/>
      <c r="E162" s="266"/>
      <c r="F162" s="431"/>
      <c r="G162" s="1402"/>
      <c r="H162" s="1486"/>
      <c r="I162" s="1419"/>
      <c r="J162" s="1486"/>
      <c r="K162" s="1419"/>
      <c r="L162" s="1486"/>
      <c r="M162" s="1419"/>
      <c r="N162" s="1486"/>
      <c r="O162" s="1419"/>
      <c r="P162" s="1486"/>
      <c r="Q162" s="1419"/>
      <c r="R162" s="1486"/>
      <c r="S162" s="1419"/>
      <c r="T162" s="1486"/>
      <c r="U162" s="1419"/>
      <c r="V162" s="1486"/>
      <c r="W162" s="1419"/>
      <c r="X162" s="1486"/>
      <c r="Y162" s="1419"/>
    </row>
    <row r="163" spans="1:25">
      <c r="A163" s="1412"/>
      <c r="B163" s="1505" t="s">
        <v>901</v>
      </c>
      <c r="C163" s="23"/>
      <c r="D163" s="503"/>
      <c r="E163" s="266"/>
      <c r="F163" s="431"/>
      <c r="G163" s="1402"/>
      <c r="H163" s="1486" t="s">
        <v>682</v>
      </c>
      <c r="I163" s="1419"/>
      <c r="J163" s="1486" t="s">
        <v>682</v>
      </c>
      <c r="K163" s="1419"/>
      <c r="L163" s="1486" t="s">
        <v>682</v>
      </c>
      <c r="M163" s="1419"/>
      <c r="N163" s="1486"/>
      <c r="O163" s="1419"/>
      <c r="P163" s="1486"/>
      <c r="Q163" s="1419"/>
      <c r="R163" s="1486"/>
      <c r="S163" s="1419"/>
      <c r="T163" s="1486"/>
      <c r="U163" s="1419"/>
      <c r="V163" s="1486"/>
      <c r="W163" s="1419"/>
      <c r="X163" s="1486"/>
      <c r="Y163" s="1419"/>
    </row>
    <row r="164" spans="1:25">
      <c r="A164" s="1412"/>
      <c r="B164" s="1505"/>
      <c r="C164" s="23"/>
      <c r="D164" s="503"/>
      <c r="E164" s="266"/>
      <c r="F164" s="431"/>
      <c r="G164" s="1402"/>
      <c r="H164" s="1486"/>
      <c r="I164" s="1419"/>
      <c r="J164" s="1486"/>
      <c r="K164" s="1419"/>
      <c r="L164" s="1486"/>
      <c r="M164" s="1419"/>
      <c r="N164" s="1486"/>
      <c r="O164" s="1419"/>
      <c r="P164" s="1486"/>
      <c r="Q164" s="1419"/>
      <c r="R164" s="1486"/>
      <c r="S164" s="1419"/>
      <c r="T164" s="1486"/>
      <c r="U164" s="1419"/>
      <c r="V164" s="1486"/>
      <c r="W164" s="1419"/>
      <c r="X164" s="1486"/>
      <c r="Y164" s="1419"/>
    </row>
    <row r="165" spans="1:25">
      <c r="A165" s="1412"/>
      <c r="B165" s="1500"/>
      <c r="C165" s="23"/>
      <c r="D165" s="503"/>
      <c r="E165" s="266"/>
      <c r="F165" s="431"/>
      <c r="G165" s="830"/>
      <c r="H165" s="1486"/>
      <c r="I165" s="1419"/>
      <c r="J165" s="1486"/>
      <c r="K165" s="1419"/>
      <c r="L165" s="1486"/>
      <c r="M165" s="1419"/>
      <c r="N165" s="1486"/>
      <c r="O165" s="1419"/>
      <c r="P165" s="1486"/>
      <c r="Q165" s="1419"/>
      <c r="R165" s="1486"/>
      <c r="S165" s="1419"/>
      <c r="T165" s="1486"/>
      <c r="U165" s="1419"/>
      <c r="V165" s="1486"/>
      <c r="W165" s="1419"/>
      <c r="X165" s="1486"/>
      <c r="Y165" s="1419"/>
    </row>
    <row r="166" spans="1:25" ht="15.75" thickBot="1">
      <c r="A166" s="1412"/>
      <c r="B166" s="1500"/>
      <c r="C166" s="23"/>
      <c r="D166" s="503"/>
      <c r="E166" s="266"/>
      <c r="F166" s="431"/>
      <c r="G166" s="830"/>
      <c r="H166" s="1486"/>
      <c r="I166" s="1419"/>
      <c r="J166" s="1486"/>
      <c r="K166" s="1419"/>
      <c r="L166" s="1486"/>
      <c r="M166" s="1419"/>
      <c r="N166" s="1486"/>
      <c r="O166" s="1419"/>
      <c r="P166" s="1486"/>
      <c r="Q166" s="1419"/>
      <c r="R166" s="1486"/>
      <c r="S166" s="1419"/>
      <c r="T166" s="1486"/>
      <c r="U166" s="1419"/>
      <c r="V166" s="1486"/>
      <c r="W166" s="1419"/>
      <c r="X166" s="1486"/>
      <c r="Y166" s="1419"/>
    </row>
    <row r="167" spans="1:25" ht="15.75" thickTop="1">
      <c r="A167" s="296"/>
      <c r="B167" s="301"/>
      <c r="C167" s="297"/>
      <c r="D167" s="505"/>
      <c r="E167" s="349"/>
      <c r="F167" s="282" t="s">
        <v>753</v>
      </c>
      <c r="G167" s="272"/>
      <c r="H167" s="273"/>
      <c r="I167" s="273">
        <f>SUM(I11:I166)</f>
        <v>2072590</v>
      </c>
      <c r="J167" s="273"/>
      <c r="K167" s="273">
        <f>SUM(K11:K166)</f>
        <v>2198500</v>
      </c>
      <c r="L167" s="273"/>
      <c r="M167" s="273">
        <f>SUM(M11:M166)</f>
        <v>2325500</v>
      </c>
      <c r="N167" s="273"/>
      <c r="O167" s="273">
        <f>SUM(O11:O166)</f>
        <v>0</v>
      </c>
      <c r="P167" s="273"/>
      <c r="Q167" s="273">
        <f>SUM(Q11:Q166)</f>
        <v>0</v>
      </c>
      <c r="R167" s="273"/>
      <c r="S167" s="273">
        <f>SUM(S11:S166)</f>
        <v>0</v>
      </c>
      <c r="T167" s="273"/>
      <c r="U167" s="273">
        <f>SUM(U11:U166)</f>
        <v>0</v>
      </c>
      <c r="V167" s="273"/>
      <c r="W167" s="273">
        <f>SUM(W11:W166)</f>
        <v>0</v>
      </c>
      <c r="X167" s="273"/>
      <c r="Y167" s="273">
        <f>SUM(Y11:Y166)</f>
        <v>800291.42</v>
      </c>
    </row>
    <row r="168" spans="1:25">
      <c r="A168" s="1114"/>
      <c r="B168" s="1462"/>
      <c r="C168" s="432"/>
      <c r="D168" s="506"/>
      <c r="E168" s="453"/>
      <c r="F168" s="435" t="s">
        <v>754</v>
      </c>
      <c r="G168" s="436"/>
      <c r="H168" s="1463">
        <v>0</v>
      </c>
      <c r="I168" s="1464"/>
      <c r="J168" s="1463">
        <v>0</v>
      </c>
      <c r="K168" s="1464"/>
      <c r="L168" s="1463">
        <v>0</v>
      </c>
      <c r="M168" s="1464"/>
      <c r="N168" s="1463">
        <v>0</v>
      </c>
      <c r="O168" s="1464"/>
      <c r="P168" s="1463">
        <v>0</v>
      </c>
      <c r="Q168" s="1464"/>
      <c r="R168" s="1463">
        <v>0</v>
      </c>
      <c r="S168" s="1464"/>
      <c r="T168" s="1463">
        <v>0</v>
      </c>
      <c r="U168" s="1464"/>
      <c r="V168" s="1463">
        <v>0</v>
      </c>
      <c r="W168" s="1464"/>
      <c r="X168" s="1463">
        <v>0</v>
      </c>
      <c r="Y168" s="1464"/>
    </row>
    <row r="169" spans="1:25">
      <c r="A169" s="1114"/>
      <c r="B169" s="1462"/>
      <c r="C169" s="432"/>
      <c r="D169" s="506"/>
      <c r="E169" s="453"/>
      <c r="F169" s="435" t="s">
        <v>755</v>
      </c>
      <c r="G169" s="436"/>
      <c r="H169" s="1464"/>
      <c r="I169" s="1464">
        <f>I167*H168</f>
        <v>0</v>
      </c>
      <c r="J169" s="1464"/>
      <c r="K169" s="1464">
        <f>K167*J168</f>
        <v>0</v>
      </c>
      <c r="L169" s="1464"/>
      <c r="M169" s="1464">
        <f>M167*L168</f>
        <v>0</v>
      </c>
      <c r="N169" s="1464"/>
      <c r="O169" s="1464">
        <f>O167*N168</f>
        <v>0</v>
      </c>
      <c r="P169" s="1464"/>
      <c r="Q169" s="1464">
        <f>Q167*P168</f>
        <v>0</v>
      </c>
      <c r="R169" s="1464"/>
      <c r="S169" s="1464">
        <f>S167*R168</f>
        <v>0</v>
      </c>
      <c r="T169" s="1464"/>
      <c r="U169" s="1464">
        <f>U167*T168</f>
        <v>0</v>
      </c>
      <c r="V169" s="1464"/>
      <c r="W169" s="1464">
        <f>W167*V168</f>
        <v>0</v>
      </c>
      <c r="X169" s="1464"/>
      <c r="Y169" s="1464">
        <f>Y167*X168</f>
        <v>0</v>
      </c>
    </row>
    <row r="170" spans="1:25">
      <c r="A170" s="1114"/>
      <c r="B170" s="1462"/>
      <c r="C170" s="432"/>
      <c r="D170" s="506"/>
      <c r="E170" s="453"/>
      <c r="F170" s="435"/>
      <c r="G170" s="436"/>
      <c r="H170" s="1464"/>
      <c r="I170" s="1464"/>
      <c r="J170" s="1464"/>
      <c r="K170" s="1464"/>
      <c r="L170" s="1464"/>
      <c r="M170" s="1464"/>
      <c r="N170" s="1464"/>
      <c r="O170" s="1464"/>
      <c r="P170" s="1464"/>
      <c r="Q170" s="1464"/>
      <c r="R170" s="1464"/>
      <c r="S170" s="1464"/>
      <c r="T170" s="1464"/>
      <c r="U170" s="1464"/>
      <c r="V170" s="1464"/>
      <c r="W170" s="1464"/>
      <c r="X170" s="1464"/>
      <c r="Y170" s="1464"/>
    </row>
    <row r="171" spans="1:25">
      <c r="A171" s="1114"/>
      <c r="B171" s="1462"/>
      <c r="C171" s="432"/>
      <c r="D171" s="506"/>
      <c r="E171" s="453"/>
      <c r="F171" s="435" t="s">
        <v>756</v>
      </c>
      <c r="G171" s="436"/>
      <c r="H171" s="1464"/>
      <c r="I171" s="1464">
        <f>SUM(I167:I169)</f>
        <v>2072590</v>
      </c>
      <c r="J171" s="1464"/>
      <c r="K171" s="1464">
        <f>SUM(K167:K169)</f>
        <v>2198500</v>
      </c>
      <c r="L171" s="1464"/>
      <c r="M171" s="1464">
        <f>SUM(M167:M169)</f>
        <v>2325500</v>
      </c>
      <c r="N171" s="1464"/>
      <c r="O171" s="1464">
        <f>SUM(O167:O169)</f>
        <v>0</v>
      </c>
      <c r="P171" s="1464"/>
      <c r="Q171" s="1464">
        <f>SUM(Q167:Q169)</f>
        <v>0</v>
      </c>
      <c r="R171" s="1464"/>
      <c r="S171" s="1464">
        <f>SUM(S167:S169)</f>
        <v>0</v>
      </c>
      <c r="T171" s="1464"/>
      <c r="U171" s="1464">
        <f>SUM(U167:U169)</f>
        <v>0</v>
      </c>
      <c r="V171" s="1464"/>
      <c r="W171" s="1464">
        <f>SUM(W167:W169)</f>
        <v>0</v>
      </c>
      <c r="X171" s="1464"/>
      <c r="Y171" s="1464">
        <f>SUM(Y167:Y169)</f>
        <v>800291.42</v>
      </c>
    </row>
    <row r="172" spans="1:25">
      <c r="A172" s="1114"/>
      <c r="B172" s="1462"/>
      <c r="C172" s="432"/>
      <c r="D172" s="506"/>
      <c r="E172" s="453"/>
      <c r="F172" s="437" t="s">
        <v>757</v>
      </c>
      <c r="G172" s="438"/>
      <c r="H172" s="1465"/>
      <c r="I172" s="1465">
        <v>3.6680935190257542</v>
      </c>
      <c r="J172" s="1465"/>
      <c r="K172" s="1465">
        <v>3.7992752258222833</v>
      </c>
      <c r="L172" s="1465"/>
      <c r="M172" s="1465">
        <v>4.0187466625652579</v>
      </c>
      <c r="N172" s="1465"/>
      <c r="O172" s="1465">
        <v>0</v>
      </c>
      <c r="P172" s="1465"/>
      <c r="Q172" s="1465">
        <v>0</v>
      </c>
      <c r="R172" s="1465"/>
      <c r="S172" s="1465">
        <v>0</v>
      </c>
      <c r="T172" s="1465"/>
      <c r="U172" s="1465">
        <v>0</v>
      </c>
      <c r="V172" s="1465"/>
      <c r="W172" s="1465">
        <v>0</v>
      </c>
      <c r="X172" s="1465"/>
      <c r="Y172" s="1465">
        <v>1.3830008485076808</v>
      </c>
    </row>
    <row r="173" spans="1:25">
      <c r="A173" s="1114"/>
      <c r="B173" s="1462"/>
      <c r="C173" s="432"/>
      <c r="D173" s="506"/>
      <c r="E173" s="453"/>
      <c r="F173" s="437" t="s">
        <v>758</v>
      </c>
      <c r="G173" s="438"/>
      <c r="H173" s="1465"/>
      <c r="I173" s="1465">
        <v>19837.289719626169</v>
      </c>
      <c r="J173" s="1465"/>
      <c r="K173" s="1465">
        <v>20546.728971962617</v>
      </c>
      <c r="L173" s="1465"/>
      <c r="M173" s="1465">
        <v>21733.644859813085</v>
      </c>
      <c r="N173" s="1465"/>
      <c r="O173" s="1465">
        <v>0</v>
      </c>
      <c r="P173" s="1465"/>
      <c r="Q173" s="1465">
        <v>0</v>
      </c>
      <c r="R173" s="1465"/>
      <c r="S173" s="1465">
        <v>0</v>
      </c>
      <c r="T173" s="1465"/>
      <c r="U173" s="1465">
        <v>0</v>
      </c>
      <c r="V173" s="1465"/>
      <c r="W173" s="1465">
        <v>0</v>
      </c>
      <c r="X173" s="1465"/>
      <c r="Y173" s="1465">
        <v>7479.3590654205609</v>
      </c>
    </row>
    <row r="174" spans="1:25" ht="15.75" thickBot="1">
      <c r="A174" s="1114"/>
      <c r="B174" s="1462"/>
      <c r="C174" s="432"/>
      <c r="D174" s="506"/>
      <c r="E174" s="453"/>
      <c r="F174" s="439"/>
      <c r="G174" s="436"/>
      <c r="H174" s="1466"/>
      <c r="I174" s="1466"/>
      <c r="J174" s="1466"/>
      <c r="K174" s="1466"/>
      <c r="L174" s="1466"/>
      <c r="M174" s="1466"/>
      <c r="N174" s="1466"/>
      <c r="O174" s="1466"/>
      <c r="P174" s="1466"/>
      <c r="Q174" s="1466"/>
      <c r="R174" s="1466"/>
      <c r="S174" s="1466"/>
      <c r="T174" s="1466"/>
      <c r="U174" s="1466"/>
      <c r="V174" s="1466"/>
      <c r="W174" s="1466"/>
      <c r="X174" s="1466"/>
      <c r="Y174" s="1466"/>
    </row>
    <row r="175" spans="1:25" ht="16.5" thickTop="1" thickBot="1">
      <c r="A175" s="2331" t="s">
        <v>759</v>
      </c>
      <c r="B175" s="2332"/>
      <c r="C175" s="298"/>
      <c r="D175" s="507"/>
      <c r="E175" s="350"/>
      <c r="F175" s="12"/>
      <c r="G175" s="26"/>
      <c r="H175" s="20"/>
      <c r="I175" s="20"/>
      <c r="J175" s="20"/>
      <c r="K175" s="20"/>
      <c r="L175" s="20"/>
      <c r="M175" s="20"/>
      <c r="N175" s="20"/>
      <c r="O175" s="20"/>
      <c r="P175" s="20"/>
      <c r="Q175" s="20"/>
      <c r="R175" s="20"/>
      <c r="S175" s="20"/>
      <c r="T175" s="20"/>
      <c r="U175" s="20"/>
      <c r="V175" s="20"/>
      <c r="W175" s="20"/>
      <c r="X175" s="24"/>
      <c r="Y175" s="20"/>
    </row>
    <row r="176" spans="1:25" ht="15.75" thickTop="1">
      <c r="A176" s="1403"/>
      <c r="B176" s="1467"/>
      <c r="C176" s="1396"/>
      <c r="D176" s="1492"/>
      <c r="E176" s="1415"/>
      <c r="F176" s="1435"/>
      <c r="G176" s="1404"/>
      <c r="H176" s="1406"/>
      <c r="I176" s="1406"/>
      <c r="J176" s="1406"/>
      <c r="K176" s="1406"/>
      <c r="L176" s="1406"/>
      <c r="M176" s="1406"/>
      <c r="N176" s="1406"/>
      <c r="O176" s="1406"/>
      <c r="P176" s="1406"/>
      <c r="Q176" s="1406"/>
      <c r="R176" s="1406"/>
      <c r="S176" s="1406"/>
      <c r="T176" s="1406"/>
      <c r="U176" s="1406"/>
      <c r="V176" s="1406"/>
      <c r="W176" s="1406"/>
      <c r="X176" s="1405"/>
      <c r="Y176" s="1406"/>
    </row>
    <row r="177" spans="1:38">
      <c r="A177" s="1403"/>
      <c r="B177" s="1467"/>
      <c r="C177" s="1396"/>
      <c r="D177" s="1492"/>
      <c r="E177" s="1415"/>
      <c r="F177" s="1435"/>
      <c r="G177" s="1404"/>
      <c r="H177" s="1406"/>
      <c r="I177" s="1406"/>
      <c r="J177" s="1406"/>
      <c r="K177" s="1406"/>
      <c r="L177" s="1406"/>
      <c r="M177" s="1406"/>
      <c r="N177" s="1406"/>
      <c r="O177" s="1406"/>
      <c r="P177" s="1406"/>
      <c r="Q177" s="1406"/>
      <c r="R177" s="1406"/>
      <c r="S177" s="1406"/>
      <c r="T177" s="1406"/>
      <c r="U177" s="1406"/>
      <c r="V177" s="1406"/>
      <c r="W177" s="1406"/>
      <c r="X177" s="1405"/>
      <c r="Y177" s="1406"/>
    </row>
    <row r="178" spans="1:38" ht="15.75" thickBot="1">
      <c r="A178" s="1403"/>
      <c r="B178" s="1467"/>
      <c r="C178" s="1396"/>
      <c r="D178" s="1492"/>
      <c r="E178" s="1415"/>
      <c r="F178" s="1435"/>
      <c r="G178" s="1404"/>
      <c r="H178" s="1406"/>
      <c r="I178" s="1406"/>
      <c r="J178" s="1406"/>
      <c r="K178" s="1406"/>
      <c r="L178" s="1406"/>
      <c r="M178" s="1406"/>
      <c r="N178" s="1406"/>
      <c r="O178" s="1406"/>
      <c r="P178" s="1406"/>
      <c r="Q178" s="1406"/>
      <c r="R178" s="1406"/>
      <c r="S178" s="1406"/>
      <c r="T178" s="1406"/>
      <c r="U178" s="1406"/>
      <c r="V178" s="1406"/>
      <c r="W178" s="1406"/>
      <c r="X178" s="1405"/>
      <c r="Y178" s="1406"/>
    </row>
    <row r="179" spans="1:38" s="2" customFormat="1" ht="16.5" thickTop="1" thickBot="1">
      <c r="A179" s="2331" t="s">
        <v>760</v>
      </c>
      <c r="B179" s="2332"/>
      <c r="C179" s="298"/>
      <c r="D179" s="507"/>
      <c r="E179" s="350"/>
      <c r="F179" s="12"/>
      <c r="G179" s="26"/>
      <c r="H179" s="20"/>
      <c r="I179" s="20"/>
      <c r="J179" s="20"/>
      <c r="K179" s="20"/>
      <c r="L179" s="20"/>
      <c r="M179" s="20"/>
      <c r="N179" s="20"/>
      <c r="O179" s="20"/>
      <c r="P179" s="20"/>
      <c r="Q179" s="20"/>
      <c r="R179" s="20"/>
      <c r="S179" s="20"/>
      <c r="T179" s="20"/>
      <c r="U179" s="20"/>
      <c r="V179" s="20"/>
      <c r="W179" s="20"/>
      <c r="X179" s="24"/>
      <c r="Y179" s="20"/>
      <c r="Z179"/>
      <c r="AA179"/>
      <c r="AB179"/>
      <c r="AC179"/>
      <c r="AD179"/>
      <c r="AE179"/>
      <c r="AF179"/>
      <c r="AG179"/>
      <c r="AH179"/>
      <c r="AI179"/>
      <c r="AJ179"/>
      <c r="AK179"/>
      <c r="AL179"/>
    </row>
    <row r="180" spans="1:38" s="2" customFormat="1" ht="15.75" thickTop="1">
      <c r="A180" s="1403"/>
      <c r="B180" s="1467"/>
      <c r="C180" s="1396"/>
      <c r="D180" s="1492"/>
      <c r="E180" s="1415"/>
      <c r="F180" s="1435"/>
      <c r="G180" s="1404"/>
      <c r="H180" s="1406"/>
      <c r="I180" s="1406"/>
      <c r="J180" s="1406"/>
      <c r="K180" s="1406"/>
      <c r="L180" s="1406"/>
      <c r="M180" s="1406"/>
      <c r="N180" s="1406"/>
      <c r="O180" s="1406"/>
      <c r="P180" s="1406"/>
      <c r="Q180" s="1406"/>
      <c r="R180" s="1406"/>
      <c r="S180" s="1406"/>
      <c r="T180" s="1406"/>
      <c r="U180" s="1406"/>
      <c r="V180" s="1406"/>
      <c r="W180" s="1406"/>
      <c r="X180" s="1405"/>
      <c r="Y180" s="1406"/>
      <c r="Z180"/>
      <c r="AA180"/>
      <c r="AB180"/>
      <c r="AC180"/>
      <c r="AD180"/>
      <c r="AE180"/>
      <c r="AF180"/>
      <c r="AG180"/>
      <c r="AH180"/>
      <c r="AI180"/>
      <c r="AJ180"/>
      <c r="AK180"/>
      <c r="AL180"/>
    </row>
    <row r="181" spans="1:38" s="2" customFormat="1">
      <c r="A181" s="1403"/>
      <c r="B181" s="1467"/>
      <c r="C181" s="1396"/>
      <c r="D181" s="1492"/>
      <c r="E181" s="1415"/>
      <c r="F181" s="1435"/>
      <c r="G181" s="1404"/>
      <c r="H181" s="1406"/>
      <c r="I181" s="1406"/>
      <c r="J181" s="1406"/>
      <c r="K181" s="1406"/>
      <c r="L181" s="1406"/>
      <c r="M181" s="1406"/>
      <c r="N181" s="1406"/>
      <c r="O181" s="1406"/>
      <c r="P181" s="1406"/>
      <c r="Q181" s="1406"/>
      <c r="R181" s="1406"/>
      <c r="S181" s="1406"/>
      <c r="T181" s="1406"/>
      <c r="U181" s="1406"/>
      <c r="V181" s="1406"/>
      <c r="W181" s="1406"/>
      <c r="X181" s="1405"/>
      <c r="Y181" s="1406"/>
      <c r="Z181"/>
      <c r="AA181"/>
      <c r="AB181"/>
      <c r="AC181"/>
      <c r="AD181"/>
      <c r="AE181"/>
      <c r="AF181"/>
      <c r="AG181"/>
      <c r="AH181"/>
      <c r="AI181"/>
      <c r="AJ181"/>
      <c r="AK181"/>
      <c r="AL181"/>
    </row>
    <row r="182" spans="1:38" ht="15.75" thickBot="1">
      <c r="A182" s="1403"/>
      <c r="B182" s="1467"/>
      <c r="C182" s="1396"/>
      <c r="D182" s="1492"/>
      <c r="E182" s="1415"/>
      <c r="F182" s="1435"/>
      <c r="G182" s="1404"/>
      <c r="H182" s="1406"/>
      <c r="I182" s="1406"/>
      <c r="J182" s="1406"/>
      <c r="K182" s="1406"/>
      <c r="L182" s="1406"/>
      <c r="M182" s="1406"/>
      <c r="N182" s="1406"/>
      <c r="O182" s="1406"/>
      <c r="P182" s="1406"/>
      <c r="Q182" s="1406"/>
      <c r="R182" s="1406"/>
      <c r="S182" s="1406"/>
      <c r="T182" s="1406"/>
      <c r="U182" s="1406"/>
      <c r="V182" s="1406"/>
      <c r="W182" s="1406"/>
      <c r="X182" s="1405"/>
      <c r="Y182" s="1406"/>
    </row>
    <row r="183" spans="1:38" s="2" customFormat="1" ht="16.5" thickTop="1" thickBot="1">
      <c r="A183" s="2331" t="s">
        <v>761</v>
      </c>
      <c r="B183" s="2332"/>
      <c r="C183" s="298"/>
      <c r="D183" s="507"/>
      <c r="E183" s="350"/>
      <c r="F183" s="12"/>
      <c r="G183" s="26"/>
      <c r="H183" s="20"/>
      <c r="I183" s="20"/>
      <c r="J183" s="20"/>
      <c r="K183" s="20"/>
      <c r="L183" s="20"/>
      <c r="M183" s="20"/>
      <c r="N183" s="20"/>
      <c r="O183" s="20"/>
      <c r="P183" s="20"/>
      <c r="Q183" s="20"/>
      <c r="R183" s="20"/>
      <c r="S183" s="20"/>
      <c r="T183" s="20"/>
      <c r="U183" s="20"/>
      <c r="V183" s="20"/>
      <c r="W183" s="20"/>
      <c r="X183" s="24"/>
      <c r="Y183" s="20"/>
      <c r="Z183"/>
      <c r="AA183"/>
      <c r="AB183"/>
      <c r="AC183"/>
      <c r="AD183"/>
      <c r="AE183"/>
      <c r="AF183"/>
      <c r="AG183"/>
      <c r="AH183"/>
      <c r="AI183"/>
      <c r="AJ183"/>
      <c r="AK183"/>
      <c r="AL183"/>
    </row>
    <row r="184" spans="1:38" s="2" customFormat="1" ht="15.75" thickTop="1">
      <c r="A184" s="1403"/>
      <c r="B184" s="1467"/>
      <c r="C184" s="1396"/>
      <c r="D184" s="1492"/>
      <c r="E184" s="1415"/>
      <c r="F184" s="1435"/>
      <c r="G184" s="1404"/>
      <c r="H184" s="1406"/>
      <c r="I184" s="1406"/>
      <c r="J184" s="1406"/>
      <c r="K184" s="1406"/>
      <c r="L184" s="1406"/>
      <c r="M184" s="1406"/>
      <c r="N184" s="1406"/>
      <c r="O184" s="1406"/>
      <c r="P184" s="1406"/>
      <c r="Q184" s="1406"/>
      <c r="R184" s="1406"/>
      <c r="S184" s="1406"/>
      <c r="T184" s="1406"/>
      <c r="U184" s="1406"/>
      <c r="V184" s="1406"/>
      <c r="W184" s="1406"/>
      <c r="X184" s="1405"/>
      <c r="Y184" s="1406"/>
      <c r="Z184"/>
      <c r="AA184"/>
      <c r="AB184"/>
      <c r="AC184"/>
      <c r="AD184"/>
      <c r="AE184"/>
      <c r="AF184"/>
      <c r="AG184"/>
      <c r="AH184"/>
      <c r="AI184"/>
      <c r="AJ184"/>
      <c r="AK184"/>
      <c r="AL184"/>
    </row>
    <row r="185" spans="1:38" s="2" customFormat="1">
      <c r="A185" s="1124"/>
      <c r="B185" s="1467"/>
      <c r="C185" s="415"/>
      <c r="D185" s="499"/>
      <c r="E185" s="417"/>
      <c r="F185" s="422"/>
      <c r="G185" s="831"/>
      <c r="H185" s="1468"/>
      <c r="I185" s="1468"/>
      <c r="J185" s="1468"/>
      <c r="K185" s="1468"/>
      <c r="L185" s="1468"/>
      <c r="M185" s="1468"/>
      <c r="N185" s="1468"/>
      <c r="O185" s="1468"/>
      <c r="P185" s="1468"/>
      <c r="Q185" s="1468"/>
      <c r="R185" s="1468"/>
      <c r="S185" s="1468"/>
      <c r="T185" s="1468"/>
      <c r="U185" s="1468"/>
      <c r="V185" s="1468"/>
      <c r="W185" s="1468"/>
      <c r="X185" s="440"/>
      <c r="Y185" s="1468"/>
      <c r="Z185"/>
      <c r="AA185"/>
      <c r="AB185"/>
      <c r="AC185"/>
      <c r="AD185"/>
      <c r="AE185"/>
      <c r="AF185"/>
      <c r="AG185"/>
      <c r="AH185"/>
      <c r="AI185"/>
      <c r="AJ185"/>
      <c r="AK185"/>
      <c r="AL185"/>
    </row>
    <row r="186" spans="1:38" s="2" customFormat="1" ht="15.75" thickBot="1">
      <c r="A186" s="1126"/>
      <c r="B186" s="1469"/>
      <c r="C186" s="415"/>
      <c r="D186" s="499"/>
      <c r="E186" s="417"/>
      <c r="F186" s="422"/>
      <c r="G186" s="831"/>
      <c r="H186" s="1470"/>
      <c r="I186" s="1470"/>
      <c r="J186" s="1470"/>
      <c r="K186" s="1470"/>
      <c r="L186" s="1470"/>
      <c r="M186" s="1470"/>
      <c r="N186" s="1470"/>
      <c r="O186" s="1470"/>
      <c r="P186" s="1470"/>
      <c r="Q186" s="1470"/>
      <c r="R186" s="1470"/>
      <c r="S186" s="1470"/>
      <c r="T186" s="1470"/>
      <c r="U186" s="1470"/>
      <c r="V186" s="1470"/>
      <c r="W186" s="1470"/>
      <c r="X186" s="441"/>
      <c r="Y186" s="1470"/>
    </row>
    <row r="187" spans="1:38" s="2" customFormat="1" ht="16.5" thickTop="1" thickBot="1">
      <c r="A187" s="2331" t="s">
        <v>762</v>
      </c>
      <c r="B187" s="2332"/>
      <c r="C187" s="298"/>
      <c r="D187" s="507"/>
      <c r="E187" s="350"/>
      <c r="F187" s="12"/>
      <c r="G187" s="26"/>
      <c r="H187" s="20"/>
      <c r="I187" s="20"/>
      <c r="J187" s="20"/>
      <c r="K187" s="20"/>
      <c r="L187" s="20"/>
      <c r="M187" s="20"/>
      <c r="N187" s="20"/>
      <c r="O187" s="20"/>
      <c r="P187" s="20"/>
      <c r="Q187" s="20"/>
      <c r="R187" s="20"/>
      <c r="S187" s="20"/>
      <c r="T187" s="20"/>
      <c r="U187" s="20"/>
      <c r="V187" s="20"/>
      <c r="W187" s="20"/>
      <c r="X187" s="24"/>
      <c r="Y187" s="20"/>
      <c r="Z187"/>
      <c r="AA187"/>
      <c r="AB187"/>
      <c r="AC187"/>
      <c r="AD187"/>
      <c r="AE187"/>
      <c r="AF187"/>
      <c r="AG187"/>
      <c r="AH187"/>
      <c r="AI187"/>
      <c r="AJ187"/>
      <c r="AK187"/>
      <c r="AL187"/>
    </row>
    <row r="188" spans="1:38" ht="15.75" thickTop="1">
      <c r="A188" s="1407"/>
      <c r="B188" s="1408"/>
      <c r="C188" s="1396"/>
      <c r="D188" s="1492"/>
      <c r="E188" s="1415"/>
      <c r="F188" s="1435"/>
      <c r="G188" s="1404"/>
      <c r="H188" s="1406"/>
      <c r="I188" s="1406"/>
      <c r="J188" s="1406"/>
      <c r="K188" s="1406"/>
      <c r="L188" s="1406"/>
      <c r="M188" s="1406"/>
      <c r="N188" s="1406"/>
      <c r="O188" s="1406"/>
      <c r="P188" s="1406"/>
      <c r="Q188" s="1406"/>
      <c r="R188" s="1406"/>
      <c r="S188" s="1406"/>
      <c r="T188" s="1406"/>
      <c r="U188" s="1406"/>
      <c r="V188" s="1406"/>
      <c r="W188" s="1406"/>
      <c r="X188" s="1405"/>
      <c r="Y188" s="1406"/>
      <c r="Z188" s="2"/>
      <c r="AA188" s="2"/>
      <c r="AB188" s="2"/>
      <c r="AC188" s="2"/>
      <c r="AD188" s="2"/>
      <c r="AE188" s="2"/>
      <c r="AF188" s="2"/>
      <c r="AG188" s="2"/>
      <c r="AH188" s="2"/>
      <c r="AI188" s="2"/>
      <c r="AJ188" s="2"/>
      <c r="AK188" s="2"/>
      <c r="AL188" s="2"/>
    </row>
    <row r="189" spans="1:38">
      <c r="A189" s="1126"/>
      <c r="B189" s="1469"/>
      <c r="C189" s="415"/>
      <c r="D189" s="499"/>
      <c r="E189" s="417"/>
      <c r="F189" s="422"/>
      <c r="G189" s="831"/>
      <c r="H189" s="1471"/>
      <c r="I189" s="1471"/>
      <c r="J189" s="1471"/>
      <c r="K189" s="1471"/>
      <c r="L189" s="1471"/>
      <c r="M189" s="1471"/>
      <c r="N189" s="1471"/>
      <c r="O189" s="1471"/>
      <c r="P189" s="1471"/>
      <c r="Q189" s="1471"/>
      <c r="R189" s="1471"/>
      <c r="S189" s="1471"/>
      <c r="T189" s="1471"/>
      <c r="U189" s="1471"/>
      <c r="V189" s="1471"/>
      <c r="W189" s="1471"/>
      <c r="X189" s="442"/>
      <c r="Y189" s="1471"/>
      <c r="Z189" s="2"/>
      <c r="AA189" s="2"/>
      <c r="AB189" s="2"/>
      <c r="AC189" s="2"/>
      <c r="AD189" s="2"/>
      <c r="AE189" s="2"/>
      <c r="AF189" s="2"/>
      <c r="AG189" s="2"/>
      <c r="AH189" s="2"/>
      <c r="AI189" s="2"/>
      <c r="AJ189" s="2"/>
      <c r="AK189" s="2"/>
      <c r="AL189" s="2"/>
    </row>
    <row r="190" spans="1:38" ht="15.75" thickBot="1">
      <c r="A190" s="1126"/>
      <c r="B190" s="1469"/>
      <c r="C190" s="415"/>
      <c r="D190" s="499"/>
      <c r="E190" s="417"/>
      <c r="F190" s="422"/>
      <c r="G190" s="831"/>
      <c r="H190" s="1471"/>
      <c r="I190" s="1471"/>
      <c r="J190" s="1471"/>
      <c r="K190" s="1471"/>
      <c r="L190" s="1471"/>
      <c r="M190" s="1471"/>
      <c r="N190" s="1471"/>
      <c r="O190" s="1471"/>
      <c r="P190" s="1471"/>
      <c r="Q190" s="1471"/>
      <c r="R190" s="1471"/>
      <c r="S190" s="1471"/>
      <c r="T190" s="1471"/>
      <c r="U190" s="1471"/>
      <c r="V190" s="1471"/>
      <c r="W190" s="1471"/>
      <c r="X190" s="442"/>
      <c r="Y190" s="1471"/>
      <c r="Z190" s="2"/>
      <c r="AA190" s="2"/>
      <c r="AB190" s="2"/>
      <c r="AC190" s="2"/>
      <c r="AD190" s="2"/>
      <c r="AE190" s="2"/>
      <c r="AF190" s="2"/>
      <c r="AG190" s="2"/>
      <c r="AH190" s="2"/>
      <c r="AI190" s="2"/>
      <c r="AJ190" s="2"/>
      <c r="AK190" s="2"/>
      <c r="AL190" s="2"/>
    </row>
    <row r="191" spans="1:38" ht="16.5" thickTop="1" thickBot="1">
      <c r="A191" s="2331" t="s">
        <v>763</v>
      </c>
      <c r="B191" s="2332"/>
      <c r="C191" s="298"/>
      <c r="D191" s="507"/>
      <c r="E191" s="350"/>
      <c r="F191" s="12"/>
      <c r="G191" s="26"/>
      <c r="H191" s="20"/>
      <c r="I191" s="20"/>
      <c r="J191" s="20"/>
      <c r="K191" s="20"/>
      <c r="L191" s="20"/>
      <c r="M191" s="20"/>
      <c r="N191" s="20"/>
      <c r="O191" s="20"/>
      <c r="P191" s="20"/>
      <c r="Q191" s="20"/>
      <c r="R191" s="20"/>
      <c r="S191" s="20"/>
      <c r="T191" s="20"/>
      <c r="U191" s="20"/>
      <c r="V191" s="20"/>
      <c r="W191" s="20"/>
      <c r="X191" s="24"/>
      <c r="Y191" s="20"/>
    </row>
    <row r="192" spans="1:38" ht="15.75" thickTop="1">
      <c r="A192" s="1124"/>
      <c r="B192" s="1467" t="s">
        <v>764</v>
      </c>
      <c r="C192" s="415"/>
      <c r="D192" s="499"/>
      <c r="E192" s="417"/>
      <c r="F192" s="422"/>
      <c r="G192" s="831"/>
      <c r="H192" s="1471"/>
      <c r="I192" s="1471"/>
      <c r="J192" s="1471"/>
      <c r="K192" s="1471"/>
      <c r="L192" s="1471"/>
      <c r="M192" s="1471"/>
      <c r="N192" s="1471"/>
      <c r="O192" s="1471"/>
      <c r="P192" s="1471"/>
      <c r="Q192" s="1471"/>
      <c r="R192" s="1471"/>
      <c r="S192" s="1471"/>
      <c r="T192" s="1471"/>
      <c r="U192" s="1471"/>
      <c r="V192" s="1471"/>
      <c r="W192" s="1471"/>
      <c r="X192" s="442"/>
      <c r="Y192" s="1471"/>
    </row>
    <row r="193" spans="1:25">
      <c r="A193" s="1124"/>
      <c r="B193" s="1467" t="s">
        <v>765</v>
      </c>
      <c r="C193" s="415"/>
      <c r="D193" s="499"/>
      <c r="E193" s="417"/>
      <c r="F193" s="422"/>
      <c r="G193" s="831"/>
      <c r="H193" s="1471"/>
      <c r="I193" s="1471"/>
      <c r="J193" s="1471"/>
      <c r="K193" s="1471"/>
      <c r="L193" s="1471"/>
      <c r="M193" s="1471"/>
      <c r="N193" s="1471"/>
      <c r="O193" s="1471"/>
      <c r="P193" s="1471"/>
      <c r="Q193" s="1471"/>
      <c r="R193" s="1471"/>
      <c r="S193" s="1471"/>
      <c r="T193" s="1471"/>
      <c r="U193" s="1471"/>
      <c r="V193" s="1471"/>
      <c r="W193" s="1471"/>
      <c r="X193" s="442"/>
      <c r="Y193" s="1471"/>
    </row>
    <row r="194" spans="1:25">
      <c r="A194" s="1124"/>
      <c r="B194" s="1467" t="s">
        <v>766</v>
      </c>
      <c r="C194" s="415"/>
      <c r="D194" s="499"/>
      <c r="E194" s="417"/>
      <c r="F194" s="422"/>
      <c r="G194" s="831"/>
      <c r="H194" s="1471"/>
      <c r="I194" s="1471"/>
      <c r="J194" s="1471"/>
      <c r="K194" s="1471"/>
      <c r="L194" s="1471"/>
      <c r="M194" s="1471"/>
      <c r="N194" s="1471"/>
      <c r="O194" s="1471"/>
      <c r="P194" s="1471"/>
      <c r="Q194" s="1471"/>
      <c r="R194" s="1471"/>
      <c r="S194" s="1471"/>
      <c r="T194" s="1471"/>
      <c r="U194" s="1471"/>
      <c r="V194" s="1471"/>
      <c r="W194" s="1471"/>
      <c r="X194" s="442"/>
      <c r="Y194" s="1471"/>
    </row>
    <row r="195" spans="1:25">
      <c r="A195" s="1124"/>
      <c r="B195" s="1467" t="s">
        <v>767</v>
      </c>
      <c r="C195" s="415"/>
      <c r="D195" s="499"/>
      <c r="E195" s="417"/>
      <c r="F195" s="422"/>
      <c r="G195" s="831"/>
      <c r="H195" s="1471"/>
      <c r="I195" s="1471"/>
      <c r="J195" s="1471"/>
      <c r="K195" s="1471"/>
      <c r="L195" s="1471"/>
      <c r="M195" s="1471"/>
      <c r="N195" s="1471"/>
      <c r="O195" s="1471"/>
      <c r="P195" s="1471"/>
      <c r="Q195" s="1471"/>
      <c r="R195" s="1471"/>
      <c r="S195" s="1471"/>
      <c r="T195" s="1471"/>
      <c r="U195" s="1471"/>
      <c r="V195" s="1471"/>
      <c r="W195" s="1471"/>
      <c r="X195" s="442"/>
      <c r="Y195" s="1471"/>
    </row>
    <row r="196" spans="1:25" ht="15.75" thickBot="1">
      <c r="A196" s="443"/>
      <c r="B196" s="421"/>
      <c r="C196" s="23"/>
      <c r="D196" s="500"/>
      <c r="E196" s="266"/>
      <c r="F196" s="86"/>
      <c r="G196" s="27"/>
      <c r="H196" s="444"/>
      <c r="I196" s="444"/>
      <c r="J196" s="444"/>
      <c r="K196" s="444"/>
      <c r="L196" s="444"/>
      <c r="M196" s="444"/>
      <c r="N196" s="444"/>
      <c r="O196" s="444"/>
      <c r="P196" s="444"/>
      <c r="Q196" s="444"/>
      <c r="R196" s="444"/>
      <c r="S196" s="444"/>
      <c r="T196" s="444"/>
      <c r="U196" s="444"/>
      <c r="V196" s="444"/>
      <c r="W196" s="444"/>
      <c r="X196" s="25"/>
      <c r="Y196" s="444"/>
    </row>
    <row r="197" spans="1:25" ht="16.5" thickTop="1" thickBot="1">
      <c r="A197" s="72" t="s">
        <v>768</v>
      </c>
      <c r="B197" s="73"/>
      <c r="C197" s="298"/>
      <c r="D197" s="507"/>
      <c r="E197" s="350"/>
      <c r="F197" s="12"/>
      <c r="G197" s="26"/>
      <c r="H197" s="20"/>
      <c r="I197" s="20"/>
      <c r="J197" s="20"/>
      <c r="K197" s="20"/>
      <c r="L197" s="20"/>
      <c r="M197" s="20"/>
      <c r="N197" s="20"/>
      <c r="O197" s="20"/>
      <c r="P197" s="20"/>
      <c r="Q197" s="20"/>
      <c r="R197" s="20"/>
      <c r="S197" s="20"/>
      <c r="T197" s="20"/>
      <c r="U197" s="20"/>
      <c r="V197" s="20"/>
      <c r="W197" s="20"/>
      <c r="X197" s="24"/>
      <c r="Y197" s="20"/>
    </row>
    <row r="198" spans="1:25" ht="15.75" thickTop="1">
      <c r="A198" s="1403"/>
      <c r="B198" s="1409" t="s">
        <v>769</v>
      </c>
      <c r="C198" s="1396"/>
      <c r="D198" s="1492"/>
      <c r="E198" s="1415"/>
      <c r="F198" s="1435"/>
      <c r="G198" s="1404"/>
      <c r="H198" s="1411"/>
      <c r="I198" s="1411"/>
      <c r="J198" s="1411"/>
      <c r="K198" s="1411"/>
      <c r="L198" s="1411"/>
      <c r="M198" s="1411"/>
      <c r="N198" s="1411"/>
      <c r="O198" s="1411"/>
      <c r="P198" s="1411"/>
      <c r="Q198" s="1411"/>
      <c r="R198" s="1411"/>
      <c r="S198" s="1411"/>
      <c r="T198" s="1411"/>
      <c r="U198" s="1411"/>
      <c r="V198" s="1411"/>
      <c r="W198" s="1411"/>
      <c r="X198" s="1410"/>
      <c r="Y198" s="1411"/>
    </row>
    <row r="199" spans="1:25">
      <c r="A199" s="1124"/>
      <c r="B199" s="1467" t="s">
        <v>770</v>
      </c>
      <c r="C199" s="415"/>
      <c r="D199" s="499"/>
      <c r="E199" s="417"/>
      <c r="F199" s="422"/>
      <c r="G199" s="831"/>
      <c r="H199" s="1472"/>
      <c r="I199" s="1472"/>
      <c r="J199" s="1472"/>
      <c r="K199" s="1472"/>
      <c r="L199" s="1472"/>
      <c r="M199" s="1472"/>
      <c r="N199" s="1472"/>
      <c r="O199" s="1472"/>
      <c r="P199" s="1472"/>
      <c r="Q199" s="1472"/>
      <c r="R199" s="1472"/>
      <c r="S199" s="1472"/>
      <c r="T199" s="1472"/>
      <c r="U199" s="1472"/>
      <c r="V199" s="1472"/>
      <c r="W199" s="1472"/>
      <c r="X199" s="445"/>
      <c r="Y199" s="1472"/>
    </row>
    <row r="200" spans="1:25" ht="15.75" thickBot="1">
      <c r="A200" s="1376"/>
      <c r="B200" s="1377" t="s">
        <v>771</v>
      </c>
      <c r="C200" s="1378"/>
      <c r="D200" s="1506"/>
      <c r="E200" s="1437"/>
      <c r="F200" s="1379"/>
      <c r="G200" s="1380"/>
      <c r="H200" s="1382"/>
      <c r="I200" s="1382"/>
      <c r="J200" s="1382"/>
      <c r="K200" s="1382"/>
      <c r="L200" s="1382"/>
      <c r="M200" s="1382"/>
      <c r="N200" s="1382"/>
      <c r="O200" s="1382"/>
      <c r="P200" s="1382"/>
      <c r="Q200" s="1382"/>
      <c r="R200" s="1382"/>
      <c r="S200" s="1382"/>
      <c r="T200" s="1382"/>
      <c r="U200" s="1382"/>
      <c r="V200" s="1382"/>
      <c r="W200" s="1382"/>
      <c r="X200" s="1381"/>
      <c r="Y200" s="1382"/>
    </row>
    <row r="201" spans="1:25" ht="16.5" thickTop="1" thickBot="1">
      <c r="F201" s="2"/>
      <c r="G201" s="2"/>
      <c r="H201" s="2"/>
      <c r="I201" s="2"/>
      <c r="J201" s="2"/>
      <c r="K201" s="2"/>
      <c r="L201" s="2"/>
      <c r="M201" s="2"/>
      <c r="N201" s="2"/>
      <c r="O201" s="2"/>
      <c r="P201" s="2"/>
      <c r="Q201" s="2"/>
      <c r="R201" s="2"/>
      <c r="S201" s="2"/>
      <c r="T201" s="2"/>
      <c r="U201" s="2"/>
      <c r="V201" s="2"/>
      <c r="W201" s="2"/>
      <c r="X201" s="2"/>
      <c r="Y201" s="2"/>
    </row>
    <row r="202" spans="1:25" ht="16.5" thickTop="1" thickBot="1">
      <c r="A202" s="37" t="s">
        <v>772</v>
      </c>
      <c r="B202" s="39"/>
      <c r="F202" s="2"/>
      <c r="G202" s="2"/>
      <c r="H202" s="2"/>
      <c r="I202" s="2"/>
      <c r="J202" s="2"/>
      <c r="K202" s="2"/>
      <c r="L202" s="2"/>
      <c r="M202" s="2"/>
      <c r="N202" s="2"/>
      <c r="O202" s="2"/>
      <c r="P202" s="2"/>
      <c r="Q202" s="2"/>
      <c r="R202" s="2"/>
      <c r="S202" s="2"/>
      <c r="T202" s="2"/>
      <c r="U202" s="2"/>
      <c r="V202" s="2"/>
      <c r="W202" s="2"/>
      <c r="X202" s="2"/>
      <c r="Y202" s="2"/>
    </row>
    <row r="203" spans="1:25" ht="15.75" thickTop="1">
      <c r="A203" s="38" t="s">
        <v>693</v>
      </c>
      <c r="B203" s="1491" t="str">
        <f>H5</f>
        <v>Cook &amp; Boardman</v>
      </c>
      <c r="F203" s="2"/>
      <c r="G203" s="2"/>
      <c r="H203" s="2"/>
      <c r="I203" s="2"/>
      <c r="J203" s="2"/>
      <c r="K203" s="2"/>
      <c r="L203" s="2"/>
      <c r="M203" s="2"/>
      <c r="N203" s="2"/>
      <c r="O203" s="2"/>
      <c r="P203" s="2"/>
      <c r="Q203" s="2"/>
      <c r="R203" s="2"/>
      <c r="S203" s="2"/>
      <c r="T203" s="2"/>
      <c r="U203" s="2"/>
      <c r="V203" s="2"/>
      <c r="W203" s="2"/>
      <c r="X203" s="2"/>
      <c r="Y203" s="2"/>
    </row>
    <row r="204" spans="1:25">
      <c r="A204" s="1142" t="s">
        <v>702</v>
      </c>
      <c r="B204" s="1491">
        <f t="shared" ref="B204:B206" si="2">H6</f>
        <v>0</v>
      </c>
      <c r="F204" s="2"/>
      <c r="G204" s="2"/>
      <c r="H204" s="2"/>
      <c r="I204" s="2"/>
      <c r="J204" s="2"/>
      <c r="K204" s="2"/>
      <c r="L204" s="2"/>
      <c r="M204" s="2"/>
      <c r="N204" s="2"/>
      <c r="O204" s="2"/>
      <c r="P204" s="2"/>
      <c r="Q204" s="2"/>
      <c r="R204" s="2"/>
      <c r="S204" s="2"/>
      <c r="T204" s="2"/>
      <c r="U204" s="2"/>
      <c r="V204" s="2"/>
      <c r="W204" s="2"/>
      <c r="X204" s="2"/>
      <c r="Y204" s="2"/>
    </row>
    <row r="205" spans="1:25">
      <c r="A205" s="1454" t="s">
        <v>708</v>
      </c>
      <c r="B205" s="1491">
        <f t="shared" si="2"/>
        <v>0</v>
      </c>
      <c r="F205" s="2"/>
      <c r="G205" s="2"/>
      <c r="H205" s="2"/>
      <c r="I205" s="2"/>
      <c r="J205" s="2"/>
      <c r="K205" s="2"/>
      <c r="L205" s="2"/>
      <c r="M205" s="2"/>
      <c r="N205" s="2"/>
      <c r="O205" s="2"/>
      <c r="P205" s="2"/>
      <c r="Q205" s="2"/>
      <c r="R205" s="2"/>
      <c r="S205" s="2"/>
      <c r="T205" s="2"/>
      <c r="U205" s="2"/>
      <c r="V205" s="2"/>
      <c r="W205" s="2"/>
      <c r="X205" s="2"/>
      <c r="Y205" s="2"/>
    </row>
    <row r="206" spans="1:25">
      <c r="A206" s="1454" t="s">
        <v>713</v>
      </c>
      <c r="B206" s="1491">
        <f t="shared" si="2"/>
        <v>0</v>
      </c>
      <c r="F206" s="2"/>
      <c r="G206" s="2"/>
      <c r="H206" s="2"/>
      <c r="I206" s="2"/>
      <c r="J206" s="2"/>
      <c r="K206" s="2"/>
      <c r="L206" s="2"/>
      <c r="M206" s="2"/>
      <c r="N206" s="2"/>
      <c r="O206" s="2"/>
      <c r="P206" s="2"/>
      <c r="Q206" s="2"/>
      <c r="R206" s="2"/>
      <c r="S206" s="2"/>
      <c r="T206" s="2"/>
      <c r="U206" s="2"/>
      <c r="V206" s="2"/>
      <c r="W206" s="2"/>
      <c r="X206" s="2"/>
      <c r="Y206" s="2"/>
    </row>
    <row r="207" spans="1:25" ht="15.75" thickBot="1">
      <c r="A207" s="1383" t="s">
        <v>69</v>
      </c>
      <c r="B207" s="1397">
        <f>I171</f>
        <v>2072590</v>
      </c>
      <c r="F207" s="2"/>
      <c r="G207" s="2"/>
      <c r="H207" s="2"/>
      <c r="I207" s="2"/>
      <c r="J207" s="2"/>
      <c r="K207" s="2"/>
      <c r="L207" s="2"/>
      <c r="M207" s="2"/>
      <c r="N207" s="2"/>
      <c r="O207" s="2"/>
      <c r="P207" s="2"/>
      <c r="Q207" s="2"/>
      <c r="R207" s="2"/>
      <c r="S207" s="2"/>
      <c r="T207" s="2"/>
      <c r="U207" s="2"/>
      <c r="V207" s="2"/>
      <c r="W207" s="2"/>
      <c r="X207" s="2"/>
      <c r="Y207" s="2"/>
    </row>
  </sheetData>
  <mergeCells count="59">
    <mergeCell ref="L5:M5"/>
    <mergeCell ref="L6:M6"/>
    <mergeCell ref="L7:M7"/>
    <mergeCell ref="L8:M8"/>
    <mergeCell ref="J5:K5"/>
    <mergeCell ref="J6:K6"/>
    <mergeCell ref="J7:K7"/>
    <mergeCell ref="J8:K8"/>
    <mergeCell ref="T5:U5"/>
    <mergeCell ref="T6:U6"/>
    <mergeCell ref="T7:U7"/>
    <mergeCell ref="T8:U8"/>
    <mergeCell ref="T9:U9"/>
    <mergeCell ref="R5:S5"/>
    <mergeCell ref="R6:S6"/>
    <mergeCell ref="R7:S7"/>
    <mergeCell ref="R8:S8"/>
    <mergeCell ref="R9:S9"/>
    <mergeCell ref="V5:W5"/>
    <mergeCell ref="V6:W6"/>
    <mergeCell ref="V7:W7"/>
    <mergeCell ref="V8:W8"/>
    <mergeCell ref="V9:W9"/>
    <mergeCell ref="V4:W4"/>
    <mergeCell ref="J4:K4"/>
    <mergeCell ref="R4:S4"/>
    <mergeCell ref="T4:U4"/>
    <mergeCell ref="P4:Q4"/>
    <mergeCell ref="L4:M4"/>
    <mergeCell ref="P5:Q5"/>
    <mergeCell ref="P6:Q6"/>
    <mergeCell ref="P7:Q7"/>
    <mergeCell ref="P8:Q8"/>
    <mergeCell ref="P9:Q9"/>
    <mergeCell ref="N8:O8"/>
    <mergeCell ref="N9:O9"/>
    <mergeCell ref="N4:O4"/>
    <mergeCell ref="N5:O5"/>
    <mergeCell ref="N6:O6"/>
    <mergeCell ref="N7:O7"/>
    <mergeCell ref="H4:I4"/>
    <mergeCell ref="H5:I5"/>
    <mergeCell ref="H6:I6"/>
    <mergeCell ref="H7:I7"/>
    <mergeCell ref="H8:I8"/>
    <mergeCell ref="X4:Y4"/>
    <mergeCell ref="X5:Y5"/>
    <mergeCell ref="X6:Y6"/>
    <mergeCell ref="X7:Y7"/>
    <mergeCell ref="X8:Y8"/>
    <mergeCell ref="A191:B191"/>
    <mergeCell ref="X9:Y9"/>
    <mergeCell ref="A175:B175"/>
    <mergeCell ref="A179:B179"/>
    <mergeCell ref="A183:B183"/>
    <mergeCell ref="A187:B187"/>
    <mergeCell ref="L9:M9"/>
    <mergeCell ref="H9:I9"/>
    <mergeCell ref="J9:K9"/>
  </mergeCells>
  <conditionalFormatting sqref="H11:H19">
    <cfRule type="cellIs" dxfId="447" priority="1" operator="equal">
      <formula>"X"</formula>
    </cfRule>
    <cfRule type="cellIs" dxfId="446" priority="2" operator="equal">
      <formula>"I"</formula>
    </cfRule>
  </conditionalFormatting>
  <conditionalFormatting sqref="J11:J19">
    <cfRule type="cellIs" dxfId="445" priority="3" operator="equal">
      <formula>"X"</formula>
    </cfRule>
    <cfRule type="cellIs" dxfId="444" priority="4" operator="equal">
      <formula>"I"</formula>
    </cfRule>
  </conditionalFormatting>
  <conditionalFormatting sqref="L11:L19 H21:H166 J21:J166 L21:L166 N21:N166 P21:P166 R21:R166 T21:T166 V21:V166 X21:X166">
    <cfRule type="cellIs" dxfId="443" priority="5" operator="equal">
      <formula>"X"</formula>
    </cfRule>
    <cfRule type="cellIs" dxfId="442" priority="6" operator="equal">
      <formula>"I"</formula>
    </cfRule>
  </conditionalFormatting>
  <conditionalFormatting sqref="N11:N19 R11:R19 T11:T19 V11:V19 X11:X19">
    <cfRule type="cellIs" dxfId="441" priority="9" operator="equal">
      <formula>"X"</formula>
    </cfRule>
    <cfRule type="cellIs" dxfId="440" priority="10" operator="equal">
      <formula>"I"</formula>
    </cfRule>
  </conditionalFormatting>
  <conditionalFormatting sqref="P11:P19">
    <cfRule type="cellIs" dxfId="439" priority="7" operator="equal">
      <formula>"X"</formula>
    </cfRule>
    <cfRule type="cellIs" dxfId="438" priority="8" operator="equal">
      <formula>"I"</formula>
    </cfRule>
  </conditionalFormatting>
  <hyperlinks>
    <hyperlink ref="B4" location="'Cost Summary'!A1" display="BACK TO SUMMARY SHEET" xr:uid="{CA445744-F455-47A2-9C31-8F501ABF44DB}"/>
    <hyperlink ref="X8" r:id="rId1" xr:uid="{FC7FE45A-371A-4649-BD2B-47EC5A52D7A1}"/>
    <hyperlink ref="P8" r:id="rId2" xr:uid="{C5ADDE54-1338-4C5F-A5FB-35C96EE80085}"/>
    <hyperlink ref="N8" r:id="rId3" xr:uid="{407A0E98-03DC-4FA1-8E7C-7BBF170E4073}"/>
  </hyperlinks>
  <pageMargins left="0.7" right="0.7" top="0.75" bottom="0.75" header="0.3" footer="0.3"/>
  <pageSetup orientation="portrait" horizontalDpi="300" verticalDpi="300"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B9B4-DA66-415D-AB19-23E806659C15}">
  <dimension ref="A1:S84"/>
  <sheetViews>
    <sheetView zoomScale="70" zoomScaleNormal="70" workbookViewId="0">
      <pane xSplit="2" ySplit="9" topLeftCell="C34" activePane="bottomRight" state="frozen"/>
      <selection pane="topRight" activeCell="C1" sqref="C1"/>
      <selection pane="bottomLeft" activeCell="A11" sqref="A11"/>
      <selection pane="bottomRight" activeCell="I46" sqref="I46:I47"/>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85"/>
      <c r="F1" s="64"/>
      <c r="G1" s="62" t="s">
        <v>679</v>
      </c>
    </row>
    <row r="2" spans="1:19" ht="15.75" thickBot="1">
      <c r="E2" s="85"/>
      <c r="F2" s="61"/>
      <c r="G2" s="62" t="s">
        <v>681</v>
      </c>
      <c r="H2" s="2364"/>
      <c r="I2" s="2364"/>
      <c r="J2" s="2364"/>
      <c r="K2" s="2364"/>
      <c r="L2" s="2364"/>
      <c r="M2" s="2364"/>
      <c r="N2" s="2364"/>
      <c r="O2" s="2364"/>
      <c r="P2" s="2364"/>
      <c r="Q2" s="2364"/>
      <c r="R2" s="2364"/>
      <c r="S2" s="2364"/>
    </row>
    <row r="3" spans="1:19" ht="21" thickBot="1">
      <c r="B3" s="74" t="s">
        <v>684</v>
      </c>
      <c r="E3" s="85"/>
      <c r="F3" s="63"/>
      <c r="G3" s="62" t="s">
        <v>683</v>
      </c>
      <c r="H3" s="2319" t="s">
        <v>686</v>
      </c>
      <c r="I3" s="2320"/>
      <c r="J3" s="2319" t="s">
        <v>687</v>
      </c>
      <c r="K3" s="2320"/>
      <c r="L3" s="2319" t="s">
        <v>688</v>
      </c>
      <c r="M3" s="2320"/>
      <c r="N3" s="2319" t="s">
        <v>689</v>
      </c>
      <c r="O3" s="2320"/>
      <c r="P3" s="2319" t="s">
        <v>773</v>
      </c>
      <c r="Q3" s="2320"/>
      <c r="R3" s="2319" t="s">
        <v>774</v>
      </c>
      <c r="S3" s="2320"/>
    </row>
    <row r="4" spans="1:19" ht="15.75" thickTop="1">
      <c r="A4" s="3" t="s">
        <v>692</v>
      </c>
      <c r="B4" s="4" t="str">
        <f>'Area Calculations'!B4</f>
        <v>ERAU Residential Hall &amp; Garage Building</v>
      </c>
      <c r="C4" s="5"/>
      <c r="D4" s="5"/>
      <c r="E4" s="5"/>
      <c r="F4" s="5"/>
      <c r="G4" s="6" t="s">
        <v>693</v>
      </c>
      <c r="H4" s="2362"/>
      <c r="I4" s="2363"/>
      <c r="J4" s="2362"/>
      <c r="K4" s="2363"/>
      <c r="L4" s="2362"/>
      <c r="M4" s="2363"/>
      <c r="N4" s="2362"/>
      <c r="O4" s="2363"/>
      <c r="P4" s="2362"/>
      <c r="Q4" s="2363"/>
      <c r="R4" s="2362"/>
      <c r="S4" s="2363"/>
    </row>
    <row r="5" spans="1:19">
      <c r="A5" s="930" t="s">
        <v>700</v>
      </c>
      <c r="B5" s="481" t="s">
        <v>1450</v>
      </c>
      <c r="C5" s="422"/>
      <c r="D5" s="422"/>
      <c r="E5" s="422"/>
      <c r="F5" s="422"/>
      <c r="G5" s="466" t="s">
        <v>702</v>
      </c>
      <c r="H5" s="2359"/>
      <c r="I5" s="2360"/>
      <c r="J5" s="2359"/>
      <c r="K5" s="2360"/>
      <c r="L5" s="2359"/>
      <c r="M5" s="2360"/>
      <c r="N5" s="2359"/>
      <c r="O5" s="2360"/>
      <c r="P5" s="2359"/>
      <c r="Q5" s="2360"/>
      <c r="R5" s="2359"/>
      <c r="S5" s="2360"/>
    </row>
    <row r="6" spans="1:19">
      <c r="A6" s="930" t="s">
        <v>706</v>
      </c>
      <c r="B6" s="482" t="s">
        <v>1451</v>
      </c>
      <c r="C6" s="422"/>
      <c r="D6" s="422"/>
      <c r="E6" s="422"/>
      <c r="F6" s="422"/>
      <c r="G6" s="832" t="s">
        <v>708</v>
      </c>
      <c r="H6" s="2357"/>
      <c r="I6" s="2358"/>
      <c r="J6" s="2361"/>
      <c r="K6" s="2358"/>
      <c r="L6" s="2361"/>
      <c r="M6" s="2358"/>
      <c r="N6" s="2361"/>
      <c r="O6" s="2358"/>
      <c r="P6" s="2357"/>
      <c r="Q6" s="2358"/>
      <c r="R6" s="2357"/>
      <c r="S6" s="2358"/>
    </row>
    <row r="7" spans="1:19">
      <c r="A7" s="930" t="s">
        <v>712</v>
      </c>
      <c r="B7" s="483"/>
      <c r="C7" s="422"/>
      <c r="D7" s="422"/>
      <c r="E7" s="422"/>
      <c r="F7" s="422"/>
      <c r="G7" s="832" t="s">
        <v>713</v>
      </c>
      <c r="H7" s="2353"/>
      <c r="I7" s="2354"/>
      <c r="J7" s="2355"/>
      <c r="K7" s="2356"/>
      <c r="L7" s="2355"/>
      <c r="M7" s="2356"/>
      <c r="N7" s="2355"/>
      <c r="O7" s="2356"/>
      <c r="P7" s="2353"/>
      <c r="Q7" s="2354"/>
      <c r="R7" s="2353"/>
      <c r="S7" s="2354"/>
    </row>
    <row r="8" spans="1:19" ht="15.75" thickBot="1">
      <c r="A8" s="467" t="s">
        <v>717</v>
      </c>
      <c r="B8" s="340"/>
      <c r="C8" s="86"/>
      <c r="D8" s="86"/>
      <c r="E8" s="86"/>
      <c r="F8" s="86"/>
      <c r="G8" s="467" t="s">
        <v>717</v>
      </c>
      <c r="H8" s="2351"/>
      <c r="I8" s="2352"/>
      <c r="J8" s="2351"/>
      <c r="K8" s="2352"/>
      <c r="L8" s="2351"/>
      <c r="M8" s="2352"/>
      <c r="N8" s="2351"/>
      <c r="O8" s="2352"/>
      <c r="P8" s="2351"/>
      <c r="Q8" s="2352"/>
      <c r="R8" s="2351"/>
      <c r="S8" s="2352"/>
    </row>
    <row r="9" spans="1:19" ht="31.5" thickTop="1" thickBot="1">
      <c r="A9" s="7" t="s">
        <v>1452</v>
      </c>
      <c r="B9" s="8"/>
      <c r="C9" s="9" t="s">
        <v>718</v>
      </c>
      <c r="D9" s="9" t="s">
        <v>719</v>
      </c>
      <c r="E9" s="9" t="s">
        <v>720</v>
      </c>
      <c r="F9" s="9" t="s">
        <v>721</v>
      </c>
      <c r="G9" s="10" t="s">
        <v>722</v>
      </c>
      <c r="H9" s="11" t="s">
        <v>723</v>
      </c>
      <c r="I9" s="11" t="s">
        <v>724</v>
      </c>
      <c r="J9" s="11" t="s">
        <v>723</v>
      </c>
      <c r="K9" s="11" t="s">
        <v>724</v>
      </c>
      <c r="L9" s="11" t="s">
        <v>723</v>
      </c>
      <c r="M9" s="11" t="s">
        <v>724</v>
      </c>
      <c r="N9" s="11" t="s">
        <v>723</v>
      </c>
      <c r="O9" s="11" t="s">
        <v>724</v>
      </c>
      <c r="P9" s="11" t="s">
        <v>723</v>
      </c>
      <c r="Q9" s="11" t="s">
        <v>724</v>
      </c>
      <c r="R9" s="11" t="s">
        <v>723</v>
      </c>
      <c r="S9" s="11" t="s">
        <v>724</v>
      </c>
    </row>
    <row r="10" spans="1:19" ht="15.75" hidden="1" thickTop="1">
      <c r="A10" s="931"/>
      <c r="B10" s="1507" t="s">
        <v>1453</v>
      </c>
      <c r="C10" s="422"/>
      <c r="D10" s="422"/>
      <c r="E10" s="422"/>
      <c r="F10" s="422"/>
      <c r="G10" s="468"/>
      <c r="H10" s="1508"/>
      <c r="I10" s="1508"/>
      <c r="J10" s="1508"/>
      <c r="K10" s="1508"/>
      <c r="L10" s="1508"/>
      <c r="M10" s="1508"/>
      <c r="N10" s="1508"/>
      <c r="O10" s="1508"/>
      <c r="P10" s="1508"/>
      <c r="Q10" s="1508"/>
      <c r="R10" s="1508"/>
      <c r="S10" s="1508"/>
    </row>
    <row r="11" spans="1:19" ht="15.75" hidden="1" thickTop="1">
      <c r="A11" s="931"/>
      <c r="B11" s="481" t="e">
        <f>'Area Calculations'!#REF!</f>
        <v>#REF!</v>
      </c>
      <c r="C11" s="484" t="s">
        <v>1035</v>
      </c>
      <c r="D11" s="422"/>
      <c r="E11" s="422"/>
      <c r="F11" s="422"/>
      <c r="G11" s="468"/>
      <c r="H11" s="1508"/>
      <c r="I11" s="1508"/>
      <c r="J11" s="1508"/>
      <c r="K11" s="1508"/>
      <c r="L11" s="1508"/>
      <c r="M11" s="1508"/>
      <c r="N11" s="1508"/>
      <c r="O11" s="1508"/>
      <c r="P11" s="1508"/>
      <c r="Q11" s="1508"/>
      <c r="R11" s="1508"/>
      <c r="S11" s="1508"/>
    </row>
    <row r="12" spans="1:19" ht="15.75" hidden="1" thickTop="1">
      <c r="A12" s="931"/>
      <c r="B12" s="481" t="e">
        <f>'Area Calculations'!#REF!</f>
        <v>#REF!</v>
      </c>
      <c r="C12" s="484" t="s">
        <v>1035</v>
      </c>
      <c r="D12" s="422"/>
      <c r="E12" s="422"/>
      <c r="F12" s="422"/>
      <c r="G12" s="468"/>
      <c r="H12" s="1508"/>
      <c r="I12" s="1508"/>
      <c r="J12" s="1508"/>
      <c r="K12" s="1508"/>
      <c r="L12" s="1508"/>
      <c r="M12" s="1508"/>
      <c r="N12" s="1508"/>
      <c r="O12" s="1508"/>
      <c r="P12" s="1508"/>
      <c r="Q12" s="1508"/>
      <c r="R12" s="1508"/>
      <c r="S12" s="1508"/>
    </row>
    <row r="13" spans="1:19" ht="15.75" hidden="1" thickTop="1">
      <c r="A13" s="931"/>
      <c r="B13" s="481" t="e">
        <f>'Area Calculations'!#REF!</f>
        <v>#REF!</v>
      </c>
      <c r="C13" s="484" t="s">
        <v>1035</v>
      </c>
      <c r="D13" s="422"/>
      <c r="E13" s="422"/>
      <c r="F13" s="422"/>
      <c r="G13" s="468"/>
      <c r="H13" s="1508"/>
      <c r="I13" s="1508"/>
      <c r="J13" s="1508"/>
      <c r="K13" s="1508"/>
      <c r="L13" s="1508"/>
      <c r="M13" s="1508"/>
      <c r="N13" s="1508"/>
      <c r="O13" s="1508"/>
      <c r="P13" s="1508"/>
      <c r="Q13" s="1508"/>
      <c r="R13" s="1508"/>
      <c r="S13" s="1508"/>
    </row>
    <row r="14" spans="1:19" ht="15.75" hidden="1" thickTop="1">
      <c r="A14" s="931"/>
      <c r="B14" s="481" t="e">
        <f>'Area Calculations'!#REF!</f>
        <v>#REF!</v>
      </c>
      <c r="C14" s="484" t="s">
        <v>1035</v>
      </c>
      <c r="D14" s="422"/>
      <c r="E14" s="422"/>
      <c r="F14" s="422"/>
      <c r="G14" s="468"/>
      <c r="H14" s="1508"/>
      <c r="I14" s="1508"/>
      <c r="J14" s="1508"/>
      <c r="K14" s="1508"/>
      <c r="L14" s="1508"/>
      <c r="M14" s="1508"/>
      <c r="N14" s="1508"/>
      <c r="O14" s="1508"/>
      <c r="P14" s="1508"/>
      <c r="Q14" s="1508"/>
      <c r="R14" s="1508"/>
      <c r="S14" s="1508"/>
    </row>
    <row r="15" spans="1:19" ht="15.75" hidden="1" thickTop="1">
      <c r="A15" s="931"/>
      <c r="B15" s="481" t="e">
        <f>'Area Calculations'!#REF!</f>
        <v>#REF!</v>
      </c>
      <c r="C15" s="484" t="s">
        <v>1035</v>
      </c>
      <c r="D15" s="422"/>
      <c r="E15" s="422"/>
      <c r="F15" s="422"/>
      <c r="G15" s="468"/>
      <c r="H15" s="1508"/>
      <c r="I15" s="1508"/>
      <c r="J15" s="1508"/>
      <c r="K15" s="1508"/>
      <c r="L15" s="1508"/>
      <c r="M15" s="1508"/>
      <c r="N15" s="1508"/>
      <c r="O15" s="1508"/>
      <c r="P15" s="1508"/>
      <c r="Q15" s="1508"/>
      <c r="R15" s="1508"/>
      <c r="S15" s="1508"/>
    </row>
    <row r="16" spans="1:19" ht="15.75" hidden="1" thickTop="1">
      <c r="A16" s="931"/>
      <c r="B16" s="481" t="e">
        <f>'Area Calculations'!#REF!</f>
        <v>#REF!</v>
      </c>
      <c r="C16" s="484" t="s">
        <v>1035</v>
      </c>
      <c r="D16" s="422"/>
      <c r="E16" s="422"/>
      <c r="F16" s="422"/>
      <c r="G16" s="468"/>
      <c r="H16" s="1508"/>
      <c r="I16" s="1508"/>
      <c r="J16" s="1508"/>
      <c r="K16" s="1508"/>
      <c r="L16" s="1508"/>
      <c r="M16" s="1508"/>
      <c r="N16" s="1508"/>
      <c r="O16" s="1508"/>
      <c r="P16" s="1508"/>
      <c r="Q16" s="1508"/>
      <c r="R16" s="1508"/>
      <c r="S16" s="1508"/>
    </row>
    <row r="17" spans="1:19" ht="15.75" hidden="1" thickTop="1">
      <c r="A17" s="931"/>
      <c r="B17" s="481" t="e">
        <f>'Area Calculations'!#REF!</f>
        <v>#REF!</v>
      </c>
      <c r="C17" s="484" t="s">
        <v>1035</v>
      </c>
      <c r="D17" s="422"/>
      <c r="E17" s="422"/>
      <c r="F17" s="422"/>
      <c r="G17" s="468"/>
      <c r="H17" s="1508"/>
      <c r="I17" s="1508"/>
      <c r="J17" s="1508"/>
      <c r="K17" s="1508"/>
      <c r="L17" s="1508"/>
      <c r="M17" s="1508"/>
      <c r="N17" s="1508"/>
      <c r="O17" s="1508"/>
      <c r="P17" s="1508"/>
      <c r="Q17" s="1508"/>
      <c r="R17" s="1508"/>
      <c r="S17" s="1508"/>
    </row>
    <row r="18" spans="1:19" ht="15.75" hidden="1" thickTop="1">
      <c r="A18" s="931"/>
      <c r="B18" s="481" t="e">
        <f>'Area Calculations'!#REF!</f>
        <v>#REF!</v>
      </c>
      <c r="C18" s="484" t="s">
        <v>1035</v>
      </c>
      <c r="D18" s="422"/>
      <c r="E18" s="422"/>
      <c r="F18" s="422"/>
      <c r="G18" s="468"/>
      <c r="H18" s="1508"/>
      <c r="I18" s="1508"/>
      <c r="J18" s="1508"/>
      <c r="K18" s="1508"/>
      <c r="L18" s="1508"/>
      <c r="M18" s="1508"/>
      <c r="N18" s="1508"/>
      <c r="O18" s="1508"/>
      <c r="P18" s="1508"/>
      <c r="Q18" s="1508"/>
      <c r="R18" s="1508"/>
      <c r="S18" s="1508"/>
    </row>
    <row r="19" spans="1:19" ht="15.75" hidden="1" thickTop="1">
      <c r="A19" s="931"/>
      <c r="B19" s="481" t="e">
        <f>'Area Calculations'!#REF!</f>
        <v>#REF!</v>
      </c>
      <c r="C19" s="484" t="s">
        <v>1035</v>
      </c>
      <c r="D19" s="422"/>
      <c r="E19" s="422"/>
      <c r="F19" s="422"/>
      <c r="G19" s="468"/>
      <c r="H19" s="1508"/>
      <c r="I19" s="1508"/>
      <c r="J19" s="1508"/>
      <c r="K19" s="1508"/>
      <c r="L19" s="1508"/>
      <c r="M19" s="1508"/>
      <c r="N19" s="1508"/>
      <c r="O19" s="1508"/>
      <c r="P19" s="1508"/>
      <c r="Q19" s="1508"/>
      <c r="R19" s="1508"/>
      <c r="S19" s="1508"/>
    </row>
    <row r="20" spans="1:19" ht="15.75" thickTop="1">
      <c r="A20" s="931"/>
      <c r="B20" s="481"/>
      <c r="C20" s="484"/>
      <c r="D20" s="422"/>
      <c r="E20" s="422"/>
      <c r="F20" s="422"/>
      <c r="G20" s="468"/>
      <c r="H20" s="1508"/>
      <c r="I20" s="1508"/>
      <c r="J20" s="1508"/>
      <c r="K20" s="1508"/>
      <c r="L20" s="1508"/>
      <c r="M20" s="1508"/>
      <c r="N20" s="1508"/>
      <c r="O20" s="1508"/>
      <c r="P20" s="1508"/>
      <c r="Q20" s="1508"/>
      <c r="R20" s="1508"/>
      <c r="S20" s="1508"/>
    </row>
    <row r="21" spans="1:19" ht="15.75" thickBot="1">
      <c r="A21" s="31"/>
      <c r="B21" s="485" t="s">
        <v>1450</v>
      </c>
      <c r="C21" s="28"/>
      <c r="D21" s="29"/>
      <c r="E21" s="29"/>
      <c r="F21" s="29"/>
      <c r="G21" s="33"/>
      <c r="H21" s="1509"/>
      <c r="I21" s="1510"/>
      <c r="J21" s="1509"/>
      <c r="K21" s="1510"/>
      <c r="L21" s="1509"/>
      <c r="M21" s="1510"/>
      <c r="N21" s="1509"/>
      <c r="O21" s="1510"/>
      <c r="P21" s="1509"/>
      <c r="Q21" s="1510"/>
      <c r="R21" s="1509"/>
      <c r="S21" s="1510"/>
    </row>
    <row r="22" spans="1:19" ht="15.75" thickBot="1">
      <c r="A22" s="1511"/>
      <c r="B22" s="65" t="s">
        <v>725</v>
      </c>
      <c r="C22" s="484"/>
      <c r="D22" s="422"/>
      <c r="E22" s="422"/>
      <c r="F22" s="422"/>
      <c r="G22" s="468"/>
      <c r="H22" s="1509"/>
      <c r="I22" s="1510"/>
      <c r="J22" s="1509"/>
      <c r="K22" s="1510"/>
      <c r="L22" s="1509"/>
      <c r="M22" s="1510"/>
      <c r="N22" s="1509"/>
      <c r="O22" s="1510"/>
      <c r="P22" s="1509"/>
      <c r="Q22" s="1510"/>
      <c r="R22" s="1509"/>
      <c r="S22" s="1510"/>
    </row>
    <row r="23" spans="1:19">
      <c r="A23" s="1511"/>
      <c r="B23" s="1512" t="s">
        <v>726</v>
      </c>
      <c r="C23" s="468"/>
      <c r="D23" s="422"/>
      <c r="E23" s="422"/>
      <c r="F23" s="422"/>
      <c r="G23" s="468"/>
      <c r="H23" s="1509"/>
      <c r="I23" s="1510"/>
      <c r="J23" s="1509"/>
      <c r="K23" s="1510"/>
      <c r="L23" s="1509"/>
      <c r="M23" s="1510"/>
      <c r="N23" s="1509"/>
      <c r="O23" s="1510"/>
      <c r="P23" s="1509"/>
      <c r="Q23" s="1510"/>
      <c r="R23" s="1509"/>
      <c r="S23" s="1510"/>
    </row>
    <row r="24" spans="1:19">
      <c r="A24" s="1511"/>
      <c r="B24" s="1513" t="s">
        <v>728</v>
      </c>
      <c r="C24" s="468"/>
      <c r="D24" s="430"/>
      <c r="E24" s="422"/>
      <c r="F24" s="422"/>
      <c r="G24" s="468"/>
      <c r="H24" s="1509"/>
      <c r="I24" s="1510"/>
      <c r="J24" s="1509"/>
      <c r="K24" s="1510"/>
      <c r="L24" s="1509"/>
      <c r="M24" s="1510"/>
      <c r="N24" s="1509"/>
      <c r="O24" s="1510"/>
      <c r="P24" s="1509"/>
      <c r="Q24" s="1514"/>
      <c r="R24" s="1509"/>
      <c r="S24" s="1514"/>
    </row>
    <row r="25" spans="1:19">
      <c r="A25" s="1511"/>
      <c r="B25" s="1515" t="s">
        <v>729</v>
      </c>
      <c r="C25" s="468"/>
      <c r="D25" s="430"/>
      <c r="E25" s="422"/>
      <c r="F25" s="422"/>
      <c r="G25" s="468"/>
      <c r="H25" s="1509"/>
      <c r="I25" s="1510"/>
      <c r="J25" s="1509"/>
      <c r="K25" s="1510"/>
      <c r="L25" s="1509"/>
      <c r="M25" s="1510"/>
      <c r="N25" s="1509"/>
      <c r="O25" s="1510"/>
      <c r="P25" s="1509"/>
      <c r="Q25" s="1514"/>
      <c r="R25" s="1509"/>
      <c r="S25" s="1514"/>
    </row>
    <row r="26" spans="1:19">
      <c r="A26" s="1511"/>
      <c r="B26" s="1515" t="s">
        <v>731</v>
      </c>
      <c r="C26" s="468"/>
      <c r="D26" s="430"/>
      <c r="E26" s="422"/>
      <c r="F26" s="422"/>
      <c r="G26" s="468"/>
      <c r="H26" s="1509"/>
      <c r="I26" s="1510"/>
      <c r="J26" s="1509"/>
      <c r="K26" s="1510"/>
      <c r="L26" s="1509"/>
      <c r="M26" s="1510"/>
      <c r="N26" s="1509"/>
      <c r="O26" s="1510"/>
      <c r="P26" s="1509"/>
      <c r="Q26" s="1514"/>
      <c r="R26" s="1509"/>
      <c r="S26" s="1514"/>
    </row>
    <row r="27" spans="1:19">
      <c r="A27" s="1511"/>
      <c r="B27" s="1515" t="s">
        <v>732</v>
      </c>
      <c r="C27" s="468"/>
      <c r="D27" s="430"/>
      <c r="E27" s="422"/>
      <c r="F27" s="422"/>
      <c r="G27" s="468"/>
      <c r="H27" s="1509"/>
      <c r="I27" s="1510"/>
      <c r="J27" s="1509"/>
      <c r="K27" s="1510"/>
      <c r="L27" s="1509"/>
      <c r="M27" s="1510"/>
      <c r="N27" s="1509"/>
      <c r="O27" s="1510"/>
      <c r="P27" s="1509"/>
      <c r="Q27" s="1514"/>
      <c r="R27" s="1509"/>
      <c r="S27" s="1514"/>
    </row>
    <row r="28" spans="1:19">
      <c r="A28" s="1511"/>
      <c r="B28" s="1515" t="s">
        <v>733</v>
      </c>
      <c r="C28" s="468"/>
      <c r="D28" s="422"/>
      <c r="E28" s="422"/>
      <c r="F28" s="422"/>
      <c r="G28" s="468"/>
      <c r="H28" s="1509"/>
      <c r="I28" s="1510"/>
      <c r="J28" s="1509"/>
      <c r="K28" s="1510"/>
      <c r="L28" s="1509"/>
      <c r="M28" s="1510"/>
      <c r="N28" s="1509"/>
      <c r="O28" s="1510"/>
      <c r="P28" s="1509"/>
      <c r="Q28" s="1514"/>
      <c r="R28" s="1509"/>
      <c r="S28" s="1514"/>
    </row>
    <row r="29" spans="1:19" ht="17.25" customHeight="1">
      <c r="A29" s="1511"/>
      <c r="B29" s="1516" t="s">
        <v>736</v>
      </c>
      <c r="C29" s="468"/>
      <c r="D29" s="422"/>
      <c r="E29" s="422"/>
      <c r="F29" s="422"/>
      <c r="G29" s="468"/>
      <c r="H29" s="1509"/>
      <c r="I29" s="1510"/>
      <c r="J29" s="1509"/>
      <c r="K29" s="1510"/>
      <c r="L29" s="1509"/>
      <c r="M29" s="1510"/>
      <c r="N29" s="1509"/>
      <c r="O29" s="1510"/>
      <c r="P29" s="1509"/>
      <c r="Q29" s="1514"/>
      <c r="R29" s="1509"/>
      <c r="S29" s="1514"/>
    </row>
    <row r="30" spans="1:19" ht="17.25" customHeight="1">
      <c r="A30" s="1511"/>
      <c r="B30" s="1517" t="s">
        <v>737</v>
      </c>
      <c r="C30" s="469"/>
      <c r="D30" s="425"/>
      <c r="E30" s="425"/>
      <c r="F30" s="425"/>
      <c r="G30" s="469"/>
      <c r="H30" s="1518"/>
      <c r="I30" s="1519"/>
      <c r="J30" s="1518"/>
      <c r="K30" s="1519"/>
      <c r="L30" s="1518"/>
      <c r="M30" s="1519"/>
      <c r="N30" s="1518"/>
      <c r="O30" s="1519"/>
      <c r="P30" s="1518"/>
      <c r="Q30" s="1520"/>
      <c r="R30" s="1518"/>
      <c r="S30" s="1520"/>
    </row>
    <row r="31" spans="1:19" ht="17.25" customHeight="1">
      <c r="A31" s="1511"/>
      <c r="B31" s="486"/>
      <c r="C31" s="468"/>
      <c r="D31" s="422"/>
      <c r="E31" s="422"/>
      <c r="F31" s="422"/>
      <c r="G31" s="468"/>
      <c r="H31" s="1509"/>
      <c r="I31" s="1510"/>
      <c r="J31" s="1509"/>
      <c r="K31" s="1510"/>
      <c r="L31" s="1509"/>
      <c r="M31" s="1510"/>
      <c r="N31" s="1509"/>
      <c r="O31" s="1510"/>
      <c r="P31" s="1509"/>
      <c r="Q31" s="1514"/>
      <c r="R31" s="1509"/>
      <c r="S31" s="1514"/>
    </row>
    <row r="32" spans="1:19" ht="17.25" customHeight="1">
      <c r="A32" s="1511"/>
      <c r="B32" s="487"/>
      <c r="C32" s="468"/>
      <c r="D32" s="422"/>
      <c r="E32" s="422"/>
      <c r="F32" s="422"/>
      <c r="G32" s="468"/>
      <c r="H32" s="1509"/>
      <c r="I32" s="1510"/>
      <c r="J32" s="1509"/>
      <c r="K32" s="1510"/>
      <c r="L32" s="1509"/>
      <c r="M32" s="1510"/>
      <c r="N32" s="1509"/>
      <c r="O32" s="1510"/>
      <c r="P32" s="1509"/>
      <c r="Q32" s="1514"/>
      <c r="R32" s="1509"/>
      <c r="S32" s="1514"/>
    </row>
    <row r="33" spans="1:19" ht="17.25" customHeight="1">
      <c r="A33" s="1511"/>
      <c r="B33" s="482"/>
      <c r="C33" s="468"/>
      <c r="D33" s="422"/>
      <c r="E33" s="422"/>
      <c r="F33" s="422"/>
      <c r="G33" s="468"/>
      <c r="H33" s="1509"/>
      <c r="I33" s="1510"/>
      <c r="J33" s="1509"/>
      <c r="K33" s="1510"/>
      <c r="L33" s="1509"/>
      <c r="M33" s="1510"/>
      <c r="N33" s="1509"/>
      <c r="O33" s="1510"/>
      <c r="P33" s="1509"/>
      <c r="Q33" s="1514"/>
      <c r="R33" s="1509"/>
      <c r="S33" s="1514"/>
    </row>
    <row r="34" spans="1:19" ht="17.25" customHeight="1">
      <c r="A34" s="1511"/>
      <c r="B34" s="482"/>
      <c r="C34" s="468"/>
      <c r="D34" s="422"/>
      <c r="E34" s="422"/>
      <c r="F34" s="422"/>
      <c r="G34" s="468"/>
      <c r="H34" s="1509"/>
      <c r="I34" s="1510"/>
      <c r="J34" s="1509"/>
      <c r="K34" s="1510"/>
      <c r="L34" s="1509"/>
      <c r="M34" s="1510"/>
      <c r="N34" s="1509"/>
      <c r="O34" s="1510"/>
      <c r="P34" s="1509"/>
      <c r="Q34" s="1514"/>
      <c r="R34" s="1509"/>
      <c r="S34" s="1514"/>
    </row>
    <row r="35" spans="1:19">
      <c r="A35" s="1511"/>
      <c r="B35" s="486"/>
      <c r="C35" s="468"/>
      <c r="D35" s="422"/>
      <c r="E35" s="422"/>
      <c r="F35" s="422"/>
      <c r="G35" s="468"/>
      <c r="H35" s="1509"/>
      <c r="I35" s="1510"/>
      <c r="J35" s="1509"/>
      <c r="K35" s="1510"/>
      <c r="L35" s="1509"/>
      <c r="M35" s="1510"/>
      <c r="N35" s="1509"/>
      <c r="O35" s="1510"/>
      <c r="P35" s="1509"/>
      <c r="Q35" s="1514"/>
      <c r="R35" s="1509"/>
      <c r="S35" s="1514"/>
    </row>
    <row r="36" spans="1:19">
      <c r="A36" s="1511"/>
      <c r="B36" s="487"/>
      <c r="C36" s="468"/>
      <c r="D36" s="422"/>
      <c r="E36" s="422"/>
      <c r="F36" s="422"/>
      <c r="G36" s="468"/>
      <c r="H36" s="1509"/>
      <c r="I36" s="1510"/>
      <c r="J36" s="1509"/>
      <c r="K36" s="1510"/>
      <c r="L36" s="1509"/>
      <c r="M36" s="1510"/>
      <c r="N36" s="1509"/>
      <c r="O36" s="1510"/>
      <c r="P36" s="1509"/>
      <c r="Q36" s="1514"/>
      <c r="R36" s="1509"/>
      <c r="S36" s="1514"/>
    </row>
    <row r="37" spans="1:19">
      <c r="A37" s="1511"/>
      <c r="B37" s="487"/>
      <c r="C37" s="468"/>
      <c r="D37" s="422"/>
      <c r="E37" s="422"/>
      <c r="F37" s="422"/>
      <c r="G37" s="468"/>
      <c r="H37" s="1509"/>
      <c r="I37" s="1510"/>
      <c r="J37" s="1509"/>
      <c r="K37" s="1510"/>
      <c r="L37" s="1509"/>
      <c r="M37" s="1510"/>
      <c r="N37" s="1509"/>
      <c r="O37" s="1510"/>
      <c r="P37" s="1509"/>
      <c r="Q37" s="1514"/>
      <c r="R37" s="1509"/>
      <c r="S37" s="1514"/>
    </row>
    <row r="38" spans="1:19">
      <c r="A38" s="1511"/>
      <c r="B38" s="486"/>
      <c r="C38" s="484"/>
      <c r="D38" s="422"/>
      <c r="E38" s="422"/>
      <c r="F38" s="422"/>
      <c r="G38" s="468"/>
      <c r="H38" s="1509"/>
      <c r="I38" s="1521"/>
      <c r="J38" s="1509"/>
      <c r="K38" s="470"/>
      <c r="L38" s="1509"/>
      <c r="M38" s="470"/>
      <c r="N38" s="1509"/>
      <c r="O38" s="2349"/>
      <c r="P38" s="1509"/>
      <c r="Q38" s="1510"/>
      <c r="R38" s="1509"/>
      <c r="S38" s="1510"/>
    </row>
    <row r="39" spans="1:19">
      <c r="A39" s="1511"/>
      <c r="B39" s="487"/>
      <c r="C39" s="484"/>
      <c r="D39" s="422"/>
      <c r="E39" s="422"/>
      <c r="F39" s="422"/>
      <c r="G39" s="468"/>
      <c r="H39" s="1509"/>
      <c r="I39" s="1521"/>
      <c r="J39" s="1509"/>
      <c r="K39" s="1522"/>
      <c r="L39" s="1509"/>
      <c r="M39" s="1522"/>
      <c r="N39" s="1509"/>
      <c r="O39" s="2350"/>
      <c r="P39" s="1509"/>
      <c r="Q39" s="1514"/>
      <c r="R39" s="1509"/>
      <c r="S39" s="1510"/>
    </row>
    <row r="40" spans="1:19" ht="15.75" thickBot="1">
      <c r="A40" s="1511"/>
      <c r="B40" s="1523"/>
      <c r="C40" s="484"/>
      <c r="D40" s="422"/>
      <c r="E40" s="422"/>
      <c r="F40" s="422"/>
      <c r="G40" s="468"/>
      <c r="H40" s="1509"/>
      <c r="I40" s="1510"/>
      <c r="J40" s="1514"/>
      <c r="K40" s="1510"/>
      <c r="L40" s="1514"/>
      <c r="M40" s="1510"/>
      <c r="N40" s="1514"/>
      <c r="O40" s="1510"/>
      <c r="P40" s="1514"/>
      <c r="Q40" s="1514"/>
      <c r="R40" s="1509"/>
      <c r="S40" s="1510"/>
    </row>
    <row r="41" spans="1:19" ht="15.75" thickTop="1">
      <c r="A41" s="13"/>
      <c r="B41" s="14"/>
      <c r="C41" s="15"/>
      <c r="D41" s="15"/>
      <c r="E41" s="16"/>
      <c r="F41" s="17" t="s">
        <v>753</v>
      </c>
      <c r="G41" s="18"/>
      <c r="H41" s="19"/>
      <c r="I41" s="34">
        <f>SUM(I23:I40)</f>
        <v>0</v>
      </c>
      <c r="J41" s="19"/>
      <c r="K41" s="34">
        <f>SUM(K23:K40)</f>
        <v>0</v>
      </c>
      <c r="L41" s="19"/>
      <c r="M41" s="34">
        <f>SUM(M23:M40)</f>
        <v>0</v>
      </c>
      <c r="N41" s="19"/>
      <c r="O41" s="34">
        <f>SUM(O23:O40)</f>
        <v>0</v>
      </c>
      <c r="P41" s="19"/>
      <c r="Q41" s="34">
        <f>SUM(Q23:Q40)</f>
        <v>0</v>
      </c>
      <c r="R41" s="19"/>
      <c r="S41" s="34">
        <f>SUM(S23:S40)</f>
        <v>0</v>
      </c>
    </row>
    <row r="42" spans="1:19">
      <c r="A42" s="932"/>
      <c r="B42" s="488"/>
      <c r="C42" s="433"/>
      <c r="D42" s="433"/>
      <c r="E42" s="434"/>
      <c r="F42" s="489" t="s">
        <v>754</v>
      </c>
      <c r="G42" s="471"/>
      <c r="H42" s="1463">
        <v>0</v>
      </c>
      <c r="I42" s="1524"/>
      <c r="J42" s="1463"/>
      <c r="K42" s="1524"/>
      <c r="L42" s="1463"/>
      <c r="M42" s="1524"/>
      <c r="N42" s="1463"/>
      <c r="O42" s="1524"/>
      <c r="P42" s="1463">
        <v>0</v>
      </c>
      <c r="Q42" s="1524"/>
      <c r="R42" s="1463">
        <v>0</v>
      </c>
      <c r="S42" s="1524"/>
    </row>
    <row r="43" spans="1:19">
      <c r="A43" s="932"/>
      <c r="B43" s="488"/>
      <c r="C43" s="433"/>
      <c r="D43" s="433"/>
      <c r="E43" s="434"/>
      <c r="F43" s="489" t="s">
        <v>755</v>
      </c>
      <c r="G43" s="471"/>
      <c r="H43" s="1464"/>
      <c r="I43" s="1525">
        <f>I41*H42</f>
        <v>0</v>
      </c>
      <c r="J43" s="1464"/>
      <c r="K43" s="1525">
        <f>K41*J42</f>
        <v>0</v>
      </c>
      <c r="L43" s="1464"/>
      <c r="M43" s="1525">
        <f>M41*L42</f>
        <v>0</v>
      </c>
      <c r="N43" s="1464"/>
      <c r="O43" s="1525">
        <f>O41*N42</f>
        <v>0</v>
      </c>
      <c r="P43" s="1464"/>
      <c r="Q43" s="1525">
        <f>Q41*P42</f>
        <v>0</v>
      </c>
      <c r="R43" s="1464"/>
      <c r="S43" s="1525">
        <f>S41*R42</f>
        <v>0</v>
      </c>
    </row>
    <row r="44" spans="1:19">
      <c r="A44" s="932"/>
      <c r="B44" s="488"/>
      <c r="C44" s="433"/>
      <c r="D44" s="433"/>
      <c r="E44" s="434"/>
      <c r="F44" s="489"/>
      <c r="G44" s="471"/>
      <c r="H44" s="1464"/>
      <c r="I44" s="1464"/>
      <c r="J44" s="1464"/>
      <c r="K44" s="1464"/>
      <c r="L44" s="1464"/>
      <c r="M44" s="1464"/>
      <c r="N44" s="1464"/>
      <c r="O44" s="1464"/>
      <c r="P44" s="1464"/>
      <c r="Q44" s="1464"/>
      <c r="R44" s="1464"/>
      <c r="S44" s="1464"/>
    </row>
    <row r="45" spans="1:19">
      <c r="A45" s="932"/>
      <c r="B45" s="488"/>
      <c r="C45" s="433"/>
      <c r="D45" s="433"/>
      <c r="E45" s="434"/>
      <c r="F45" s="489" t="s">
        <v>756</v>
      </c>
      <c r="G45" s="471"/>
      <c r="H45" s="1526"/>
      <c r="I45" s="1527">
        <f>SUM(I41:I43)</f>
        <v>0</v>
      </c>
      <c r="J45" s="1526"/>
      <c r="K45" s="1527">
        <f>SUM(K41:K43)</f>
        <v>0</v>
      </c>
      <c r="L45" s="1526"/>
      <c r="M45" s="1527">
        <f>SUM(M41:M43)</f>
        <v>0</v>
      </c>
      <c r="N45" s="1526"/>
      <c r="O45" s="1527">
        <f>SUM(O41:O43)</f>
        <v>0</v>
      </c>
      <c r="P45" s="1526"/>
      <c r="Q45" s="1527">
        <f>SUM(Q41:Q43)</f>
        <v>0</v>
      </c>
      <c r="R45" s="1526"/>
      <c r="S45" s="1527">
        <f>SUM(S41:S43)</f>
        <v>0</v>
      </c>
    </row>
    <row r="46" spans="1:19">
      <c r="A46" s="932"/>
      <c r="B46" s="488"/>
      <c r="C46" s="433"/>
      <c r="D46" s="433"/>
      <c r="E46" s="434"/>
      <c r="F46" s="490" t="s">
        <v>757</v>
      </c>
      <c r="G46" s="472"/>
      <c r="H46" s="1528"/>
      <c r="I46" s="1529">
        <f>I45/'Area Calculations'!$G$4</f>
        <v>0</v>
      </c>
      <c r="J46" s="1528"/>
      <c r="K46" s="1529">
        <f>K45/'Area Calculations'!$G$4</f>
        <v>0</v>
      </c>
      <c r="L46" s="1528"/>
      <c r="M46" s="1529">
        <f>M45/'Area Calculations'!$G$4</f>
        <v>0</v>
      </c>
      <c r="N46" s="1528"/>
      <c r="O46" s="1529">
        <f>O45/'Area Calculations'!$G$4</f>
        <v>0</v>
      </c>
      <c r="P46" s="1528"/>
      <c r="Q46" s="1529">
        <f>Q45/'Area Calculations'!$G$4</f>
        <v>0</v>
      </c>
      <c r="R46" s="1528"/>
      <c r="S46" s="1529">
        <f>S45/'Area Calculations'!$G$4</f>
        <v>0</v>
      </c>
    </row>
    <row r="47" spans="1:19">
      <c r="A47" s="932"/>
      <c r="B47" s="488"/>
      <c r="C47" s="433"/>
      <c r="D47" s="433"/>
      <c r="E47" s="434"/>
      <c r="F47" s="490" t="s">
        <v>758</v>
      </c>
      <c r="G47" s="473"/>
      <c r="H47" s="1528"/>
      <c r="I47" s="1529">
        <f>I45/'Area Calculations'!$G$9</f>
        <v>0</v>
      </c>
      <c r="J47" s="1528"/>
      <c r="K47" s="1529">
        <f>K45/'Area Calculations'!$G$9</f>
        <v>0</v>
      </c>
      <c r="L47" s="1528"/>
      <c r="M47" s="1529">
        <f>M45/'Area Calculations'!$G$9</f>
        <v>0</v>
      </c>
      <c r="N47" s="1528"/>
      <c r="O47" s="1529">
        <f>O45/'Area Calculations'!$G$9</f>
        <v>0</v>
      </c>
      <c r="P47" s="1528"/>
      <c r="Q47" s="1529">
        <f>Q45/'Area Calculations'!$G$9</f>
        <v>0</v>
      </c>
      <c r="R47" s="1528"/>
      <c r="S47" s="1529">
        <f>S45/'Area Calculations'!$G$9</f>
        <v>0</v>
      </c>
    </row>
    <row r="48" spans="1:19" ht="15.75" thickBot="1">
      <c r="A48" s="932"/>
      <c r="B48" s="488"/>
      <c r="C48" s="433"/>
      <c r="D48" s="433"/>
      <c r="E48" s="434"/>
      <c r="F48" s="489"/>
      <c r="G48" s="474"/>
      <c r="H48" s="1530"/>
      <c r="I48" s="1531"/>
      <c r="J48" s="1532"/>
      <c r="K48" s="1532"/>
      <c r="L48" s="1532"/>
      <c r="M48" s="1532"/>
      <c r="N48" s="1532"/>
      <c r="O48" s="1532"/>
      <c r="P48" s="1532"/>
      <c r="Q48" s="1532"/>
      <c r="R48" s="1532"/>
      <c r="S48" s="1532"/>
    </row>
    <row r="49" spans="1:19" ht="16.5" thickTop="1" thickBot="1">
      <c r="A49" s="2331" t="s">
        <v>759</v>
      </c>
      <c r="B49" s="2365"/>
      <c r="C49" s="12"/>
      <c r="D49" s="12"/>
      <c r="E49" s="12"/>
      <c r="F49" s="12"/>
      <c r="G49" s="26"/>
      <c r="H49" s="24"/>
      <c r="I49" s="20"/>
      <c r="J49" s="20"/>
      <c r="K49" s="20"/>
      <c r="L49" s="20"/>
      <c r="M49" s="20"/>
      <c r="N49" s="20"/>
      <c r="O49" s="20"/>
      <c r="P49" s="20"/>
      <c r="Q49" s="20"/>
      <c r="R49" s="20"/>
      <c r="S49" s="20"/>
    </row>
    <row r="50" spans="1:19" ht="15.75" thickTop="1">
      <c r="A50" s="1533"/>
      <c r="B50" s="481"/>
      <c r="C50" s="1435"/>
      <c r="D50" s="1435"/>
      <c r="E50" s="1435"/>
      <c r="F50" s="1435"/>
      <c r="G50" s="1404"/>
      <c r="H50" s="1405"/>
      <c r="I50" s="1223"/>
      <c r="J50" s="1223"/>
      <c r="K50" s="1223"/>
      <c r="L50" s="1223"/>
      <c r="M50" s="1223"/>
      <c r="N50" s="1223"/>
      <c r="O50" s="1223"/>
      <c r="P50" s="1223"/>
      <c r="Q50" s="1223"/>
      <c r="R50" s="1223"/>
      <c r="S50" s="1223"/>
    </row>
    <row r="51" spans="1:19">
      <c r="A51" s="1533"/>
      <c r="B51" s="481"/>
      <c r="C51" s="1435"/>
      <c r="D51" s="1435"/>
      <c r="E51" s="1435"/>
      <c r="F51" s="1435"/>
      <c r="G51" s="1404"/>
      <c r="H51" s="1405"/>
      <c r="I51" s="1223"/>
      <c r="J51" s="1223"/>
      <c r="K51" s="1223"/>
      <c r="L51" s="1223"/>
      <c r="M51" s="1223"/>
      <c r="N51" s="1223"/>
      <c r="O51" s="1223"/>
      <c r="P51" s="1223"/>
      <c r="Q51" s="1223"/>
      <c r="R51" s="1223"/>
      <c r="S51" s="1223"/>
    </row>
    <row r="52" spans="1:19" ht="15.75" thickBot="1">
      <c r="A52" s="1533"/>
      <c r="B52" s="481"/>
      <c r="C52" s="1435"/>
      <c r="D52" s="1435"/>
      <c r="E52" s="1435"/>
      <c r="F52" s="1435"/>
      <c r="G52" s="1404"/>
      <c r="H52" s="1405"/>
      <c r="I52" s="1223"/>
      <c r="J52" s="1223"/>
      <c r="K52" s="1223"/>
      <c r="L52" s="1223"/>
      <c r="M52" s="1223"/>
      <c r="N52" s="1223"/>
      <c r="O52" s="1223"/>
      <c r="P52" s="1223"/>
      <c r="Q52" s="1223"/>
      <c r="R52" s="1223"/>
      <c r="S52" s="1223"/>
    </row>
    <row r="53" spans="1:19" s="2" customFormat="1" ht="16.5" thickTop="1" thickBot="1">
      <c r="A53" s="2331" t="s">
        <v>760</v>
      </c>
      <c r="B53" s="2365"/>
      <c r="C53" s="12"/>
      <c r="D53" s="12"/>
      <c r="E53" s="12"/>
      <c r="F53" s="12"/>
      <c r="G53" s="26"/>
      <c r="H53" s="24"/>
      <c r="I53" s="20"/>
      <c r="J53" s="20"/>
      <c r="K53" s="20"/>
      <c r="L53" s="20"/>
      <c r="M53" s="20"/>
      <c r="N53" s="20"/>
      <c r="O53" s="20"/>
      <c r="P53" s="20"/>
      <c r="Q53" s="20"/>
      <c r="R53" s="20"/>
      <c r="S53" s="20"/>
    </row>
    <row r="54" spans="1:19" s="2" customFormat="1" ht="15.75" thickTop="1">
      <c r="A54" s="1533"/>
      <c r="B54" s="481"/>
      <c r="C54" s="1435"/>
      <c r="D54" s="1435"/>
      <c r="E54" s="1435"/>
      <c r="F54" s="1435"/>
      <c r="G54" s="1404"/>
      <c r="H54" s="1405"/>
      <c r="I54" s="1223"/>
      <c r="J54" s="1223"/>
      <c r="K54" s="1223"/>
      <c r="L54" s="1223"/>
      <c r="M54" s="1223"/>
      <c r="N54" s="1223"/>
      <c r="O54" s="1223"/>
      <c r="P54" s="1223"/>
      <c r="Q54" s="1223"/>
      <c r="R54" s="1223"/>
      <c r="S54" s="1223"/>
    </row>
    <row r="55" spans="1:19" s="2" customFormat="1">
      <c r="A55" s="1533"/>
      <c r="B55" s="481"/>
      <c r="C55" s="1435"/>
      <c r="D55" s="1435"/>
      <c r="E55" s="1435"/>
      <c r="F55" s="1435"/>
      <c r="G55" s="1404"/>
      <c r="H55" s="1405"/>
      <c r="I55" s="1223"/>
      <c r="J55" s="1223"/>
      <c r="K55" s="1223"/>
      <c r="L55" s="1223"/>
      <c r="M55" s="1223"/>
      <c r="N55" s="1223"/>
      <c r="O55" s="1223"/>
      <c r="P55" s="1223"/>
      <c r="Q55" s="1223"/>
      <c r="R55" s="1223"/>
      <c r="S55" s="1223"/>
    </row>
    <row r="56" spans="1:19" ht="15.75" thickBot="1">
      <c r="A56" s="1533"/>
      <c r="B56" s="481"/>
      <c r="C56" s="1435"/>
      <c r="D56" s="1435"/>
      <c r="E56" s="1435"/>
      <c r="F56" s="1435"/>
      <c r="G56" s="1404"/>
      <c r="H56" s="1405"/>
      <c r="I56" s="1223"/>
      <c r="J56" s="1223"/>
      <c r="K56" s="1223"/>
      <c r="L56" s="1223"/>
      <c r="M56" s="1223"/>
      <c r="N56" s="1223"/>
      <c r="O56" s="1223"/>
      <c r="P56" s="1223"/>
      <c r="Q56" s="1223"/>
      <c r="R56" s="1223"/>
      <c r="S56" s="1223"/>
    </row>
    <row r="57" spans="1:19" s="2" customFormat="1" ht="16.5" thickTop="1" thickBot="1">
      <c r="A57" s="2331" t="s">
        <v>761</v>
      </c>
      <c r="B57" s="2365"/>
      <c r="C57" s="12"/>
      <c r="D57" s="12"/>
      <c r="E57" s="12"/>
      <c r="F57" s="12"/>
      <c r="G57" s="26"/>
      <c r="H57" s="24"/>
      <c r="I57" s="20"/>
      <c r="J57" s="20"/>
      <c r="K57" s="20"/>
      <c r="L57" s="20"/>
      <c r="M57" s="20"/>
      <c r="N57" s="20"/>
      <c r="O57" s="20"/>
      <c r="P57" s="20"/>
      <c r="Q57" s="20"/>
      <c r="R57" s="20"/>
      <c r="S57" s="20"/>
    </row>
    <row r="58" spans="1:19" s="2" customFormat="1" ht="15.75" thickTop="1">
      <c r="A58" s="1533"/>
      <c r="B58" s="481"/>
      <c r="C58" s="1435"/>
      <c r="D58" s="1435"/>
      <c r="E58" s="1435"/>
      <c r="F58" s="1435"/>
      <c r="G58" s="1404"/>
      <c r="H58" s="1405"/>
      <c r="I58" s="1223"/>
      <c r="J58" s="1223"/>
      <c r="K58" s="1223"/>
      <c r="L58" s="1223"/>
      <c r="M58" s="1223"/>
      <c r="N58" s="1223"/>
      <c r="O58" s="1223"/>
      <c r="P58" s="1223"/>
      <c r="Q58" s="1223"/>
      <c r="R58" s="1223"/>
      <c r="S58" s="1223"/>
    </row>
    <row r="59" spans="1:19" s="2" customFormat="1">
      <c r="A59" s="931"/>
      <c r="B59" s="481"/>
      <c r="C59" s="422"/>
      <c r="D59" s="422"/>
      <c r="E59" s="422"/>
      <c r="F59" s="422"/>
      <c r="G59" s="831"/>
      <c r="H59" s="440"/>
      <c r="I59" s="1468"/>
      <c r="J59" s="1468"/>
      <c r="K59" s="1468"/>
      <c r="L59" s="1468"/>
      <c r="M59" s="1468"/>
      <c r="N59" s="1468"/>
      <c r="O59" s="1468"/>
      <c r="P59" s="1468"/>
      <c r="Q59" s="1468"/>
      <c r="R59" s="1468"/>
      <c r="S59" s="1468"/>
    </row>
    <row r="60" spans="1:19" s="2" customFormat="1" ht="15.75" thickBot="1">
      <c r="A60" s="933"/>
      <c r="B60" s="491"/>
      <c r="C60" s="422"/>
      <c r="D60" s="422"/>
      <c r="E60" s="422"/>
      <c r="F60" s="422"/>
      <c r="G60" s="831"/>
      <c r="H60" s="441"/>
      <c r="I60" s="1470"/>
      <c r="J60" s="1470"/>
      <c r="K60" s="1470"/>
      <c r="L60" s="1470"/>
      <c r="M60" s="1470"/>
      <c r="N60" s="1470"/>
      <c r="O60" s="1470"/>
      <c r="P60" s="1470"/>
      <c r="Q60" s="1470"/>
      <c r="R60" s="1470"/>
      <c r="S60" s="1470"/>
    </row>
    <row r="61" spans="1:19" s="2" customFormat="1" ht="16.5" thickTop="1" thickBot="1">
      <c r="A61" s="2331" t="s">
        <v>762</v>
      </c>
      <c r="B61" s="2365"/>
      <c r="C61" s="12"/>
      <c r="D61" s="12"/>
      <c r="E61" s="12"/>
      <c r="F61" s="12"/>
      <c r="G61" s="26"/>
      <c r="H61" s="24"/>
      <c r="I61" s="20"/>
      <c r="J61" s="20"/>
      <c r="K61" s="20"/>
      <c r="L61" s="20"/>
      <c r="M61" s="20"/>
      <c r="N61" s="20"/>
      <c r="O61" s="20"/>
      <c r="P61" s="20"/>
      <c r="Q61" s="20"/>
      <c r="R61" s="20"/>
      <c r="S61" s="20"/>
    </row>
    <row r="62" spans="1:19" ht="15.75" thickTop="1">
      <c r="A62" s="1534"/>
      <c r="B62" s="1535"/>
      <c r="C62" s="1435"/>
      <c r="D62" s="1435"/>
      <c r="E62" s="1435"/>
      <c r="F62" s="1435"/>
      <c r="G62" s="1404"/>
      <c r="H62" s="1405"/>
      <c r="I62" s="1223"/>
      <c r="J62" s="1223"/>
      <c r="K62" s="1223"/>
      <c r="L62" s="1223"/>
      <c r="M62" s="1223"/>
      <c r="N62" s="1223"/>
      <c r="O62" s="1223"/>
      <c r="P62" s="1223"/>
      <c r="Q62" s="1223"/>
      <c r="R62" s="1223"/>
      <c r="S62" s="1223"/>
    </row>
    <row r="63" spans="1:19">
      <c r="A63" s="933"/>
      <c r="B63" s="491"/>
      <c r="C63" s="422"/>
      <c r="D63" s="422"/>
      <c r="E63" s="422"/>
      <c r="F63" s="422"/>
      <c r="G63" s="831"/>
      <c r="H63" s="442"/>
      <c r="I63" s="1471"/>
      <c r="J63" s="1471"/>
      <c r="K63" s="1471"/>
      <c r="L63" s="1471"/>
      <c r="M63" s="1471"/>
      <c r="N63" s="1471"/>
      <c r="O63" s="1471"/>
      <c r="P63" s="1471"/>
      <c r="Q63" s="1471"/>
      <c r="R63" s="1471"/>
      <c r="S63" s="1471"/>
    </row>
    <row r="64" spans="1:19" ht="15.75" thickBot="1">
      <c r="A64" s="933"/>
      <c r="B64" s="491"/>
      <c r="C64" s="422"/>
      <c r="D64" s="422"/>
      <c r="E64" s="422"/>
      <c r="F64" s="422"/>
      <c r="G64" s="831"/>
      <c r="H64" s="442"/>
      <c r="I64" s="1471"/>
      <c r="J64" s="1471"/>
      <c r="K64" s="1471"/>
      <c r="L64" s="1471"/>
      <c r="M64" s="1471"/>
      <c r="N64" s="1471"/>
      <c r="O64" s="1471"/>
      <c r="P64" s="1471"/>
      <c r="Q64" s="1471"/>
      <c r="R64" s="1471"/>
      <c r="S64" s="1471"/>
    </row>
    <row r="65" spans="1:19" ht="16.5" thickTop="1" thickBot="1">
      <c r="A65" s="2331" t="s">
        <v>763</v>
      </c>
      <c r="B65" s="2365"/>
      <c r="C65" s="12"/>
      <c r="D65" s="12"/>
      <c r="E65" s="12"/>
      <c r="F65" s="12"/>
      <c r="G65" s="26"/>
      <c r="H65" s="24"/>
      <c r="I65" s="20"/>
      <c r="J65" s="20"/>
      <c r="K65" s="20"/>
      <c r="L65" s="20"/>
      <c r="M65" s="20"/>
      <c r="N65" s="20"/>
      <c r="O65" s="20"/>
      <c r="P65" s="20"/>
      <c r="Q65" s="20"/>
      <c r="R65" s="20"/>
      <c r="S65" s="20"/>
    </row>
    <row r="66" spans="1:19" ht="15.75" thickTop="1">
      <c r="A66" s="931"/>
      <c r="B66" s="481" t="s">
        <v>764</v>
      </c>
      <c r="C66" s="422"/>
      <c r="D66" s="422"/>
      <c r="E66" s="422"/>
      <c r="F66" s="422"/>
      <c r="G66" s="831"/>
      <c r="H66" s="442"/>
      <c r="I66" s="1471"/>
      <c r="J66" s="1471"/>
      <c r="K66" s="1471"/>
      <c r="L66" s="1471"/>
      <c r="M66" s="1471"/>
      <c r="N66" s="1471"/>
      <c r="O66" s="1471"/>
      <c r="P66" s="1471"/>
      <c r="Q66" s="1471"/>
      <c r="R66" s="1471"/>
      <c r="S66" s="1471"/>
    </row>
    <row r="67" spans="1:19">
      <c r="A67" s="931"/>
      <c r="B67" s="481" t="s">
        <v>765</v>
      </c>
      <c r="C67" s="422"/>
      <c r="D67" s="422"/>
      <c r="E67" s="422"/>
      <c r="F67" s="422"/>
      <c r="G67" s="831"/>
      <c r="H67" s="442"/>
      <c r="I67" s="1471"/>
      <c r="J67" s="1471"/>
      <c r="K67" s="1471"/>
      <c r="L67" s="1471"/>
      <c r="M67" s="1471"/>
      <c r="N67" s="1471"/>
      <c r="O67" s="1471"/>
      <c r="P67" s="1471"/>
      <c r="Q67" s="1471"/>
      <c r="R67" s="1471"/>
      <c r="S67" s="1471"/>
    </row>
    <row r="68" spans="1:19">
      <c r="A68" s="931"/>
      <c r="B68" s="481" t="s">
        <v>766</v>
      </c>
      <c r="C68" s="422"/>
      <c r="D68" s="422"/>
      <c r="E68" s="422"/>
      <c r="F68" s="422"/>
      <c r="G68" s="831"/>
      <c r="H68" s="442"/>
      <c r="I68" s="1471"/>
      <c r="J68" s="1471"/>
      <c r="K68" s="1471"/>
      <c r="L68" s="1471"/>
      <c r="M68" s="1471"/>
      <c r="N68" s="1471"/>
      <c r="O68" s="1471"/>
      <c r="P68" s="1471"/>
      <c r="Q68" s="1471"/>
      <c r="R68" s="1471"/>
      <c r="S68" s="1471"/>
    </row>
    <row r="69" spans="1:19">
      <c r="A69" s="931"/>
      <c r="B69" s="481" t="s">
        <v>767</v>
      </c>
      <c r="C69" s="422"/>
      <c r="D69" s="422"/>
      <c r="E69" s="422"/>
      <c r="F69" s="422"/>
      <c r="G69" s="831"/>
      <c r="H69" s="442"/>
      <c r="I69" s="1471"/>
      <c r="J69" s="1471"/>
      <c r="K69" s="1471"/>
      <c r="L69" s="1471"/>
      <c r="M69" s="1471"/>
      <c r="N69" s="1471"/>
      <c r="O69" s="1471"/>
      <c r="P69" s="1471"/>
      <c r="Q69" s="1471"/>
      <c r="R69" s="1471"/>
      <c r="S69" s="1471"/>
    </row>
    <row r="70" spans="1:19" ht="15.75" thickBot="1">
      <c r="A70" s="475"/>
      <c r="B70" s="340"/>
      <c r="C70" s="86"/>
      <c r="D70" s="86"/>
      <c r="E70" s="86"/>
      <c r="F70" s="86"/>
      <c r="G70" s="27"/>
      <c r="H70" s="25"/>
      <c r="I70" s="444"/>
      <c r="J70" s="444"/>
      <c r="K70" s="444"/>
      <c r="L70" s="444"/>
      <c r="M70" s="444"/>
      <c r="N70" s="444"/>
      <c r="O70" s="444"/>
      <c r="P70" s="444"/>
      <c r="Q70" s="444"/>
      <c r="R70" s="444"/>
      <c r="S70" s="444"/>
    </row>
    <row r="71" spans="1:19" ht="16.5" thickTop="1" thickBot="1">
      <c r="A71" s="7" t="s">
        <v>768</v>
      </c>
      <c r="B71" s="8"/>
      <c r="C71" s="12"/>
      <c r="D71" s="12"/>
      <c r="E71" s="12"/>
      <c r="F71" s="12"/>
      <c r="G71" s="26"/>
      <c r="H71" s="24"/>
      <c r="I71" s="20"/>
      <c r="J71" s="20"/>
      <c r="K71" s="20"/>
      <c r="L71" s="20"/>
      <c r="M71" s="20"/>
      <c r="N71" s="20"/>
      <c r="O71" s="20"/>
      <c r="P71" s="20"/>
      <c r="Q71" s="20"/>
      <c r="R71" s="20"/>
      <c r="S71" s="20"/>
    </row>
    <row r="72" spans="1:19" ht="15.75" thickTop="1">
      <c r="A72" s="1533"/>
      <c r="B72" s="1536" t="s">
        <v>769</v>
      </c>
      <c r="C72" s="1435"/>
      <c r="D72" s="1435"/>
      <c r="E72" s="1435"/>
      <c r="F72" s="1435"/>
      <c r="G72" s="1404"/>
      <c r="H72" s="1514"/>
      <c r="I72" s="1228"/>
      <c r="J72" s="1228"/>
      <c r="K72" s="1228"/>
      <c r="L72" s="1228"/>
      <c r="M72" s="1228"/>
      <c r="N72" s="1228"/>
      <c r="O72" s="1228"/>
      <c r="P72" s="1228"/>
      <c r="Q72" s="1228"/>
      <c r="R72" s="1228"/>
      <c r="S72" s="1228"/>
    </row>
    <row r="73" spans="1:19">
      <c r="A73" s="931"/>
      <c r="B73" s="481" t="s">
        <v>770</v>
      </c>
      <c r="C73" s="422"/>
      <c r="D73" s="422"/>
      <c r="E73" s="422"/>
      <c r="F73" s="422"/>
      <c r="G73" s="831"/>
      <c r="H73" s="445"/>
      <c r="I73" s="1472"/>
      <c r="J73" s="1472"/>
      <c r="K73" s="1472"/>
      <c r="L73" s="1472"/>
      <c r="M73" s="1472"/>
      <c r="N73" s="1472"/>
      <c r="O73" s="1472"/>
      <c r="P73" s="1472"/>
      <c r="Q73" s="1472"/>
      <c r="R73" s="1472"/>
      <c r="S73" s="1472"/>
    </row>
    <row r="74" spans="1:19" ht="15.75" thickBot="1">
      <c r="A74" s="1537"/>
      <c r="B74" s="1538" t="s">
        <v>771</v>
      </c>
      <c r="C74" s="1379"/>
      <c r="D74" s="1379"/>
      <c r="E74" s="1379"/>
      <c r="F74" s="1379"/>
      <c r="G74" s="1380"/>
      <c r="H74" s="1381"/>
      <c r="I74" s="1382"/>
      <c r="J74" s="1382"/>
      <c r="K74" s="1382"/>
      <c r="L74" s="1382"/>
      <c r="M74" s="1382"/>
      <c r="N74" s="1382"/>
      <c r="O74" s="1382"/>
      <c r="P74" s="1382"/>
      <c r="Q74" s="1382"/>
      <c r="R74" s="1382"/>
      <c r="S74" s="1382"/>
    </row>
    <row r="75" spans="1:19" ht="16.5" thickTop="1" thickBot="1"/>
    <row r="76" spans="1:19" ht="16.5" thickTop="1" thickBot="1">
      <c r="A76" s="37" t="s">
        <v>772</v>
      </c>
      <c r="B76" s="39"/>
    </row>
    <row r="77" spans="1:19" ht="15.75" thickTop="1">
      <c r="A77" s="38" t="s">
        <v>693</v>
      </c>
      <c r="B77" s="1474"/>
    </row>
    <row r="78" spans="1:19">
      <c r="A78" s="1142" t="s">
        <v>702</v>
      </c>
      <c r="B78" s="1474"/>
    </row>
    <row r="79" spans="1:19">
      <c r="A79" s="1454" t="s">
        <v>708</v>
      </c>
      <c r="B79" s="1475"/>
    </row>
    <row r="80" spans="1:19">
      <c r="A80" s="1454" t="s">
        <v>713</v>
      </c>
      <c r="B80" s="1476"/>
    </row>
    <row r="81" spans="1:2" ht="15.75" thickBot="1">
      <c r="A81" s="1383" t="s">
        <v>69</v>
      </c>
      <c r="B81" s="1384"/>
    </row>
    <row r="82" spans="1:2" ht="15.75" thickTop="1"/>
    <row r="83" spans="1:2">
      <c r="A83" s="40"/>
      <c r="B83" s="1" t="s">
        <v>1454</v>
      </c>
    </row>
    <row r="84" spans="1:2">
      <c r="A84" s="41"/>
      <c r="B84" s="1" t="s">
        <v>1455</v>
      </c>
    </row>
  </sheetData>
  <mergeCells count="48">
    <mergeCell ref="A49:B49"/>
    <mergeCell ref="A53:B53"/>
    <mergeCell ref="A57:B57"/>
    <mergeCell ref="A61:B61"/>
    <mergeCell ref="A65:B65"/>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P8:Q8"/>
    <mergeCell ref="R8:S8"/>
    <mergeCell ref="H7:I7"/>
    <mergeCell ref="J7:K7"/>
    <mergeCell ref="L7:M7"/>
    <mergeCell ref="N7:O7"/>
    <mergeCell ref="P7:Q7"/>
    <mergeCell ref="R7:S7"/>
    <mergeCell ref="O38:O39"/>
    <mergeCell ref="H8:I8"/>
    <mergeCell ref="J8:K8"/>
    <mergeCell ref="L8:M8"/>
    <mergeCell ref="N8:O8"/>
  </mergeCells>
  <hyperlinks>
    <hyperlink ref="B3" location="'Cost Summary'!A1" display="BACK TO SUMMARY SHEET" xr:uid="{007ADE11-D215-434D-B25D-EB5B521BF660}"/>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7565A-E481-483E-B7BF-E2409DF29ED5}">
  <sheetPr>
    <tabColor rgb="FF00B0F0"/>
  </sheetPr>
  <dimension ref="A1:AO93"/>
  <sheetViews>
    <sheetView zoomScale="90" zoomScaleNormal="90" workbookViewId="0">
      <pane xSplit="2" ySplit="10" topLeftCell="D14" activePane="bottomRight" state="frozen"/>
      <selection pane="topRight" activeCell="C1" sqref="C1"/>
      <selection pane="bottomLeft" activeCell="A11" sqref="A11"/>
      <selection pane="bottomRight" activeCell="B4" sqref="B4"/>
    </sheetView>
  </sheetViews>
  <sheetFormatPr defaultRowHeight="15"/>
  <cols>
    <col min="1" max="1" width="11" customWidth="1"/>
    <col min="2" max="2" width="70.7109375" style="1" customWidth="1"/>
    <col min="3" max="3" width="12.7109375" style="2" customWidth="1"/>
    <col min="4" max="4" width="12.7109375" style="497" customWidth="1"/>
    <col min="5" max="5" width="7.7109375" style="68"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F1" s="275"/>
      <c r="G1" s="269" t="s">
        <v>679</v>
      </c>
      <c r="X1" s="261"/>
    </row>
    <row r="2" spans="1:24">
      <c r="F2" s="276" t="s">
        <v>680</v>
      </c>
      <c r="G2" s="269" t="s">
        <v>681</v>
      </c>
      <c r="X2" s="261"/>
    </row>
    <row r="3" spans="1:24" ht="15.75" thickBot="1">
      <c r="F3" s="277" t="s">
        <v>682</v>
      </c>
      <c r="G3" s="269" t="s">
        <v>683</v>
      </c>
      <c r="X3" s="261"/>
    </row>
    <row r="4" spans="1:24" ht="15.75" thickBot="1">
      <c r="B4" s="262" t="s">
        <v>684</v>
      </c>
      <c r="F4" s="278"/>
      <c r="G4" s="270" t="s">
        <v>685</v>
      </c>
      <c r="H4" s="2323" t="s">
        <v>686</v>
      </c>
      <c r="I4" s="2324"/>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498"/>
      <c r="E5" s="264"/>
      <c r="F5" s="279"/>
      <c r="G5" s="271" t="s">
        <v>693</v>
      </c>
      <c r="H5" s="2321" t="s">
        <v>1456</v>
      </c>
      <c r="I5" s="2322"/>
      <c r="J5" s="2321" t="s">
        <v>1457</v>
      </c>
      <c r="K5" s="2322"/>
      <c r="L5" s="2321" t="s">
        <v>1458</v>
      </c>
      <c r="M5" s="2322"/>
      <c r="N5" s="2321"/>
      <c r="O5" s="2322"/>
      <c r="P5" s="2333"/>
      <c r="Q5" s="2334"/>
      <c r="R5" s="2333"/>
      <c r="S5" s="2334"/>
      <c r="X5" s="261"/>
    </row>
    <row r="6" spans="1:24">
      <c r="A6" s="1082" t="s">
        <v>700</v>
      </c>
      <c r="B6" s="1455" t="s">
        <v>320</v>
      </c>
      <c r="C6" s="415"/>
      <c r="D6" s="499"/>
      <c r="E6" s="417"/>
      <c r="F6" s="418"/>
      <c r="G6" s="419" t="s">
        <v>702</v>
      </c>
      <c r="H6" s="2325" t="s">
        <v>1459</v>
      </c>
      <c r="I6" s="2326"/>
      <c r="J6" s="2325" t="s">
        <v>1460</v>
      </c>
      <c r="K6" s="2326"/>
      <c r="L6" s="2325" t="s">
        <v>1461</v>
      </c>
      <c r="M6" s="2326"/>
      <c r="N6" s="2325"/>
      <c r="O6" s="2326"/>
      <c r="P6" s="2313"/>
      <c r="Q6" s="2314"/>
      <c r="R6" s="2313"/>
      <c r="S6" s="2314"/>
      <c r="X6" s="261"/>
    </row>
    <row r="7" spans="1:24">
      <c r="A7" s="1082" t="s">
        <v>706</v>
      </c>
      <c r="B7" s="1456" t="s">
        <v>319</v>
      </c>
      <c r="C7" s="415"/>
      <c r="D7" s="499"/>
      <c r="E7" s="417"/>
      <c r="F7" s="418"/>
      <c r="G7" s="829" t="s">
        <v>708</v>
      </c>
      <c r="H7" s="2325" t="s">
        <v>1462</v>
      </c>
      <c r="I7" s="2326"/>
      <c r="J7" s="2325" t="s">
        <v>1463</v>
      </c>
      <c r="K7" s="2326"/>
      <c r="L7" s="2325" t="s">
        <v>1464</v>
      </c>
      <c r="M7" s="2326"/>
      <c r="N7" s="2325"/>
      <c r="O7" s="2326"/>
      <c r="P7" s="2313"/>
      <c r="Q7" s="2314"/>
      <c r="R7" s="2313"/>
      <c r="S7" s="2314"/>
      <c r="X7" s="261"/>
    </row>
    <row r="8" spans="1:24">
      <c r="A8" s="1082" t="s">
        <v>712</v>
      </c>
      <c r="B8" s="1457"/>
      <c r="C8" s="415"/>
      <c r="D8" s="499"/>
      <c r="E8" s="417"/>
      <c r="F8" s="418"/>
      <c r="G8" s="829" t="s">
        <v>713</v>
      </c>
      <c r="H8" s="2327" t="s">
        <v>1465</v>
      </c>
      <c r="I8" s="2328"/>
      <c r="J8" s="2327" t="s">
        <v>1466</v>
      </c>
      <c r="K8" s="2328"/>
      <c r="L8" s="2327" t="s">
        <v>1467</v>
      </c>
      <c r="M8" s="2328"/>
      <c r="N8" s="2329"/>
      <c r="O8" s="2328"/>
      <c r="P8" s="2315"/>
      <c r="Q8" s="2316"/>
      <c r="R8" s="2315"/>
      <c r="S8" s="2316"/>
      <c r="X8" s="261"/>
    </row>
    <row r="9" spans="1:24" ht="15.75" thickBot="1">
      <c r="A9" s="420"/>
      <c r="B9" s="421"/>
      <c r="C9" s="23"/>
      <c r="D9" s="500"/>
      <c r="E9" s="266"/>
      <c r="F9" s="283"/>
      <c r="G9" s="284" t="s">
        <v>717</v>
      </c>
      <c r="H9" s="2317">
        <f>I56</f>
        <v>558065.19374999998</v>
      </c>
      <c r="I9" s="2318"/>
      <c r="J9" s="2317">
        <f>K56</f>
        <v>0</v>
      </c>
      <c r="K9" s="2318"/>
      <c r="L9" s="2317">
        <f>M56</f>
        <v>93400.1</v>
      </c>
      <c r="M9" s="2318"/>
      <c r="N9" s="2330">
        <f>O56</f>
        <v>0</v>
      </c>
      <c r="O9" s="2330"/>
      <c r="P9" s="2317">
        <f>Q56</f>
        <v>0</v>
      </c>
      <c r="Q9" s="2318"/>
      <c r="R9" s="2317">
        <f>S56</f>
        <v>0</v>
      </c>
      <c r="S9" s="2318"/>
      <c r="X9" s="261"/>
    </row>
    <row r="10" spans="1:24" s="267" customFormat="1" ht="32.1" customHeight="1" thickBot="1">
      <c r="A10" s="293"/>
      <c r="B10" s="300"/>
      <c r="C10" s="295" t="s">
        <v>718</v>
      </c>
      <c r="D10" s="501"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c r="A11" s="1412"/>
      <c r="B11" s="1233" t="s">
        <v>725</v>
      </c>
      <c r="C11" s="1396"/>
      <c r="D11" s="1492"/>
      <c r="E11" s="1415"/>
      <c r="F11" s="1416"/>
      <c r="G11" s="1417"/>
      <c r="H11" s="1539"/>
      <c r="I11" s="1419"/>
      <c r="J11" s="1539"/>
      <c r="K11" s="1420"/>
      <c r="L11" s="1539"/>
      <c r="M11" s="348"/>
      <c r="N11" s="1539"/>
      <c r="O11" s="1419"/>
      <c r="P11" s="1539"/>
      <c r="Q11" s="1419"/>
      <c r="R11" s="1539"/>
      <c r="S11" s="1419"/>
    </row>
    <row r="12" spans="1:24">
      <c r="A12" s="1412"/>
      <c r="B12" s="1485" t="s">
        <v>726</v>
      </c>
      <c r="C12" s="415"/>
      <c r="D12" s="499"/>
      <c r="E12" s="417"/>
      <c r="F12" s="418"/>
      <c r="G12" s="423"/>
      <c r="H12" s="1459" t="s">
        <v>727</v>
      </c>
      <c r="I12" s="1419"/>
      <c r="J12" s="1486"/>
      <c r="K12" s="1420"/>
      <c r="L12" s="1486"/>
      <c r="M12" s="1419"/>
      <c r="N12" s="1486"/>
      <c r="O12" s="1419"/>
      <c r="P12" s="1486"/>
      <c r="Q12" s="1419"/>
      <c r="R12" s="1486"/>
      <c r="S12" s="1419"/>
    </row>
    <row r="13" spans="1:24">
      <c r="A13" s="1097"/>
      <c r="B13" s="1485" t="s">
        <v>728</v>
      </c>
      <c r="C13" s="415"/>
      <c r="D13" s="499"/>
      <c r="E13" s="417"/>
      <c r="F13" s="418"/>
      <c r="G13" s="423"/>
      <c r="H13" s="1459" t="s">
        <v>727</v>
      </c>
      <c r="I13" s="1419"/>
      <c r="J13" s="1486"/>
      <c r="K13" s="1420"/>
      <c r="L13" s="1486"/>
      <c r="M13" s="1419"/>
      <c r="N13" s="1486"/>
      <c r="O13" s="1419"/>
      <c r="P13" s="1486"/>
      <c r="Q13" s="1419"/>
      <c r="R13" s="1486"/>
      <c r="S13" s="1419"/>
    </row>
    <row r="14" spans="1:24">
      <c r="A14" s="1412"/>
      <c r="B14" s="1487" t="s">
        <v>729</v>
      </c>
      <c r="C14" s="415"/>
      <c r="D14" s="499"/>
      <c r="E14" s="417"/>
      <c r="F14" s="418"/>
      <c r="G14" s="423"/>
      <c r="H14" s="1459" t="s">
        <v>730</v>
      </c>
      <c r="I14" s="1440" t="s">
        <v>837</v>
      </c>
      <c r="J14" s="1486"/>
      <c r="K14" s="1420"/>
      <c r="L14" s="1486"/>
      <c r="M14" s="1419"/>
      <c r="N14" s="1486"/>
      <c r="O14" s="1419"/>
      <c r="P14" s="1486"/>
      <c r="Q14" s="1419"/>
      <c r="R14" s="1486"/>
      <c r="S14" s="1419"/>
    </row>
    <row r="15" spans="1:24">
      <c r="A15" s="1097"/>
      <c r="B15" s="1487" t="s">
        <v>731</v>
      </c>
      <c r="C15" s="415"/>
      <c r="D15" s="499"/>
      <c r="E15" s="417"/>
      <c r="F15" s="418"/>
      <c r="G15" s="423"/>
      <c r="H15" s="1459" t="s">
        <v>727</v>
      </c>
      <c r="I15" s="1420"/>
      <c r="J15" s="1486"/>
      <c r="K15" s="1420"/>
      <c r="L15" s="1486"/>
      <c r="M15" s="1420"/>
      <c r="N15" s="1486"/>
      <c r="O15" s="1420"/>
      <c r="P15" s="1486"/>
      <c r="Q15" s="1420"/>
      <c r="R15" s="1486"/>
      <c r="S15" s="1420"/>
    </row>
    <row r="16" spans="1:24">
      <c r="A16" s="1412"/>
      <c r="B16" s="1487" t="s">
        <v>732</v>
      </c>
      <c r="C16" s="415"/>
      <c r="D16" s="499"/>
      <c r="E16" s="417"/>
      <c r="F16" s="418"/>
      <c r="G16" s="423"/>
      <c r="H16" s="1459" t="s">
        <v>727</v>
      </c>
      <c r="I16" s="1419"/>
      <c r="J16" s="1486"/>
      <c r="K16" s="1420"/>
      <c r="L16" s="1486"/>
      <c r="M16" s="1419"/>
      <c r="N16" s="1486"/>
      <c r="O16" s="1419"/>
      <c r="P16" s="1486"/>
      <c r="Q16" s="1419"/>
      <c r="R16" s="1486"/>
      <c r="S16" s="1419"/>
    </row>
    <row r="17" spans="1:41">
      <c r="A17" s="1097"/>
      <c r="B17" s="1487" t="s">
        <v>733</v>
      </c>
      <c r="C17" s="415"/>
      <c r="D17" s="499"/>
      <c r="E17" s="417"/>
      <c r="F17" s="418"/>
      <c r="G17" s="423"/>
      <c r="H17" s="1459" t="s">
        <v>727</v>
      </c>
      <c r="I17" s="1419"/>
      <c r="J17" s="1486"/>
      <c r="K17" s="1420"/>
      <c r="L17" s="1486"/>
      <c r="M17" s="1419"/>
      <c r="N17" s="1486"/>
      <c r="O17" s="1419"/>
      <c r="P17" s="1486"/>
      <c r="Q17" s="1419"/>
      <c r="R17" s="1486"/>
      <c r="S17" s="1419"/>
    </row>
    <row r="18" spans="1:41">
      <c r="A18" s="1412"/>
      <c r="B18" s="726" t="s">
        <v>734</v>
      </c>
      <c r="C18" s="415"/>
      <c r="D18" s="499"/>
      <c r="E18" s="417"/>
      <c r="F18" s="418"/>
      <c r="G18" s="423"/>
      <c r="H18" s="1459" t="s">
        <v>730</v>
      </c>
      <c r="I18" s="1419"/>
      <c r="J18" s="1486"/>
      <c r="K18" s="1420"/>
      <c r="L18" s="1486"/>
      <c r="M18" s="1419"/>
      <c r="N18" s="1486"/>
      <c r="O18" s="1419"/>
      <c r="P18" s="1486"/>
      <c r="Q18" s="1419"/>
      <c r="R18" s="1486"/>
      <c r="S18" s="1419"/>
    </row>
    <row r="19" spans="1:41">
      <c r="A19" s="1412"/>
      <c r="B19" s="1099" t="s">
        <v>736</v>
      </c>
      <c r="C19" s="415"/>
      <c r="D19" s="499"/>
      <c r="E19" s="417"/>
      <c r="F19" s="418"/>
      <c r="G19" s="423"/>
      <c r="H19" s="1486"/>
      <c r="I19" s="1419"/>
      <c r="J19" s="1486"/>
      <c r="K19" s="1420"/>
      <c r="L19" s="1486"/>
      <c r="M19" s="1419"/>
      <c r="N19" s="1486"/>
      <c r="O19" s="1419"/>
      <c r="P19" s="1486"/>
      <c r="Q19" s="1419"/>
      <c r="R19" s="1486"/>
      <c r="S19" s="1419"/>
    </row>
    <row r="20" spans="1:41">
      <c r="A20" s="1097"/>
      <c r="B20" s="1441" t="s">
        <v>737</v>
      </c>
      <c r="C20" s="424"/>
      <c r="D20" s="502"/>
      <c r="E20" s="449"/>
      <c r="F20" s="426"/>
      <c r="G20" s="427"/>
      <c r="H20" s="1101"/>
      <c r="I20" s="1422">
        <v>546180</v>
      </c>
      <c r="J20" s="1101"/>
      <c r="K20" s="1423"/>
      <c r="L20" s="1101"/>
      <c r="M20" s="1422"/>
      <c r="N20" s="1101"/>
      <c r="O20" s="1422"/>
      <c r="P20" s="1101"/>
      <c r="Q20" s="1422"/>
      <c r="R20" s="1101"/>
      <c r="S20" s="1422"/>
    </row>
    <row r="21" spans="1:41">
      <c r="A21" s="1412"/>
      <c r="B21" s="1461"/>
      <c r="C21" s="23"/>
      <c r="D21" s="500"/>
      <c r="E21" s="266"/>
      <c r="F21" s="280"/>
      <c r="G21" s="274"/>
      <c r="H21" s="1486"/>
      <c r="I21" s="428"/>
      <c r="J21" s="1486"/>
      <c r="K21" s="428"/>
      <c r="L21" s="1486"/>
      <c r="M21" s="428"/>
      <c r="N21" s="1486"/>
      <c r="O21" s="428"/>
      <c r="P21" s="1486"/>
      <c r="Q21" s="428"/>
      <c r="R21" s="1486"/>
      <c r="S21" s="428"/>
    </row>
    <row r="22" spans="1:41">
      <c r="A22" s="1412"/>
      <c r="B22" s="1105" t="s">
        <v>1468</v>
      </c>
      <c r="C22" s="23"/>
      <c r="D22" s="500">
        <v>3</v>
      </c>
      <c r="E22" s="266" t="s">
        <v>468</v>
      </c>
      <c r="F22" s="280"/>
      <c r="G22" s="274"/>
      <c r="H22" s="1486" t="s">
        <v>682</v>
      </c>
      <c r="I22" s="428"/>
      <c r="J22" s="1486"/>
      <c r="K22" s="461"/>
      <c r="L22" s="1486"/>
      <c r="M22" s="428">
        <v>93400.1</v>
      </c>
      <c r="N22" s="1486"/>
      <c r="O22" s="461"/>
      <c r="P22" s="1486"/>
      <c r="Q22" s="461"/>
      <c r="R22" s="1486"/>
      <c r="S22" s="428"/>
    </row>
    <row r="23" spans="1:41" s="69" customFormat="1">
      <c r="A23" s="1097"/>
      <c r="B23" s="1540" t="s">
        <v>1469</v>
      </c>
      <c r="C23" s="415"/>
      <c r="D23" s="499"/>
      <c r="E23" s="417"/>
      <c r="F23" s="429"/>
      <c r="G23" s="423"/>
      <c r="H23" s="1486"/>
      <c r="I23" s="1106"/>
      <c r="J23" s="1486"/>
      <c r="K23" s="1107"/>
      <c r="L23" s="1486" t="s">
        <v>682</v>
      </c>
      <c r="M23" s="1106"/>
      <c r="N23" s="1486"/>
      <c r="O23" s="1107"/>
      <c r="P23" s="1486"/>
      <c r="Q23" s="1107"/>
      <c r="R23" s="1486"/>
      <c r="S23" s="1106"/>
      <c r="T23"/>
      <c r="U23"/>
      <c r="V23"/>
      <c r="W23"/>
      <c r="X23"/>
      <c r="Y23"/>
      <c r="Z23"/>
      <c r="AA23"/>
      <c r="AB23"/>
      <c r="AC23"/>
      <c r="AD23"/>
      <c r="AE23"/>
      <c r="AF23"/>
      <c r="AG23"/>
      <c r="AH23"/>
      <c r="AI23"/>
      <c r="AJ23"/>
      <c r="AK23"/>
      <c r="AL23"/>
      <c r="AM23"/>
      <c r="AN23"/>
      <c r="AO23"/>
    </row>
    <row r="24" spans="1:41">
      <c r="A24" s="1412"/>
      <c r="B24" s="1541" t="s">
        <v>1470</v>
      </c>
      <c r="C24" s="415"/>
      <c r="D24" s="499"/>
      <c r="E24" s="417"/>
      <c r="F24" s="429"/>
      <c r="G24" s="1417"/>
      <c r="H24" s="1486" t="s">
        <v>682</v>
      </c>
      <c r="I24" s="1419"/>
      <c r="J24" s="1486"/>
      <c r="K24" s="1542"/>
      <c r="L24" s="1486" t="s">
        <v>682</v>
      </c>
      <c r="M24" s="1419"/>
      <c r="N24" s="1486"/>
      <c r="O24" s="1542"/>
      <c r="P24" s="1486"/>
      <c r="Q24" s="1542"/>
      <c r="R24" s="1486"/>
      <c r="S24" s="1419"/>
    </row>
    <row r="25" spans="1:41">
      <c r="A25" s="1412"/>
      <c r="B25" s="1541" t="s">
        <v>1471</v>
      </c>
      <c r="C25" s="415"/>
      <c r="D25" s="499"/>
      <c r="E25" s="417"/>
      <c r="F25" s="429"/>
      <c r="G25" s="1417"/>
      <c r="H25" s="1486" t="s">
        <v>682</v>
      </c>
      <c r="I25" s="1419"/>
      <c r="J25" s="1486"/>
      <c r="K25" s="1542"/>
      <c r="L25" s="1486" t="s">
        <v>682</v>
      </c>
      <c r="M25" s="1419"/>
      <c r="N25" s="1486"/>
      <c r="O25" s="1542"/>
      <c r="P25" s="1486"/>
      <c r="Q25" s="1542"/>
      <c r="R25" s="1486"/>
      <c r="S25" s="1419"/>
    </row>
    <row r="26" spans="1:41">
      <c r="A26" s="1412"/>
      <c r="B26" s="1541" t="s">
        <v>1472</v>
      </c>
      <c r="C26" s="415"/>
      <c r="D26" s="499"/>
      <c r="E26" s="417"/>
      <c r="F26" s="429"/>
      <c r="G26" s="1417"/>
      <c r="H26" s="1486" t="s">
        <v>682</v>
      </c>
      <c r="I26" s="1419"/>
      <c r="J26" s="1486"/>
      <c r="K26" s="1542"/>
      <c r="L26" s="1486" t="s">
        <v>682</v>
      </c>
      <c r="M26" s="1419"/>
      <c r="N26" s="1486"/>
      <c r="O26" s="1542"/>
      <c r="P26" s="1486"/>
      <c r="Q26" s="1542"/>
      <c r="R26" s="1486"/>
      <c r="S26" s="1419"/>
    </row>
    <row r="27" spans="1:41">
      <c r="A27" s="1412"/>
      <c r="B27" s="1543" t="s">
        <v>1473</v>
      </c>
      <c r="C27" s="415"/>
      <c r="D27" s="499">
        <v>1568</v>
      </c>
      <c r="E27" s="417" t="s">
        <v>511</v>
      </c>
      <c r="F27" s="429">
        <v>5</v>
      </c>
      <c r="G27" s="1417">
        <f>D27*F27</f>
        <v>7840</v>
      </c>
      <c r="H27" s="1486"/>
      <c r="I27" s="1430">
        <f>$G27</f>
        <v>7840</v>
      </c>
      <c r="J27" s="1486"/>
      <c r="K27" s="1542"/>
      <c r="L27" s="1486" t="s">
        <v>682</v>
      </c>
      <c r="M27" s="1106"/>
      <c r="N27" s="1486"/>
      <c r="O27" s="1542"/>
      <c r="P27" s="1486"/>
      <c r="Q27" s="1542"/>
      <c r="R27" s="1486"/>
      <c r="S27" s="1419"/>
    </row>
    <row r="28" spans="1:41">
      <c r="A28" s="1412"/>
      <c r="B28" s="1543" t="s">
        <v>1180</v>
      </c>
      <c r="C28" s="415"/>
      <c r="D28" s="499"/>
      <c r="E28" s="417"/>
      <c r="F28" s="429"/>
      <c r="G28" s="1417"/>
      <c r="H28" s="1486" t="s">
        <v>682</v>
      </c>
      <c r="I28" s="1419"/>
      <c r="J28" s="1486"/>
      <c r="K28" s="1542"/>
      <c r="L28" s="1486"/>
      <c r="M28" s="1430"/>
      <c r="N28" s="1486"/>
      <c r="O28" s="1542"/>
      <c r="P28" s="1486"/>
      <c r="Q28" s="1542"/>
      <c r="R28" s="1486"/>
      <c r="S28" s="1419"/>
    </row>
    <row r="29" spans="1:41">
      <c r="A29" s="1412"/>
      <c r="B29" s="1541"/>
      <c r="C29" s="415"/>
      <c r="D29" s="504"/>
      <c r="E29" s="417"/>
      <c r="F29" s="431"/>
      <c r="G29" s="1402"/>
      <c r="H29" s="1486"/>
      <c r="I29" s="1419"/>
      <c r="J29" s="1486"/>
      <c r="K29" s="1419"/>
      <c r="L29" s="1486"/>
      <c r="M29" s="1419"/>
      <c r="N29" s="1486"/>
      <c r="O29" s="1419"/>
      <c r="P29" s="1486"/>
      <c r="Q29" s="1419"/>
      <c r="R29" s="1486"/>
      <c r="S29" s="1419"/>
    </row>
    <row r="30" spans="1:41">
      <c r="A30" s="1097"/>
      <c r="B30" s="1544" t="s">
        <v>1474</v>
      </c>
      <c r="C30" s="415"/>
      <c r="D30" s="504">
        <v>1</v>
      </c>
      <c r="E30" s="417" t="s">
        <v>1475</v>
      </c>
      <c r="F30" s="431"/>
      <c r="G30" s="1402"/>
      <c r="H30" s="1486" t="s">
        <v>682</v>
      </c>
      <c r="I30" s="1419"/>
      <c r="J30" s="1486"/>
      <c r="K30" s="1419"/>
      <c r="L30" s="1486"/>
      <c r="M30" s="1419"/>
      <c r="N30" s="1486"/>
      <c r="O30" s="1419"/>
      <c r="P30" s="1486"/>
      <c r="Q30" s="1419"/>
      <c r="R30" s="1486"/>
      <c r="S30" s="1419"/>
    </row>
    <row r="31" spans="1:41">
      <c r="A31" s="1412"/>
      <c r="B31" s="1541" t="s">
        <v>1476</v>
      </c>
      <c r="C31" s="415"/>
      <c r="D31" s="504"/>
      <c r="E31" s="417"/>
      <c r="F31" s="431"/>
      <c r="G31" s="1402"/>
      <c r="H31" s="1486"/>
      <c r="I31" s="1419"/>
      <c r="J31" s="1486"/>
      <c r="K31" s="1419"/>
      <c r="L31" s="1486"/>
      <c r="M31" s="1419"/>
      <c r="N31" s="1486"/>
      <c r="O31" s="1419"/>
      <c r="P31" s="1486"/>
      <c r="Q31" s="1419"/>
      <c r="R31" s="1486"/>
      <c r="S31" s="1419"/>
    </row>
    <row r="32" spans="1:41">
      <c r="A32" s="1097"/>
      <c r="B32" s="1541" t="s">
        <v>1470</v>
      </c>
      <c r="C32" s="415"/>
      <c r="D32" s="504"/>
      <c r="E32" s="417"/>
      <c r="F32" s="431"/>
      <c r="G32" s="1402"/>
      <c r="H32" s="1486" t="s">
        <v>682</v>
      </c>
      <c r="I32" s="1419"/>
      <c r="J32" s="1486"/>
      <c r="K32" s="1419"/>
      <c r="L32" s="1486"/>
      <c r="M32" s="1419"/>
      <c r="N32" s="1486"/>
      <c r="O32" s="1419"/>
      <c r="P32" s="1486"/>
      <c r="Q32" s="1419"/>
      <c r="R32" s="1486"/>
      <c r="S32" s="1419"/>
    </row>
    <row r="33" spans="1:19">
      <c r="A33" s="1412"/>
      <c r="B33" s="1541" t="s">
        <v>1471</v>
      </c>
      <c r="C33" s="415"/>
      <c r="D33" s="504"/>
      <c r="E33" s="417"/>
      <c r="F33" s="431"/>
      <c r="G33" s="1402"/>
      <c r="H33" s="1486" t="s">
        <v>682</v>
      </c>
      <c r="I33" s="1419"/>
      <c r="J33" s="1486"/>
      <c r="K33" s="1419"/>
      <c r="L33" s="1486"/>
      <c r="M33" s="1419"/>
      <c r="N33" s="1486"/>
      <c r="O33" s="1419"/>
      <c r="P33" s="1486"/>
      <c r="Q33" s="1419"/>
      <c r="R33" s="1486"/>
      <c r="S33" s="1419"/>
    </row>
    <row r="34" spans="1:19">
      <c r="A34" s="1412"/>
      <c r="B34" s="1543" t="s">
        <v>1473</v>
      </c>
      <c r="C34" s="415"/>
      <c r="D34" s="499">
        <f>14.5*8.75*2</f>
        <v>253.75</v>
      </c>
      <c r="E34" s="417" t="s">
        <v>511</v>
      </c>
      <c r="F34" s="429">
        <v>5</v>
      </c>
      <c r="G34" s="1417">
        <f>D34*F34</f>
        <v>1268.75</v>
      </c>
      <c r="H34" s="1486"/>
      <c r="I34" s="1430">
        <f>$G34</f>
        <v>1268.75</v>
      </c>
      <c r="J34" s="1486"/>
      <c r="K34" s="1419"/>
      <c r="L34" s="1486"/>
      <c r="M34" s="1419"/>
      <c r="N34" s="1486"/>
      <c r="O34" s="1419"/>
      <c r="P34" s="1486"/>
      <c r="Q34" s="1419"/>
      <c r="R34" s="1486"/>
      <c r="S34" s="1419"/>
    </row>
    <row r="35" spans="1:19">
      <c r="A35" s="1097"/>
      <c r="B35" s="1543" t="s">
        <v>1180</v>
      </c>
      <c r="C35" s="415"/>
      <c r="D35" s="504"/>
      <c r="E35" s="417"/>
      <c r="F35" s="431"/>
      <c r="G35" s="1402"/>
      <c r="H35" s="1486" t="s">
        <v>682</v>
      </c>
      <c r="I35" s="1419"/>
      <c r="J35" s="1486"/>
      <c r="K35" s="1419"/>
      <c r="L35" s="1486"/>
      <c r="M35" s="1430"/>
      <c r="N35" s="1486"/>
      <c r="O35" s="1419"/>
      <c r="P35" s="1486"/>
      <c r="Q35" s="1419"/>
      <c r="R35" s="1486"/>
      <c r="S35" s="1419"/>
    </row>
    <row r="36" spans="1:19">
      <c r="A36" s="1097"/>
      <c r="B36" s="1541"/>
      <c r="C36" s="415"/>
      <c r="D36" s="504"/>
      <c r="E36" s="417"/>
      <c r="F36" s="431"/>
      <c r="G36" s="1402"/>
      <c r="H36" s="1486"/>
      <c r="I36" s="1419"/>
      <c r="J36" s="1486"/>
      <c r="K36" s="1419"/>
      <c r="L36" s="1486"/>
      <c r="M36" s="1419"/>
      <c r="N36" s="1486"/>
      <c r="O36" s="1419"/>
      <c r="P36" s="1486"/>
      <c r="Q36" s="1419"/>
      <c r="R36" s="1486"/>
      <c r="S36" s="1419"/>
    </row>
    <row r="37" spans="1:19">
      <c r="A37" s="1412"/>
      <c r="B37" s="1247"/>
      <c r="C37" s="23"/>
      <c r="D37" s="504"/>
      <c r="E37" s="417"/>
      <c r="F37" s="431"/>
      <c r="G37" s="1402"/>
      <c r="H37" s="1486"/>
      <c r="I37" s="1419"/>
      <c r="J37" s="1486"/>
      <c r="K37" s="1419"/>
      <c r="L37" s="1486"/>
      <c r="M37" s="1419"/>
      <c r="N37" s="1486"/>
      <c r="O37" s="1419"/>
      <c r="P37" s="1486"/>
      <c r="Q37" s="1419"/>
      <c r="R37" s="1486"/>
      <c r="S37" s="1419"/>
    </row>
    <row r="38" spans="1:19">
      <c r="A38" s="1097"/>
      <c r="B38" s="1247"/>
      <c r="C38" s="23"/>
      <c r="D38" s="503">
        <f>D27+D34</f>
        <v>1821.75</v>
      </c>
      <c r="E38" s="266" t="s">
        <v>511</v>
      </c>
      <c r="F38" s="431">
        <f>H9/D38</f>
        <v>306.33467476327706</v>
      </c>
      <c r="G38" s="1417">
        <f>D38*F38</f>
        <v>558065.19374999998</v>
      </c>
      <c r="H38" s="1486"/>
      <c r="I38" s="1419"/>
      <c r="J38" s="1486"/>
      <c r="K38" s="1419"/>
      <c r="L38" s="1486"/>
      <c r="M38" s="1419"/>
      <c r="N38" s="1486"/>
      <c r="O38" s="1419"/>
      <c r="P38" s="1486"/>
      <c r="Q38" s="1419"/>
      <c r="R38" s="1486"/>
      <c r="S38" s="1419"/>
    </row>
    <row r="39" spans="1:19">
      <c r="A39" s="1412"/>
      <c r="B39" s="1105" t="s">
        <v>1468</v>
      </c>
      <c r="C39" s="23"/>
      <c r="D39" s="503">
        <f>D27</f>
        <v>1568</v>
      </c>
      <c r="E39" s="266" t="s">
        <v>511</v>
      </c>
      <c r="F39" s="431">
        <f>F38</f>
        <v>306.33467476327706</v>
      </c>
      <c r="G39" s="1417">
        <f>D39*F39</f>
        <v>480332.77002881846</v>
      </c>
      <c r="H39" s="1486"/>
      <c r="I39" s="1419"/>
      <c r="J39" s="1486"/>
      <c r="K39" s="1419"/>
      <c r="L39" s="1486"/>
      <c r="M39" s="1419"/>
      <c r="N39" s="1486"/>
      <c r="O39" s="1419"/>
      <c r="P39" s="1486"/>
      <c r="Q39" s="1419"/>
      <c r="R39" s="1486"/>
      <c r="S39" s="1419"/>
    </row>
    <row r="40" spans="1:19">
      <c r="A40" s="1412"/>
      <c r="B40" s="1544" t="s">
        <v>1474</v>
      </c>
      <c r="C40" s="23"/>
      <c r="D40" s="503">
        <f>D34</f>
        <v>253.75</v>
      </c>
      <c r="E40" s="266" t="s">
        <v>511</v>
      </c>
      <c r="F40" s="431">
        <f>F38</f>
        <v>306.33467476327706</v>
      </c>
      <c r="G40" s="1417">
        <f>D40*F40</f>
        <v>77732.423721181549</v>
      </c>
      <c r="H40" s="1486"/>
      <c r="I40" s="1419"/>
      <c r="J40" s="1486"/>
      <c r="K40" s="1419"/>
      <c r="L40" s="1486"/>
      <c r="M40" s="1419"/>
      <c r="N40" s="1486"/>
      <c r="O40" s="1419"/>
      <c r="P40" s="1486"/>
      <c r="Q40" s="1419"/>
      <c r="R40" s="1486"/>
      <c r="S40" s="1419"/>
    </row>
    <row r="41" spans="1:19">
      <c r="A41" s="1412"/>
      <c r="B41" s="1113"/>
      <c r="C41" s="23"/>
      <c r="D41" s="503"/>
      <c r="E41" s="266"/>
      <c r="F41" s="431"/>
      <c r="G41" s="1402"/>
      <c r="H41" s="1486"/>
      <c r="I41" s="1419"/>
      <c r="J41" s="1486"/>
      <c r="K41" s="1419"/>
      <c r="L41" s="1486"/>
      <c r="M41" s="1419"/>
      <c r="N41" s="1486"/>
      <c r="O41" s="1419"/>
      <c r="P41" s="1486"/>
      <c r="Q41" s="1419"/>
      <c r="R41" s="1486"/>
      <c r="S41" s="1419"/>
    </row>
    <row r="42" spans="1:19">
      <c r="A42" s="1412"/>
      <c r="B42" s="1113"/>
      <c r="C42" s="23"/>
      <c r="D42" s="675"/>
      <c r="E42" s="266"/>
      <c r="F42" s="431"/>
      <c r="G42" s="1402"/>
      <c r="H42" s="1486"/>
      <c r="I42" s="1419"/>
      <c r="J42" s="1486"/>
      <c r="K42" s="1419"/>
      <c r="L42" s="1486"/>
      <c r="M42" s="1419"/>
      <c r="N42" s="1486"/>
      <c r="O42" s="1419"/>
      <c r="P42" s="1486"/>
      <c r="Q42" s="1419"/>
      <c r="R42" s="1486"/>
      <c r="S42" s="1419"/>
    </row>
    <row r="43" spans="1:19">
      <c r="A43" s="1412"/>
      <c r="B43" s="1113"/>
      <c r="C43" s="23"/>
      <c r="D43" s="503"/>
      <c r="E43" s="266"/>
      <c r="F43" s="431"/>
      <c r="G43" s="1402"/>
      <c r="H43" s="1486"/>
      <c r="I43" s="1419"/>
      <c r="J43" s="1486"/>
      <c r="K43" s="1419"/>
      <c r="L43" s="1486"/>
      <c r="M43" s="1419"/>
      <c r="N43" s="1486"/>
      <c r="O43" s="1419"/>
      <c r="P43" s="1486"/>
      <c r="Q43" s="1419"/>
      <c r="R43" s="1486"/>
      <c r="S43" s="1419"/>
    </row>
    <row r="44" spans="1:19">
      <c r="A44" s="1412"/>
      <c r="B44" s="1113"/>
      <c r="C44" s="23"/>
      <c r="D44" s="503"/>
      <c r="E44" s="266"/>
      <c r="F44" s="431"/>
      <c r="G44" s="1402"/>
      <c r="H44" s="1486"/>
      <c r="I44" s="1419"/>
      <c r="J44" s="1486"/>
      <c r="K44" s="1419"/>
      <c r="L44" s="1486"/>
      <c r="M44" s="1419"/>
      <c r="N44" s="1486"/>
      <c r="O44" s="1419"/>
      <c r="P44" s="1486"/>
      <c r="Q44" s="1419"/>
      <c r="R44" s="1486"/>
      <c r="S44" s="1419"/>
    </row>
    <row r="45" spans="1:19">
      <c r="A45" s="1412"/>
      <c r="B45" s="1113"/>
      <c r="C45" s="23"/>
      <c r="D45" s="503"/>
      <c r="E45" s="266"/>
      <c r="F45" s="431"/>
      <c r="G45" s="1402"/>
      <c r="H45" s="1486"/>
      <c r="I45" s="1419"/>
      <c r="J45" s="1486"/>
      <c r="K45" s="1419"/>
      <c r="L45" s="1486"/>
      <c r="M45" s="1419"/>
      <c r="N45" s="1486"/>
      <c r="O45" s="1419"/>
      <c r="P45" s="1486"/>
      <c r="Q45" s="1419"/>
      <c r="R45" s="1486"/>
      <c r="S45" s="1419"/>
    </row>
    <row r="46" spans="1:19">
      <c r="A46" s="1412"/>
      <c r="B46" s="1113"/>
      <c r="C46" s="23"/>
      <c r="D46" s="503"/>
      <c r="E46" s="266"/>
      <c r="F46" s="431"/>
      <c r="G46" s="1402"/>
      <c r="H46" s="1486"/>
      <c r="I46" s="1419"/>
      <c r="J46" s="1486"/>
      <c r="K46" s="1419"/>
      <c r="L46" s="1486"/>
      <c r="M46" s="1419"/>
      <c r="N46" s="1486"/>
      <c r="O46" s="1419"/>
      <c r="P46" s="1486"/>
      <c r="Q46" s="1419"/>
      <c r="R46" s="1486"/>
      <c r="S46" s="1419"/>
    </row>
    <row r="47" spans="1:19">
      <c r="A47" s="1412"/>
      <c r="B47" s="1113"/>
      <c r="C47" s="23"/>
      <c r="D47" s="503"/>
      <c r="E47" s="266"/>
      <c r="F47" s="431"/>
      <c r="G47" s="1402"/>
      <c r="H47" s="1486"/>
      <c r="I47" s="1419"/>
      <c r="J47" s="1486"/>
      <c r="K47" s="1419"/>
      <c r="L47" s="1486"/>
      <c r="M47" s="1419"/>
      <c r="N47" s="1486"/>
      <c r="O47" s="1419"/>
      <c r="P47" s="1486"/>
      <c r="Q47" s="1419"/>
      <c r="R47" s="1486"/>
      <c r="S47" s="1419"/>
    </row>
    <row r="48" spans="1:19">
      <c r="A48" s="1412"/>
      <c r="B48" s="1113"/>
      <c r="C48" s="23"/>
      <c r="D48" s="503"/>
      <c r="E48" s="266"/>
      <c r="F48" s="431"/>
      <c r="G48" s="1402"/>
      <c r="H48" s="1486"/>
      <c r="I48" s="1419"/>
      <c r="J48" s="1486"/>
      <c r="K48" s="1419"/>
      <c r="L48" s="1486"/>
      <c r="M48" s="1419"/>
      <c r="N48" s="1486"/>
      <c r="O48" s="1419"/>
      <c r="P48" s="1486"/>
      <c r="Q48" s="1419"/>
      <c r="R48" s="1486"/>
      <c r="S48" s="1419"/>
    </row>
    <row r="49" spans="1:34">
      <c r="A49" s="1412"/>
      <c r="B49" s="1113"/>
      <c r="C49" s="23"/>
      <c r="D49" s="503"/>
      <c r="E49" s="266"/>
      <c r="F49" s="431"/>
      <c r="G49" s="1402"/>
      <c r="H49" s="1486"/>
      <c r="I49" s="1419"/>
      <c r="J49" s="1486"/>
      <c r="K49" s="1419"/>
      <c r="L49" s="1486"/>
      <c r="M49" s="1419"/>
      <c r="N49" s="1486"/>
      <c r="O49" s="1419"/>
      <c r="P49" s="1486"/>
      <c r="Q49" s="1419"/>
      <c r="R49" s="1486"/>
      <c r="S49" s="1419"/>
    </row>
    <row r="50" spans="1:34">
      <c r="A50" s="1412"/>
      <c r="B50" s="1113"/>
      <c r="C50" s="23"/>
      <c r="D50" s="503"/>
      <c r="E50" s="266"/>
      <c r="F50" s="431"/>
      <c r="G50" s="830"/>
      <c r="H50" s="1486"/>
      <c r="I50" s="1419"/>
      <c r="J50" s="1486"/>
      <c r="K50" s="1419"/>
      <c r="L50" s="1486"/>
      <c r="M50" s="1419"/>
      <c r="N50" s="1486"/>
      <c r="O50" s="1419"/>
      <c r="P50" s="1486"/>
      <c r="Q50" s="1419"/>
      <c r="R50" s="1486"/>
      <c r="S50" s="1419"/>
    </row>
    <row r="51" spans="1:34" ht="15.75" thickBot="1">
      <c r="A51" s="1412"/>
      <c r="B51" s="1113"/>
      <c r="C51" s="23"/>
      <c r="D51" s="503"/>
      <c r="E51" s="266"/>
      <c r="F51" s="431"/>
      <c r="G51" s="830"/>
      <c r="H51" s="1486"/>
      <c r="I51" s="1419"/>
      <c r="J51" s="1486"/>
      <c r="K51" s="1419"/>
      <c r="L51" s="1486"/>
      <c r="M51" s="1419"/>
      <c r="N51" s="1486"/>
      <c r="O51" s="1419"/>
      <c r="P51" s="1486"/>
      <c r="Q51" s="1419"/>
      <c r="R51" s="1486"/>
      <c r="S51" s="1419"/>
    </row>
    <row r="52" spans="1:34" ht="15.75" thickTop="1">
      <c r="A52" s="296"/>
      <c r="B52" s="301"/>
      <c r="C52" s="297"/>
      <c r="D52" s="505"/>
      <c r="E52" s="349"/>
      <c r="F52" s="282" t="s">
        <v>753</v>
      </c>
      <c r="G52" s="272"/>
      <c r="H52" s="273"/>
      <c r="I52" s="273">
        <f>SUM(I20:I51)</f>
        <v>555288.75</v>
      </c>
      <c r="J52" s="273"/>
      <c r="K52" s="273">
        <f>SUM(K20:K51)</f>
        <v>0</v>
      </c>
      <c r="L52" s="273"/>
      <c r="M52" s="273">
        <f>SUM(M20:M51)</f>
        <v>93400.1</v>
      </c>
      <c r="N52" s="273"/>
      <c r="O52" s="273">
        <f>SUM(O20:O51)</f>
        <v>0</v>
      </c>
      <c r="P52" s="273"/>
      <c r="Q52" s="273">
        <f>SUM(Q20:Q51)</f>
        <v>0</v>
      </c>
      <c r="R52" s="273"/>
      <c r="S52" s="273">
        <f>SUM(S20:S51)</f>
        <v>0</v>
      </c>
    </row>
    <row r="53" spans="1:34">
      <c r="A53" s="1114"/>
      <c r="B53" s="1164"/>
      <c r="C53" s="432"/>
      <c r="D53" s="506"/>
      <c r="E53" s="453"/>
      <c r="F53" s="435" t="s">
        <v>754</v>
      </c>
      <c r="G53" s="436"/>
      <c r="H53" s="1395">
        <v>5.0000000000000001E-3</v>
      </c>
      <c r="I53" s="1166"/>
      <c r="J53" s="1165">
        <v>0</v>
      </c>
      <c r="K53" s="1166"/>
      <c r="L53" s="1165">
        <v>0</v>
      </c>
      <c r="M53" s="1166"/>
      <c r="N53" s="1165">
        <v>0</v>
      </c>
      <c r="O53" s="1166"/>
      <c r="P53" s="1165">
        <v>0</v>
      </c>
      <c r="Q53" s="1166"/>
      <c r="R53" s="1165">
        <v>0</v>
      </c>
      <c r="S53" s="1166"/>
    </row>
    <row r="54" spans="1:34">
      <c r="A54" s="1114"/>
      <c r="B54" s="1164"/>
      <c r="C54" s="432"/>
      <c r="D54" s="506"/>
      <c r="E54" s="453"/>
      <c r="F54" s="435" t="s">
        <v>755</v>
      </c>
      <c r="G54" s="436"/>
      <c r="H54" s="1166"/>
      <c r="I54" s="1166">
        <f>H53*I52</f>
        <v>2776.4437499999999</v>
      </c>
      <c r="J54" s="1166"/>
      <c r="K54" s="1166">
        <f>J53*K52</f>
        <v>0</v>
      </c>
      <c r="L54" s="1166"/>
      <c r="M54" s="1166">
        <f>L53*M52</f>
        <v>0</v>
      </c>
      <c r="N54" s="1166"/>
      <c r="O54" s="1166">
        <f>N53*O52</f>
        <v>0</v>
      </c>
      <c r="P54" s="1166"/>
      <c r="Q54" s="1166">
        <f>P53*Q52</f>
        <v>0</v>
      </c>
      <c r="R54" s="1166"/>
      <c r="S54" s="1166">
        <f>R53*S52</f>
        <v>0</v>
      </c>
    </row>
    <row r="55" spans="1:34">
      <c r="A55" s="1114"/>
      <c r="B55" s="1164"/>
      <c r="C55" s="432"/>
      <c r="D55" s="506"/>
      <c r="E55" s="453"/>
      <c r="F55" s="435"/>
      <c r="G55" s="436"/>
      <c r="H55" s="1166"/>
      <c r="I55" s="1166"/>
      <c r="J55" s="1166"/>
      <c r="K55" s="1166"/>
      <c r="L55" s="1166"/>
      <c r="M55" s="1166"/>
      <c r="N55" s="1166"/>
      <c r="O55" s="1166"/>
      <c r="P55" s="1166"/>
      <c r="Q55" s="1166"/>
      <c r="R55" s="1166"/>
      <c r="S55" s="1166"/>
    </row>
    <row r="56" spans="1:34">
      <c r="A56" s="1114"/>
      <c r="B56" s="1164"/>
      <c r="C56" s="432"/>
      <c r="D56" s="506"/>
      <c r="E56" s="453"/>
      <c r="F56" s="435" t="s">
        <v>756</v>
      </c>
      <c r="G56" s="436"/>
      <c r="H56" s="1166"/>
      <c r="I56" s="1166">
        <f>SUM(I52:I54)</f>
        <v>558065.19374999998</v>
      </c>
      <c r="J56" s="1166"/>
      <c r="K56" s="1166">
        <f>SUM(K52:K54)</f>
        <v>0</v>
      </c>
      <c r="L56" s="1166"/>
      <c r="M56" s="1166">
        <f>SUM(M52:M54)</f>
        <v>93400.1</v>
      </c>
      <c r="N56" s="1166"/>
      <c r="O56" s="1166">
        <f>SUM(O52:O54)</f>
        <v>0</v>
      </c>
      <c r="P56" s="1166"/>
      <c r="Q56" s="1166">
        <f>SUM(Q52:Q54)</f>
        <v>0</v>
      </c>
      <c r="R56" s="1166"/>
      <c r="S56" s="1166">
        <f>SUM(S52:S54)</f>
        <v>0</v>
      </c>
    </row>
    <row r="57" spans="1:34">
      <c r="A57" s="1114"/>
      <c r="B57" s="1164"/>
      <c r="C57" s="432"/>
      <c r="D57" s="506"/>
      <c r="E57" s="453"/>
      <c r="F57" s="437" t="s">
        <v>757</v>
      </c>
      <c r="G57" s="438"/>
      <c r="H57" s="1167"/>
      <c r="I57" s="1167">
        <f>I56/'Area Calculations'!$G$4</f>
        <v>0.96440448715400839</v>
      </c>
      <c r="J57" s="1167"/>
      <c r="K57" s="1167">
        <f>K56/'Area Calculations'!$G$4</f>
        <v>0</v>
      </c>
      <c r="L57" s="1167"/>
      <c r="M57" s="1167">
        <f>M56/'Area Calculations'!$G$4</f>
        <v>0.16140672550344501</v>
      </c>
      <c r="N57" s="1167"/>
      <c r="O57" s="1167">
        <f>O56/'Area Calculations'!$G$4</f>
        <v>0</v>
      </c>
      <c r="P57" s="1167"/>
      <c r="Q57" s="1167">
        <f>Q56/'Area Calculations'!$G$4</f>
        <v>0</v>
      </c>
      <c r="R57" s="1167"/>
      <c r="S57" s="1167">
        <f>S56/'Area Calculations'!$G$4</f>
        <v>0</v>
      </c>
    </row>
    <row r="58" spans="1:34">
      <c r="A58" s="1114"/>
      <c r="B58" s="1164"/>
      <c r="C58" s="432"/>
      <c r="D58" s="506"/>
      <c r="E58" s="453"/>
      <c r="F58" s="437" t="s">
        <v>758</v>
      </c>
      <c r="G58" s="438"/>
      <c r="H58" s="1167"/>
      <c r="I58" s="1167">
        <f>I56/'Area Calculations'!$G$9</f>
        <v>5215.5625584112149</v>
      </c>
      <c r="J58" s="1167"/>
      <c r="K58" s="1167">
        <f>K56/'Area Calculations'!$G$9</f>
        <v>0</v>
      </c>
      <c r="L58" s="1167"/>
      <c r="M58" s="1167">
        <f>M56/'Area Calculations'!$G$9</f>
        <v>872.89813084112154</v>
      </c>
      <c r="N58" s="1167"/>
      <c r="O58" s="1167">
        <f>O56/'Area Calculations'!$G$9</f>
        <v>0</v>
      </c>
      <c r="P58" s="1167"/>
      <c r="Q58" s="1167">
        <f>Q56/'Area Calculations'!$G$9</f>
        <v>0</v>
      </c>
      <c r="R58" s="1167"/>
      <c r="S58" s="1167">
        <f>S56/'Area Calculations'!$G$9</f>
        <v>0</v>
      </c>
    </row>
    <row r="59" spans="1:34" ht="15.75" thickBot="1">
      <c r="A59" s="1114"/>
      <c r="B59" s="1164"/>
      <c r="C59" s="432"/>
      <c r="D59" s="506"/>
      <c r="E59" s="453"/>
      <c r="F59" s="439"/>
      <c r="G59" s="436"/>
      <c r="H59" s="1168"/>
      <c r="I59" s="1168"/>
      <c r="J59" s="1168"/>
      <c r="K59" s="1168"/>
      <c r="L59" s="1168"/>
      <c r="M59" s="1168"/>
      <c r="N59" s="1168"/>
      <c r="O59" s="1168"/>
      <c r="P59" s="1168"/>
      <c r="Q59" s="1168"/>
      <c r="R59" s="1168"/>
      <c r="S59" s="1168"/>
    </row>
    <row r="60" spans="1:34" ht="16.5" thickTop="1" thickBot="1">
      <c r="A60" s="2331" t="s">
        <v>759</v>
      </c>
      <c r="B60" s="2332"/>
      <c r="C60" s="298"/>
      <c r="D60" s="507"/>
      <c r="E60" s="350"/>
      <c r="F60" s="12"/>
      <c r="G60" s="26"/>
      <c r="H60" s="20"/>
      <c r="I60" s="20"/>
      <c r="J60" s="24"/>
      <c r="K60" s="20"/>
      <c r="L60" s="20"/>
      <c r="M60" s="20"/>
      <c r="N60" s="20"/>
      <c r="O60" s="20"/>
      <c r="P60" s="20"/>
      <c r="Q60" s="20"/>
      <c r="R60" s="20"/>
      <c r="S60" s="20"/>
    </row>
    <row r="61" spans="1:34" ht="15.75" thickTop="1">
      <c r="A61" s="1403"/>
      <c r="B61" s="1105"/>
      <c r="C61" s="1396"/>
      <c r="D61" s="1492"/>
      <c r="E61" s="1415"/>
      <c r="F61" s="1435"/>
      <c r="G61" s="1404"/>
      <c r="H61" s="1223"/>
      <c r="I61" s="1223"/>
      <c r="J61" s="1405"/>
      <c r="K61" s="1223"/>
      <c r="L61" s="1223"/>
      <c r="M61" s="1223"/>
      <c r="N61" s="1223"/>
      <c r="O61" s="1223"/>
      <c r="P61" s="1223"/>
      <c r="Q61" s="1223"/>
      <c r="R61" s="1223"/>
      <c r="S61" s="1223"/>
    </row>
    <row r="62" spans="1:34">
      <c r="A62" s="1403"/>
      <c r="B62" s="1105"/>
      <c r="C62" s="1396"/>
      <c r="D62" s="1492"/>
      <c r="E62" s="1415"/>
      <c r="F62" s="1435"/>
      <c r="G62" s="1404"/>
      <c r="H62" s="1223"/>
      <c r="I62" s="1223"/>
      <c r="J62" s="1405"/>
      <c r="K62" s="1223"/>
      <c r="L62" s="1223"/>
      <c r="M62" s="1223"/>
      <c r="N62" s="1223"/>
      <c r="O62" s="1223"/>
      <c r="P62" s="1223"/>
      <c r="Q62" s="1223"/>
      <c r="R62" s="1223"/>
      <c r="S62" s="1223"/>
    </row>
    <row r="63" spans="1:34" ht="15.75" thickBot="1">
      <c r="A63" s="1403"/>
      <c r="B63" s="1105"/>
      <c r="C63" s="1396"/>
      <c r="D63" s="1492"/>
      <c r="E63" s="1415"/>
      <c r="F63" s="1435"/>
      <c r="G63" s="1404"/>
      <c r="H63" s="1223"/>
      <c r="I63" s="1223"/>
      <c r="J63" s="1405"/>
      <c r="K63" s="1223"/>
      <c r="L63" s="1223"/>
      <c r="M63" s="1223"/>
      <c r="N63" s="1223"/>
      <c r="O63" s="1223"/>
      <c r="P63" s="1223"/>
      <c r="Q63" s="1223"/>
      <c r="R63" s="1223"/>
      <c r="S63" s="1223"/>
    </row>
    <row r="64" spans="1:34" s="2" customFormat="1" ht="16.5" thickTop="1" thickBot="1">
      <c r="A64" s="2331" t="s">
        <v>760</v>
      </c>
      <c r="B64" s="2332"/>
      <c r="C64" s="298"/>
      <c r="D64" s="507"/>
      <c r="E64" s="350"/>
      <c r="F64" s="12"/>
      <c r="G64" s="26"/>
      <c r="H64" s="20"/>
      <c r="I64" s="20"/>
      <c r="J64" s="24"/>
      <c r="K64" s="20"/>
      <c r="L64" s="20"/>
      <c r="M64" s="20"/>
      <c r="N64" s="20"/>
      <c r="O64" s="20"/>
      <c r="P64" s="20"/>
      <c r="Q64" s="20"/>
      <c r="R64" s="20"/>
      <c r="S64" s="20"/>
      <c r="T64"/>
      <c r="U64"/>
      <c r="V64"/>
      <c r="W64"/>
      <c r="X64"/>
      <c r="Y64"/>
      <c r="Z64"/>
      <c r="AA64"/>
      <c r="AB64"/>
      <c r="AC64"/>
      <c r="AD64"/>
      <c r="AE64"/>
      <c r="AF64"/>
      <c r="AG64"/>
      <c r="AH64"/>
    </row>
    <row r="65" spans="1:34" s="2" customFormat="1" ht="15.75" thickTop="1">
      <c r="A65" s="1403"/>
      <c r="B65" s="1105"/>
      <c r="C65" s="1396"/>
      <c r="D65" s="1492"/>
      <c r="E65" s="1415"/>
      <c r="F65" s="1435"/>
      <c r="G65" s="1404"/>
      <c r="H65" s="1223"/>
      <c r="I65" s="1223"/>
      <c r="J65" s="1405"/>
      <c r="K65" s="1223"/>
      <c r="L65" s="1223"/>
      <c r="M65" s="1223"/>
      <c r="N65" s="1223"/>
      <c r="O65" s="1223"/>
      <c r="P65" s="1223"/>
      <c r="Q65" s="1223"/>
      <c r="R65" s="1223"/>
      <c r="S65" s="1223"/>
      <c r="T65"/>
      <c r="U65"/>
      <c r="V65"/>
      <c r="W65"/>
      <c r="X65"/>
      <c r="Y65"/>
      <c r="Z65"/>
      <c r="AA65"/>
      <c r="AB65"/>
      <c r="AC65"/>
      <c r="AD65"/>
      <c r="AE65"/>
      <c r="AF65"/>
      <c r="AG65"/>
      <c r="AH65"/>
    </row>
    <row r="66" spans="1:34" s="2" customFormat="1">
      <c r="A66" s="1403"/>
      <c r="B66" s="1105"/>
      <c r="C66" s="1396"/>
      <c r="D66" s="1492"/>
      <c r="E66" s="1415"/>
      <c r="F66" s="1435"/>
      <c r="G66" s="1404"/>
      <c r="H66" s="1223"/>
      <c r="I66" s="1223"/>
      <c r="J66" s="1405"/>
      <c r="K66" s="1223"/>
      <c r="L66" s="1223"/>
      <c r="M66" s="1223"/>
      <c r="N66" s="1223"/>
      <c r="O66" s="1223"/>
      <c r="P66" s="1223"/>
      <c r="Q66" s="1223"/>
      <c r="R66" s="1223"/>
      <c r="S66" s="1223"/>
      <c r="T66"/>
      <c r="U66"/>
      <c r="V66"/>
      <c r="W66"/>
      <c r="X66"/>
      <c r="Y66"/>
      <c r="Z66"/>
      <c r="AA66"/>
      <c r="AB66"/>
      <c r="AC66"/>
      <c r="AD66"/>
      <c r="AE66"/>
      <c r="AF66"/>
      <c r="AG66"/>
      <c r="AH66"/>
    </row>
    <row r="67" spans="1:34" ht="15.75" thickBot="1">
      <c r="A67" s="1403"/>
      <c r="B67" s="1105"/>
      <c r="C67" s="1396"/>
      <c r="D67" s="1492"/>
      <c r="E67" s="1415"/>
      <c r="F67" s="1435"/>
      <c r="G67" s="1404"/>
      <c r="H67" s="1223"/>
      <c r="I67" s="1223"/>
      <c r="J67" s="1405"/>
      <c r="K67" s="1223"/>
      <c r="L67" s="1223"/>
      <c r="M67" s="1223"/>
      <c r="N67" s="1223"/>
      <c r="O67" s="1223"/>
      <c r="P67" s="1223"/>
      <c r="Q67" s="1223"/>
      <c r="R67" s="1223"/>
      <c r="S67" s="1223"/>
    </row>
    <row r="68" spans="1:34" s="2" customFormat="1" ht="16.5" thickTop="1" thickBot="1">
      <c r="A68" s="2331" t="s">
        <v>761</v>
      </c>
      <c r="B68" s="2332"/>
      <c r="C68" s="298"/>
      <c r="D68" s="507"/>
      <c r="E68" s="350"/>
      <c r="F68" s="12"/>
      <c r="G68" s="26"/>
      <c r="H68" s="20"/>
      <c r="I68" s="20"/>
      <c r="J68" s="24"/>
      <c r="K68" s="20"/>
      <c r="L68" s="20"/>
      <c r="M68" s="20"/>
      <c r="N68" s="20"/>
      <c r="O68" s="20"/>
      <c r="P68" s="20"/>
      <c r="Q68" s="20"/>
      <c r="R68" s="20"/>
      <c r="S68" s="20"/>
      <c r="T68"/>
      <c r="U68"/>
      <c r="V68"/>
      <c r="W68"/>
      <c r="X68"/>
      <c r="Y68"/>
      <c r="Z68"/>
      <c r="AA68"/>
      <c r="AB68"/>
      <c r="AC68"/>
      <c r="AD68"/>
      <c r="AE68"/>
      <c r="AF68"/>
      <c r="AG68"/>
      <c r="AH68"/>
    </row>
    <row r="69" spans="1:34" s="2" customFormat="1" ht="15.75" thickTop="1">
      <c r="A69" s="1403"/>
      <c r="B69" s="1105"/>
      <c r="C69" s="1396"/>
      <c r="D69" s="1492"/>
      <c r="E69" s="1415"/>
      <c r="F69" s="1435"/>
      <c r="G69" s="1404"/>
      <c r="H69" s="1223"/>
      <c r="I69" s="1223"/>
      <c r="J69" s="1405"/>
      <c r="K69" s="1223"/>
      <c r="L69" s="1223"/>
      <c r="M69" s="1223"/>
      <c r="N69" s="1223"/>
      <c r="O69" s="1223"/>
      <c r="P69" s="1223"/>
      <c r="Q69" s="1223"/>
      <c r="R69" s="1223"/>
      <c r="S69" s="1223"/>
      <c r="T69"/>
      <c r="U69"/>
      <c r="V69"/>
      <c r="W69"/>
      <c r="X69"/>
      <c r="Y69"/>
      <c r="Z69"/>
      <c r="AA69"/>
      <c r="AB69"/>
      <c r="AC69"/>
      <c r="AD69"/>
      <c r="AE69"/>
      <c r="AF69"/>
      <c r="AG69"/>
      <c r="AH69"/>
    </row>
    <row r="70" spans="1:34" s="2" customFormat="1">
      <c r="A70" s="1124"/>
      <c r="B70" s="1105"/>
      <c r="C70" s="415"/>
      <c r="D70" s="499"/>
      <c r="E70" s="417"/>
      <c r="F70" s="422"/>
      <c r="G70" s="831"/>
      <c r="H70" s="1173"/>
      <c r="I70" s="1173"/>
      <c r="J70" s="440"/>
      <c r="K70" s="1173"/>
      <c r="L70" s="1173"/>
      <c r="M70" s="1173"/>
      <c r="N70" s="1173"/>
      <c r="O70" s="1173"/>
      <c r="P70" s="1173"/>
      <c r="Q70" s="1173"/>
      <c r="R70" s="1173"/>
      <c r="S70" s="1173"/>
      <c r="T70"/>
      <c r="U70"/>
      <c r="V70"/>
      <c r="W70"/>
      <c r="X70"/>
      <c r="Y70"/>
      <c r="Z70"/>
      <c r="AA70"/>
      <c r="AB70"/>
      <c r="AC70"/>
      <c r="AD70"/>
      <c r="AE70"/>
      <c r="AF70"/>
      <c r="AG70"/>
      <c r="AH70"/>
    </row>
    <row r="71" spans="1:34" s="2" customFormat="1" ht="15.75" thickBot="1">
      <c r="A71" s="1126"/>
      <c r="B71" s="1174"/>
      <c r="C71" s="415"/>
      <c r="D71" s="499"/>
      <c r="E71" s="417"/>
      <c r="F71" s="422"/>
      <c r="G71" s="831"/>
      <c r="H71" s="1175"/>
      <c r="I71" s="1175"/>
      <c r="J71" s="441"/>
      <c r="K71" s="1175"/>
      <c r="L71" s="1175"/>
      <c r="M71" s="1175"/>
      <c r="N71" s="1175"/>
      <c r="O71" s="1175"/>
      <c r="P71" s="1175"/>
      <c r="Q71" s="1175"/>
      <c r="R71" s="1175"/>
      <c r="S71" s="1175"/>
    </row>
    <row r="72" spans="1:34" s="2" customFormat="1" ht="16.5" thickTop="1" thickBot="1">
      <c r="A72" s="2331" t="s">
        <v>762</v>
      </c>
      <c r="B72" s="2332"/>
      <c r="C72" s="298"/>
      <c r="D72" s="507"/>
      <c r="E72" s="350"/>
      <c r="F72" s="12"/>
      <c r="G72" s="26"/>
      <c r="H72" s="20"/>
      <c r="I72" s="20"/>
      <c r="J72" s="24"/>
      <c r="K72" s="20"/>
      <c r="L72" s="20"/>
      <c r="M72" s="20"/>
      <c r="N72" s="20"/>
      <c r="O72" s="20"/>
      <c r="P72" s="20"/>
      <c r="Q72" s="20"/>
      <c r="R72" s="20"/>
      <c r="S72" s="20"/>
      <c r="T72"/>
      <c r="U72"/>
      <c r="V72"/>
      <c r="W72"/>
      <c r="X72"/>
      <c r="Y72"/>
      <c r="Z72"/>
      <c r="AA72"/>
      <c r="AB72"/>
      <c r="AC72"/>
      <c r="AD72"/>
      <c r="AE72"/>
      <c r="AF72"/>
      <c r="AG72"/>
      <c r="AH72"/>
    </row>
    <row r="73" spans="1:34" ht="15.75" thickTop="1">
      <c r="A73" s="1407"/>
      <c r="B73" s="1225"/>
      <c r="C73" s="1396"/>
      <c r="D73" s="1492"/>
      <c r="E73" s="1415"/>
      <c r="F73" s="1435"/>
      <c r="G73" s="1404"/>
      <c r="H73" s="1223"/>
      <c r="I73" s="1223"/>
      <c r="J73" s="1405"/>
      <c r="K73" s="1223"/>
      <c r="L73" s="1223"/>
      <c r="M73" s="1223"/>
      <c r="N73" s="1223"/>
      <c r="O73" s="1223"/>
      <c r="P73" s="1223"/>
      <c r="Q73" s="1223"/>
      <c r="R73" s="1223"/>
      <c r="S73" s="1223"/>
      <c r="T73" s="2"/>
      <c r="U73" s="2"/>
      <c r="V73" s="2"/>
      <c r="W73" s="2"/>
      <c r="X73" s="2"/>
      <c r="Y73" s="2"/>
      <c r="Z73" s="2"/>
      <c r="AA73" s="2"/>
      <c r="AB73" s="2"/>
      <c r="AC73" s="2"/>
      <c r="AD73" s="2"/>
      <c r="AE73" s="2"/>
      <c r="AF73" s="2"/>
      <c r="AG73" s="2"/>
      <c r="AH73" s="2"/>
    </row>
    <row r="74" spans="1:34">
      <c r="A74" s="1126"/>
      <c r="B74" s="1174"/>
      <c r="C74" s="415"/>
      <c r="D74" s="499"/>
      <c r="E74" s="417"/>
      <c r="F74" s="422"/>
      <c r="G74" s="831"/>
      <c r="H74" s="1178"/>
      <c r="I74" s="1178"/>
      <c r="J74" s="442"/>
      <c r="K74" s="1178"/>
      <c r="L74" s="1178"/>
      <c r="M74" s="1178"/>
      <c r="N74" s="1178"/>
      <c r="O74" s="1178"/>
      <c r="P74" s="1178"/>
      <c r="Q74" s="1178"/>
      <c r="R74" s="1178"/>
      <c r="S74" s="1178"/>
      <c r="T74" s="2"/>
      <c r="U74" s="2"/>
      <c r="V74" s="2"/>
      <c r="W74" s="2"/>
      <c r="X74" s="2"/>
      <c r="Y74" s="2"/>
      <c r="Z74" s="2"/>
      <c r="AA74" s="2"/>
      <c r="AB74" s="2"/>
      <c r="AC74" s="2"/>
      <c r="AD74" s="2"/>
      <c r="AE74" s="2"/>
      <c r="AF74" s="2"/>
      <c r="AG74" s="2"/>
      <c r="AH74" s="2"/>
    </row>
    <row r="75" spans="1:34" ht="15.75" thickBot="1">
      <c r="A75" s="1126"/>
      <c r="B75" s="1174"/>
      <c r="C75" s="415"/>
      <c r="D75" s="499"/>
      <c r="E75" s="417"/>
      <c r="F75" s="422"/>
      <c r="G75" s="831"/>
      <c r="H75" s="1178"/>
      <c r="I75" s="1178"/>
      <c r="J75" s="442"/>
      <c r="K75" s="1178"/>
      <c r="L75" s="1178"/>
      <c r="M75" s="1178"/>
      <c r="N75" s="1178"/>
      <c r="O75" s="1178"/>
      <c r="P75" s="1178"/>
      <c r="Q75" s="1178"/>
      <c r="R75" s="1178"/>
      <c r="S75" s="1178"/>
      <c r="T75" s="2"/>
      <c r="U75" s="2"/>
      <c r="V75" s="2"/>
      <c r="W75" s="2"/>
      <c r="X75" s="2"/>
      <c r="Y75" s="2"/>
      <c r="Z75" s="2"/>
      <c r="AA75" s="2"/>
      <c r="AB75" s="2"/>
      <c r="AC75" s="2"/>
      <c r="AD75" s="2"/>
      <c r="AE75" s="2"/>
      <c r="AF75" s="2"/>
      <c r="AG75" s="2"/>
      <c r="AH75" s="2"/>
    </row>
    <row r="76" spans="1:34" ht="16.5" thickTop="1" thickBot="1">
      <c r="A76" s="2331" t="s">
        <v>763</v>
      </c>
      <c r="B76" s="2332"/>
      <c r="C76" s="298"/>
      <c r="D76" s="507"/>
      <c r="E76" s="350"/>
      <c r="F76" s="12"/>
      <c r="G76" s="26"/>
      <c r="H76" s="20"/>
      <c r="I76" s="20"/>
      <c r="J76" s="24"/>
      <c r="K76" s="20"/>
      <c r="L76" s="20"/>
      <c r="M76" s="20"/>
      <c r="N76" s="20"/>
      <c r="O76" s="20"/>
      <c r="P76" s="20"/>
      <c r="Q76" s="20"/>
      <c r="R76" s="20"/>
      <c r="S76" s="20"/>
    </row>
    <row r="77" spans="1:34" ht="15.75" thickTop="1">
      <c r="A77" s="1124"/>
      <c r="B77" s="1105" t="s">
        <v>764</v>
      </c>
      <c r="C77" s="415"/>
      <c r="D77" s="499"/>
      <c r="E77" s="417"/>
      <c r="F77" s="422"/>
      <c r="G77" s="831"/>
      <c r="H77" s="1178"/>
      <c r="I77" s="1178"/>
      <c r="J77" s="442"/>
      <c r="K77" s="1178"/>
      <c r="L77" s="1178"/>
      <c r="M77" s="1178"/>
      <c r="N77" s="1178"/>
      <c r="O77" s="1178"/>
      <c r="P77" s="1178"/>
      <c r="Q77" s="1178"/>
      <c r="R77" s="1178"/>
      <c r="S77" s="1178"/>
    </row>
    <row r="78" spans="1:34">
      <c r="A78" s="1124"/>
      <c r="B78" s="1105" t="s">
        <v>765</v>
      </c>
      <c r="C78" s="415"/>
      <c r="D78" s="499"/>
      <c r="E78" s="417"/>
      <c r="F78" s="422"/>
      <c r="G78" s="831"/>
      <c r="H78" s="1178"/>
      <c r="I78" s="1178"/>
      <c r="J78" s="442"/>
      <c r="K78" s="1178"/>
      <c r="L78" s="1178"/>
      <c r="M78" s="1178"/>
      <c r="N78" s="1178"/>
      <c r="O78" s="1178"/>
      <c r="P78" s="1178"/>
      <c r="Q78" s="1178"/>
      <c r="R78" s="1178"/>
      <c r="S78" s="1178"/>
    </row>
    <row r="79" spans="1:34">
      <c r="A79" s="1124"/>
      <c r="B79" s="1105" t="s">
        <v>766</v>
      </c>
      <c r="C79" s="415"/>
      <c r="D79" s="499"/>
      <c r="E79" s="417"/>
      <c r="F79" s="422"/>
      <c r="G79" s="831"/>
      <c r="H79" s="1178"/>
      <c r="I79" s="1178"/>
      <c r="J79" s="442"/>
      <c r="K79" s="1178"/>
      <c r="L79" s="1178"/>
      <c r="M79" s="1178"/>
      <c r="N79" s="1178"/>
      <c r="O79" s="1178"/>
      <c r="P79" s="1178"/>
      <c r="Q79" s="1178"/>
      <c r="R79" s="1178"/>
      <c r="S79" s="1178"/>
    </row>
    <row r="80" spans="1:34">
      <c r="A80" s="1124"/>
      <c r="B80" s="1105" t="s">
        <v>767</v>
      </c>
      <c r="C80" s="415"/>
      <c r="D80" s="499"/>
      <c r="E80" s="417"/>
      <c r="F80" s="422"/>
      <c r="G80" s="831"/>
      <c r="H80" s="1178"/>
      <c r="I80" s="1178"/>
      <c r="J80" s="442"/>
      <c r="K80" s="1178"/>
      <c r="L80" s="1178"/>
      <c r="M80" s="1178"/>
      <c r="N80" s="1178"/>
      <c r="O80" s="1178"/>
      <c r="P80" s="1178"/>
      <c r="Q80" s="1178"/>
      <c r="R80" s="1178"/>
      <c r="S80" s="1178"/>
    </row>
    <row r="81" spans="1:19" ht="15.75" thickBot="1">
      <c r="A81" s="443"/>
      <c r="B81" s="421"/>
      <c r="C81" s="23"/>
      <c r="D81" s="500"/>
      <c r="E81" s="266"/>
      <c r="F81" s="86"/>
      <c r="G81" s="27"/>
      <c r="H81" s="444"/>
      <c r="I81" s="444"/>
      <c r="J81" s="25"/>
      <c r="K81" s="444"/>
      <c r="L81" s="444"/>
      <c r="M81" s="444"/>
      <c r="N81" s="444"/>
      <c r="O81" s="444"/>
      <c r="P81" s="444"/>
      <c r="Q81" s="444"/>
      <c r="R81" s="444"/>
      <c r="S81" s="444"/>
    </row>
    <row r="82" spans="1:19" ht="16.5" thickTop="1" thickBot="1">
      <c r="A82" s="72" t="s">
        <v>768</v>
      </c>
      <c r="B82" s="73"/>
      <c r="C82" s="298"/>
      <c r="D82" s="507"/>
      <c r="E82" s="350"/>
      <c r="F82" s="12"/>
      <c r="G82" s="26"/>
      <c r="H82" s="20"/>
      <c r="I82" s="20"/>
      <c r="J82" s="24"/>
      <c r="K82" s="20"/>
      <c r="L82" s="20"/>
      <c r="M82" s="20"/>
      <c r="N82" s="20"/>
      <c r="O82" s="20"/>
      <c r="P82" s="20"/>
      <c r="Q82" s="20"/>
      <c r="R82" s="20"/>
      <c r="S82" s="20"/>
    </row>
    <row r="83" spans="1:19" ht="15.75" thickTop="1">
      <c r="A83" s="1403"/>
      <c r="B83" s="1226" t="s">
        <v>769</v>
      </c>
      <c r="C83" s="1396"/>
      <c r="D83" s="1492"/>
      <c r="E83" s="1415"/>
      <c r="F83" s="1435"/>
      <c r="G83" s="1404"/>
      <c r="H83" s="1228"/>
      <c r="I83" s="1228"/>
      <c r="J83" s="1410"/>
      <c r="K83" s="1228"/>
      <c r="L83" s="1228"/>
      <c r="M83" s="1228"/>
      <c r="N83" s="1228"/>
      <c r="O83" s="1228"/>
      <c r="P83" s="1228"/>
      <c r="Q83" s="1228"/>
      <c r="R83" s="1228"/>
      <c r="S83" s="1228"/>
    </row>
    <row r="84" spans="1:19">
      <c r="A84" s="1124"/>
      <c r="B84" s="1105" t="s">
        <v>770</v>
      </c>
      <c r="C84" s="415"/>
      <c r="D84" s="499"/>
      <c r="E84" s="417"/>
      <c r="F84" s="422"/>
      <c r="G84" s="831"/>
      <c r="H84" s="1182"/>
      <c r="I84" s="1182"/>
      <c r="J84" s="445"/>
      <c r="K84" s="1182"/>
      <c r="L84" s="1182"/>
      <c r="M84" s="1182"/>
      <c r="N84" s="1182"/>
      <c r="O84" s="1182"/>
      <c r="P84" s="1182"/>
      <c r="Q84" s="1182"/>
      <c r="R84" s="1182"/>
      <c r="S84" s="1182"/>
    </row>
    <row r="85" spans="1:19" ht="15.75" thickBot="1">
      <c r="A85" s="1376"/>
      <c r="B85" s="1377" t="s">
        <v>771</v>
      </c>
      <c r="C85" s="1378"/>
      <c r="D85" s="1506"/>
      <c r="E85" s="1437"/>
      <c r="F85" s="1379"/>
      <c r="G85" s="1380"/>
      <c r="H85" s="1382"/>
      <c r="I85" s="1382"/>
      <c r="J85" s="1381"/>
      <c r="K85" s="1382"/>
      <c r="L85" s="1382"/>
      <c r="M85" s="1382"/>
      <c r="N85" s="1382"/>
      <c r="O85" s="1382"/>
      <c r="P85" s="1382"/>
      <c r="Q85" s="1382"/>
      <c r="R85" s="1382"/>
      <c r="S85" s="1382"/>
    </row>
    <row r="86" spans="1:19" ht="16.5" thickTop="1" thickBot="1">
      <c r="F86" s="2"/>
      <c r="G86" s="2"/>
      <c r="H86" s="2"/>
      <c r="I86" s="2"/>
      <c r="J86" s="2"/>
      <c r="K86" s="2"/>
      <c r="L86" s="2"/>
      <c r="M86" s="2"/>
      <c r="N86" s="2"/>
      <c r="O86" s="2"/>
      <c r="P86" s="2"/>
      <c r="Q86" s="2"/>
      <c r="R86" s="2"/>
      <c r="S86" s="2"/>
    </row>
    <row r="87" spans="1:19" ht="16.5" thickTop="1" thickBot="1">
      <c r="A87" s="37" t="s">
        <v>772</v>
      </c>
      <c r="B87" s="39"/>
      <c r="F87" s="2"/>
      <c r="G87" s="2"/>
      <c r="H87" s="2"/>
      <c r="I87" s="2"/>
      <c r="J87" s="2"/>
      <c r="K87" s="2"/>
      <c r="L87" s="2"/>
      <c r="M87" s="2"/>
      <c r="N87" s="2"/>
      <c r="O87" s="2"/>
      <c r="P87" s="2"/>
      <c r="Q87" s="2"/>
      <c r="R87" s="2"/>
      <c r="S87" s="2"/>
    </row>
    <row r="88" spans="1:19" ht="15.75" thickTop="1">
      <c r="A88" s="38" t="s">
        <v>693</v>
      </c>
      <c r="B88" s="1474"/>
      <c r="F88" s="2"/>
      <c r="G88" s="2"/>
      <c r="H88" s="2"/>
      <c r="I88" s="2"/>
      <c r="J88" s="2"/>
      <c r="K88" s="2"/>
      <c r="L88" s="2"/>
      <c r="M88" s="2"/>
      <c r="N88" s="2"/>
      <c r="O88" s="2"/>
      <c r="P88" s="2"/>
      <c r="Q88" s="2"/>
      <c r="R88" s="2"/>
      <c r="S88" s="2"/>
    </row>
    <row r="89" spans="1:19">
      <c r="A89" s="1142" t="s">
        <v>702</v>
      </c>
      <c r="B89" s="1474"/>
      <c r="F89" s="2"/>
      <c r="G89" s="2"/>
      <c r="H89" s="2"/>
      <c r="I89" s="2"/>
      <c r="J89" s="2"/>
      <c r="K89" s="2"/>
      <c r="L89" s="2"/>
      <c r="M89" s="2"/>
      <c r="N89" s="2"/>
      <c r="O89" s="2"/>
      <c r="P89" s="2"/>
      <c r="Q89" s="2"/>
      <c r="R89" s="2"/>
      <c r="S89" s="2"/>
    </row>
    <row r="90" spans="1:19">
      <c r="A90" s="1454" t="s">
        <v>708</v>
      </c>
      <c r="B90" s="1475"/>
      <c r="F90" s="2"/>
      <c r="G90" s="2"/>
      <c r="H90" s="2"/>
      <c r="I90" s="2"/>
      <c r="J90" s="2"/>
      <c r="K90" s="2"/>
      <c r="L90" s="2"/>
      <c r="M90" s="2"/>
      <c r="N90" s="2"/>
      <c r="O90" s="2"/>
      <c r="P90" s="2"/>
      <c r="Q90" s="2"/>
      <c r="R90" s="2"/>
      <c r="S90" s="2"/>
    </row>
    <row r="91" spans="1:19">
      <c r="A91" s="1454" t="s">
        <v>713</v>
      </c>
      <c r="B91" s="1476"/>
      <c r="F91" s="2"/>
      <c r="G91" s="2"/>
      <c r="H91" s="2"/>
      <c r="I91" s="2"/>
      <c r="J91" s="2"/>
      <c r="K91" s="2"/>
      <c r="L91" s="2"/>
      <c r="M91" s="2"/>
      <c r="N91" s="2"/>
      <c r="O91" s="2"/>
      <c r="P91" s="2"/>
      <c r="Q91" s="2"/>
      <c r="R91" s="2"/>
      <c r="S91" s="2"/>
    </row>
    <row r="92" spans="1:19" ht="15.75" thickBot="1">
      <c r="A92" s="1383" t="s">
        <v>69</v>
      </c>
      <c r="B92" s="1397">
        <f>I56</f>
        <v>558065.19374999998</v>
      </c>
      <c r="F92" s="2"/>
      <c r="G92" s="2"/>
      <c r="H92" s="2"/>
      <c r="I92" s="2"/>
      <c r="J92" s="2"/>
      <c r="K92" s="2"/>
      <c r="L92" s="2"/>
      <c r="M92" s="2"/>
      <c r="N92" s="2"/>
      <c r="O92" s="2"/>
      <c r="P92" s="2"/>
      <c r="Q92" s="2"/>
      <c r="R92" s="2"/>
      <c r="S92" s="2"/>
    </row>
    <row r="93" spans="1:19" ht="15.75" thickTop="1"/>
  </sheetData>
  <mergeCells count="41">
    <mergeCell ref="A60:B60"/>
    <mergeCell ref="A64:B64"/>
    <mergeCell ref="A68:B68"/>
    <mergeCell ref="A72:B72"/>
    <mergeCell ref="A76:B76"/>
    <mergeCell ref="R9:S9"/>
    <mergeCell ref="J8:K8"/>
    <mergeCell ref="L8:M8"/>
    <mergeCell ref="H8:I8"/>
    <mergeCell ref="N8:O8"/>
    <mergeCell ref="P8:Q8"/>
    <mergeCell ref="R8:S8"/>
    <mergeCell ref="J9:K9"/>
    <mergeCell ref="L9:M9"/>
    <mergeCell ref="H9:I9"/>
    <mergeCell ref="N9:O9"/>
    <mergeCell ref="P9:Q9"/>
    <mergeCell ref="R7:S7"/>
    <mergeCell ref="J6:K6"/>
    <mergeCell ref="L6:M6"/>
    <mergeCell ref="H6:I6"/>
    <mergeCell ref="N6:O6"/>
    <mergeCell ref="P6:Q6"/>
    <mergeCell ref="R6:S6"/>
    <mergeCell ref="J7:K7"/>
    <mergeCell ref="L7:M7"/>
    <mergeCell ref="H7:I7"/>
    <mergeCell ref="N7:O7"/>
    <mergeCell ref="P7:Q7"/>
    <mergeCell ref="R5:S5"/>
    <mergeCell ref="J4:K4"/>
    <mergeCell ref="L4:M4"/>
    <mergeCell ref="H4:I4"/>
    <mergeCell ref="N4:O4"/>
    <mergeCell ref="P4:Q4"/>
    <mergeCell ref="R4:S4"/>
    <mergeCell ref="J5:K5"/>
    <mergeCell ref="L5:M5"/>
    <mergeCell ref="H5:I5"/>
    <mergeCell ref="N5:O5"/>
    <mergeCell ref="P5:Q5"/>
  </mergeCells>
  <conditionalFormatting sqref="H11:H19">
    <cfRule type="cellIs" dxfId="437" priority="1" operator="equal">
      <formula>"X"</formula>
    </cfRule>
    <cfRule type="cellIs" dxfId="436" priority="2" operator="equal">
      <formula>"I"</formula>
    </cfRule>
  </conditionalFormatting>
  <conditionalFormatting sqref="J11:J19 L11:L19 N11:N19 P11:P19 R11:R19 H21:H51 J21:J51 L21:L51 N21:N51 P21:P51 R21:R51">
    <cfRule type="cellIs" dxfId="435" priority="3" operator="equal">
      <formula>"X"</formula>
    </cfRule>
    <cfRule type="cellIs" dxfId="434" priority="4" operator="equal">
      <formula>"I"</formula>
    </cfRule>
  </conditionalFormatting>
  <hyperlinks>
    <hyperlink ref="B4" location="'Cost Summary'!A1" display="BACK TO SUMMARY SHEET" xr:uid="{0627ACBC-361F-4C39-8E15-12B7BBE0C3F5}"/>
    <hyperlink ref="J8" r:id="rId1" xr:uid="{55AF2900-81C2-4C84-95E7-C380117EC89C}"/>
    <hyperlink ref="L8" r:id="rId2" xr:uid="{3E9E65A5-FE1D-4200-959E-E3EC726E41AB}"/>
    <hyperlink ref="H8" r:id="rId3" xr:uid="{48FAAB15-C162-4036-BAC2-9A84F99EB566}"/>
  </hyperlinks>
  <pageMargins left="0.7" right="0.7" top="0.75" bottom="0.75" header="0.3" footer="0.3"/>
  <pageSetup orientation="portrait"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947B-41FE-4A85-87C5-E431098CC0C3}">
  <sheetPr>
    <tabColor rgb="FF00B0F0"/>
  </sheetPr>
  <dimension ref="A1:AO95"/>
  <sheetViews>
    <sheetView zoomScale="90" zoomScaleNormal="90" workbookViewId="0">
      <pane xSplit="2" ySplit="10" topLeftCell="C17" activePane="bottomRight" state="frozen"/>
      <selection pane="topRight" activeCell="C1" sqref="C1"/>
      <selection pane="bottomLeft" activeCell="A11" sqref="A11"/>
      <selection pane="bottomRight" activeCell="I28" sqref="I28"/>
    </sheetView>
  </sheetViews>
  <sheetFormatPr defaultRowHeight="15"/>
  <cols>
    <col min="1" max="1" width="11" customWidth="1"/>
    <col min="2" max="2" width="70.7109375" style="1" customWidth="1"/>
    <col min="3" max="4" width="12.7109375" style="2" customWidth="1"/>
    <col min="5" max="5" width="7.7109375" style="68"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F1" s="275"/>
      <c r="G1" s="269" t="s">
        <v>679</v>
      </c>
      <c r="X1" s="261"/>
    </row>
    <row r="2" spans="1:24">
      <c r="D2" s="260"/>
      <c r="F2" s="276" t="s">
        <v>680</v>
      </c>
      <c r="G2" s="269" t="s">
        <v>681</v>
      </c>
      <c r="X2" s="261"/>
    </row>
    <row r="3" spans="1:24" ht="15.75" thickBot="1">
      <c r="D3" s="260"/>
      <c r="F3" s="277" t="s">
        <v>682</v>
      </c>
      <c r="G3" s="269" t="s">
        <v>683</v>
      </c>
      <c r="X3" s="261"/>
    </row>
    <row r="4" spans="1:24" ht="15.75" thickBot="1">
      <c r="B4" s="262" t="s">
        <v>684</v>
      </c>
      <c r="D4" s="260"/>
      <c r="F4" s="278"/>
      <c r="G4" s="270" t="s">
        <v>685</v>
      </c>
      <c r="H4" s="2319" t="s">
        <v>687</v>
      </c>
      <c r="I4" s="2320"/>
      <c r="J4" s="2319" t="s">
        <v>686</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t="s">
        <v>1477</v>
      </c>
      <c r="I5" s="2322"/>
      <c r="J5" s="2321" t="s">
        <v>1478</v>
      </c>
      <c r="K5" s="2322"/>
      <c r="L5" s="2321" t="s">
        <v>1456</v>
      </c>
      <c r="M5" s="2322"/>
      <c r="N5" s="2348" t="s">
        <v>1479</v>
      </c>
      <c r="O5" s="2322"/>
      <c r="P5" s="2321" t="s">
        <v>1480</v>
      </c>
      <c r="Q5" s="2322"/>
      <c r="R5" s="2333"/>
      <c r="S5" s="2334"/>
      <c r="X5" s="261"/>
    </row>
    <row r="6" spans="1:24">
      <c r="A6" s="1082" t="s">
        <v>700</v>
      </c>
      <c r="B6" s="1455" t="s">
        <v>322</v>
      </c>
      <c r="C6" s="415"/>
      <c r="D6" s="416"/>
      <c r="E6" s="417"/>
      <c r="F6" s="418"/>
      <c r="G6" s="419" t="s">
        <v>702</v>
      </c>
      <c r="H6" s="2325" t="s">
        <v>1481</v>
      </c>
      <c r="I6" s="2326"/>
      <c r="J6" s="2325" t="s">
        <v>1482</v>
      </c>
      <c r="K6" s="2326"/>
      <c r="L6" s="2325" t="s">
        <v>1459</v>
      </c>
      <c r="M6" s="2326"/>
      <c r="N6" s="2325"/>
      <c r="O6" s="2326"/>
      <c r="P6" s="2313"/>
      <c r="Q6" s="2314"/>
      <c r="R6" s="2313"/>
      <c r="S6" s="2314"/>
      <c r="X6" s="261"/>
    </row>
    <row r="7" spans="1:24">
      <c r="A7" s="1082" t="s">
        <v>706</v>
      </c>
      <c r="B7" s="1456" t="s">
        <v>321</v>
      </c>
      <c r="C7" s="415"/>
      <c r="D7" s="416"/>
      <c r="E7" s="417"/>
      <c r="F7" s="418"/>
      <c r="G7" s="829" t="s">
        <v>708</v>
      </c>
      <c r="H7" s="2325" t="s">
        <v>1483</v>
      </c>
      <c r="I7" s="2326"/>
      <c r="J7" s="2325" t="s">
        <v>1484</v>
      </c>
      <c r="K7" s="2326"/>
      <c r="L7" s="2325" t="s">
        <v>1462</v>
      </c>
      <c r="M7" s="2326"/>
      <c r="N7" s="2325"/>
      <c r="O7" s="2326"/>
      <c r="P7" s="2313"/>
      <c r="Q7" s="2314"/>
      <c r="R7" s="2313"/>
      <c r="S7" s="2314"/>
      <c r="X7" s="261"/>
    </row>
    <row r="8" spans="1:24">
      <c r="A8" s="1082" t="s">
        <v>712</v>
      </c>
      <c r="B8" s="1457"/>
      <c r="C8" s="415"/>
      <c r="D8" s="416"/>
      <c r="E8" s="417"/>
      <c r="F8" s="418"/>
      <c r="G8" s="829" t="s">
        <v>713</v>
      </c>
      <c r="H8" s="2327" t="s">
        <v>1485</v>
      </c>
      <c r="I8" s="2328"/>
      <c r="J8" s="2327" t="s">
        <v>1486</v>
      </c>
      <c r="K8" s="2328"/>
      <c r="L8" s="2327" t="s">
        <v>1465</v>
      </c>
      <c r="M8" s="2328"/>
      <c r="N8" s="2329"/>
      <c r="O8" s="2328"/>
      <c r="P8" s="2315"/>
      <c r="Q8" s="2316"/>
      <c r="R8" s="2315"/>
      <c r="S8" s="2316"/>
      <c r="X8" s="261"/>
    </row>
    <row r="9" spans="1:24" ht="15.75" thickBot="1">
      <c r="A9" s="420"/>
      <c r="B9" s="421"/>
      <c r="C9" s="23"/>
      <c r="D9" s="265"/>
      <c r="E9" s="266"/>
      <c r="F9" s="283"/>
      <c r="G9" s="284" t="s">
        <v>717</v>
      </c>
      <c r="H9" s="2317">
        <f>I58</f>
        <v>29480</v>
      </c>
      <c r="I9" s="2318"/>
      <c r="J9" s="2317">
        <f>K58</f>
        <v>32500</v>
      </c>
      <c r="K9" s="2318"/>
      <c r="L9" s="2317">
        <f>M58</f>
        <v>37930</v>
      </c>
      <c r="M9" s="2318"/>
      <c r="N9" s="2330">
        <f>O58</f>
        <v>0</v>
      </c>
      <c r="O9" s="2330"/>
      <c r="P9" s="2317">
        <f>Q58</f>
        <v>0</v>
      </c>
      <c r="Q9" s="2318"/>
      <c r="R9" s="2317">
        <f>S58</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c r="A11" s="1412"/>
      <c r="B11" s="1233" t="s">
        <v>725</v>
      </c>
      <c r="C11" s="1545"/>
      <c r="D11" s="1435"/>
      <c r="E11" s="1415"/>
      <c r="F11" s="1416"/>
      <c r="G11" s="1417"/>
      <c r="H11" s="1539"/>
      <c r="I11" s="348"/>
      <c r="J11" s="1539"/>
      <c r="K11" s="1420"/>
      <c r="L11" s="1539"/>
      <c r="M11" s="1419"/>
      <c r="N11" s="1539"/>
      <c r="O11" s="1419"/>
      <c r="P11" s="1539"/>
      <c r="Q11" s="1419"/>
      <c r="R11" s="1539"/>
      <c r="S11" s="1419"/>
    </row>
    <row r="12" spans="1:24">
      <c r="A12" s="1412"/>
      <c r="B12" s="1485" t="s">
        <v>726</v>
      </c>
      <c r="C12" s="415"/>
      <c r="D12" s="422"/>
      <c r="E12" s="417"/>
      <c r="F12" s="418"/>
      <c r="G12" s="423"/>
      <c r="H12" s="1459" t="s">
        <v>727</v>
      </c>
      <c r="I12" s="1419"/>
      <c r="J12" s="1486"/>
      <c r="K12" s="1420"/>
      <c r="L12" s="1486"/>
      <c r="M12" s="1419"/>
      <c r="N12" s="1486"/>
      <c r="O12" s="1419"/>
      <c r="P12" s="1486"/>
      <c r="Q12" s="1419"/>
      <c r="R12" s="1486"/>
      <c r="S12" s="1419"/>
    </row>
    <row r="13" spans="1:24">
      <c r="A13" s="1097"/>
      <c r="B13" s="1485" t="s">
        <v>728</v>
      </c>
      <c r="C13" s="415"/>
      <c r="D13" s="422"/>
      <c r="E13" s="417"/>
      <c r="F13" s="418"/>
      <c r="G13" s="423"/>
      <c r="H13" s="1459" t="s">
        <v>727</v>
      </c>
      <c r="I13" s="1419"/>
      <c r="J13" s="1486"/>
      <c r="K13" s="1420"/>
      <c r="L13" s="1486"/>
      <c r="M13" s="1419"/>
      <c r="N13" s="1486"/>
      <c r="O13" s="1419"/>
      <c r="P13" s="1486"/>
      <c r="Q13" s="1419"/>
      <c r="R13" s="1486"/>
      <c r="S13" s="1419"/>
    </row>
    <row r="14" spans="1:24">
      <c r="A14" s="1412"/>
      <c r="B14" s="1487" t="s">
        <v>729</v>
      </c>
      <c r="C14" s="415"/>
      <c r="D14" s="422"/>
      <c r="E14" s="417"/>
      <c r="F14" s="418"/>
      <c r="G14" s="423"/>
      <c r="H14" s="1459" t="s">
        <v>730</v>
      </c>
      <c r="I14" s="1419"/>
      <c r="J14" s="1486"/>
      <c r="K14" s="1420"/>
      <c r="L14" s="1486"/>
      <c r="M14" s="1419"/>
      <c r="N14" s="1486"/>
      <c r="O14" s="1419"/>
      <c r="P14" s="1486"/>
      <c r="Q14" s="1419"/>
      <c r="R14" s="1486"/>
      <c r="S14" s="1419"/>
    </row>
    <row r="15" spans="1:24">
      <c r="A15" s="1097"/>
      <c r="B15" s="1487" t="s">
        <v>731</v>
      </c>
      <c r="C15" s="415"/>
      <c r="D15" s="422"/>
      <c r="E15" s="417"/>
      <c r="F15" s="418"/>
      <c r="G15" s="423"/>
      <c r="H15" s="1459" t="s">
        <v>727</v>
      </c>
      <c r="I15" s="1420"/>
      <c r="J15" s="1486"/>
      <c r="K15" s="1420"/>
      <c r="L15" s="1486"/>
      <c r="M15" s="1420"/>
      <c r="N15" s="1486"/>
      <c r="O15" s="1420"/>
      <c r="P15" s="1486"/>
      <c r="Q15" s="1420"/>
      <c r="R15" s="1486"/>
      <c r="S15" s="1420"/>
    </row>
    <row r="16" spans="1:24">
      <c r="A16" s="1412"/>
      <c r="B16" s="1487" t="s">
        <v>732</v>
      </c>
      <c r="C16" s="415"/>
      <c r="D16" s="422"/>
      <c r="E16" s="417"/>
      <c r="F16" s="418"/>
      <c r="G16" s="423"/>
      <c r="H16" s="1459" t="s">
        <v>727</v>
      </c>
      <c r="I16" s="1419"/>
      <c r="J16" s="1486"/>
      <c r="K16" s="1420"/>
      <c r="L16" s="1486"/>
      <c r="M16" s="1419"/>
      <c r="N16" s="1486"/>
      <c r="O16" s="1419"/>
      <c r="P16" s="1486"/>
      <c r="Q16" s="1419"/>
      <c r="R16" s="1486"/>
      <c r="S16" s="1419"/>
    </row>
    <row r="17" spans="1:41">
      <c r="A17" s="1097"/>
      <c r="B17" s="1487" t="s">
        <v>733</v>
      </c>
      <c r="C17" s="415"/>
      <c r="D17" s="422"/>
      <c r="E17" s="417"/>
      <c r="F17" s="418"/>
      <c r="G17" s="423"/>
      <c r="H17" s="1459" t="s">
        <v>727</v>
      </c>
      <c r="I17" s="1419"/>
      <c r="J17" s="1486"/>
      <c r="K17" s="1420"/>
      <c r="L17" s="1486"/>
      <c r="M17" s="1419"/>
      <c r="N17" s="1486"/>
      <c r="O17" s="1419"/>
      <c r="P17" s="1486"/>
      <c r="Q17" s="1419"/>
      <c r="R17" s="1486"/>
      <c r="S17" s="1419"/>
    </row>
    <row r="18" spans="1:41">
      <c r="A18" s="1412"/>
      <c r="B18" s="726" t="s">
        <v>734</v>
      </c>
      <c r="C18" s="415"/>
      <c r="D18" s="422"/>
      <c r="E18" s="417"/>
      <c r="F18" s="418"/>
      <c r="G18" s="423"/>
      <c r="H18" s="1459" t="s">
        <v>730</v>
      </c>
      <c r="I18" s="1419"/>
      <c r="J18" s="1486"/>
      <c r="K18" s="1420"/>
      <c r="L18" s="1486"/>
      <c r="M18" s="1419"/>
      <c r="N18" s="1486"/>
      <c r="O18" s="1419"/>
      <c r="P18" s="1486"/>
      <c r="Q18" s="1419"/>
      <c r="R18" s="1486"/>
      <c r="S18" s="1419"/>
    </row>
    <row r="19" spans="1:41">
      <c r="A19" s="1412"/>
      <c r="B19" s="1099" t="s">
        <v>736</v>
      </c>
      <c r="C19" s="415"/>
      <c r="D19" s="422"/>
      <c r="E19" s="417"/>
      <c r="F19" s="418"/>
      <c r="G19" s="423"/>
      <c r="H19" s="1486"/>
      <c r="I19" s="1419"/>
      <c r="J19" s="1486"/>
      <c r="K19" s="1420"/>
      <c r="L19" s="1486"/>
      <c r="M19" s="1419"/>
      <c r="N19" s="1486"/>
      <c r="O19" s="1419"/>
      <c r="P19" s="1486"/>
      <c r="Q19" s="1419"/>
      <c r="R19" s="1486"/>
      <c r="S19" s="1419"/>
    </row>
    <row r="20" spans="1:41">
      <c r="A20" s="1097"/>
      <c r="B20" s="1546" t="s">
        <v>737</v>
      </c>
      <c r="C20" s="424"/>
      <c r="D20" s="425"/>
      <c r="E20" s="449"/>
      <c r="F20" s="426"/>
      <c r="G20" s="427"/>
      <c r="H20" s="1101"/>
      <c r="I20" s="1422">
        <v>27980</v>
      </c>
      <c r="J20" s="1101"/>
      <c r="K20" s="1423">
        <v>32500</v>
      </c>
      <c r="L20" s="1101"/>
      <c r="M20" s="1422">
        <v>37930</v>
      </c>
      <c r="N20" s="1101"/>
      <c r="O20" s="1422"/>
      <c r="P20" s="1101"/>
      <c r="Q20" s="1422"/>
      <c r="R20" s="1101"/>
      <c r="S20" s="1422"/>
    </row>
    <row r="21" spans="1:41">
      <c r="A21" s="1412"/>
      <c r="B21" s="1477"/>
      <c r="C21" s="23"/>
      <c r="D21" s="86"/>
      <c r="E21" s="266"/>
      <c r="F21" s="280"/>
      <c r="G21" s="274"/>
      <c r="H21" s="1486"/>
      <c r="I21" s="428"/>
      <c r="J21" s="1486"/>
      <c r="K21" s="428"/>
      <c r="L21" s="1486"/>
      <c r="M21" s="428"/>
      <c r="N21" s="1486"/>
      <c r="O21" s="428"/>
      <c r="P21" s="1486"/>
      <c r="Q21" s="428"/>
      <c r="R21" s="1486"/>
      <c r="S21" s="428"/>
    </row>
    <row r="22" spans="1:41" s="69" customFormat="1">
      <c r="A22" s="1097"/>
      <c r="B22" s="1105" t="s">
        <v>1487</v>
      </c>
      <c r="C22" s="415"/>
      <c r="D22" s="422"/>
      <c r="E22" s="417"/>
      <c r="F22" s="429"/>
      <c r="G22" s="423"/>
      <c r="H22" s="1486"/>
      <c r="I22" s="1106"/>
      <c r="J22" s="1486"/>
      <c r="K22" s="1107"/>
      <c r="L22" s="1486"/>
      <c r="M22" s="1106"/>
      <c r="N22" s="1486"/>
      <c r="O22" s="1107"/>
      <c r="P22" s="1486"/>
      <c r="Q22" s="1107"/>
      <c r="R22" s="1486"/>
      <c r="S22" s="1106"/>
      <c r="T22"/>
      <c r="U22"/>
      <c r="V22"/>
      <c r="W22"/>
      <c r="X22"/>
      <c r="Y22"/>
      <c r="Z22"/>
      <c r="AA22"/>
      <c r="AB22"/>
      <c r="AC22"/>
      <c r="AD22"/>
      <c r="AE22"/>
      <c r="AF22"/>
      <c r="AG22"/>
      <c r="AH22"/>
      <c r="AI22"/>
      <c r="AJ22"/>
      <c r="AK22"/>
      <c r="AL22"/>
      <c r="AM22"/>
      <c r="AN22"/>
      <c r="AO22"/>
    </row>
    <row r="23" spans="1:41">
      <c r="A23" s="1412"/>
      <c r="B23" s="1105" t="s">
        <v>1488</v>
      </c>
      <c r="C23" s="23"/>
      <c r="D23" s="86">
        <v>1</v>
      </c>
      <c r="E23" s="266" t="s">
        <v>468</v>
      </c>
      <c r="F23" s="429"/>
      <c r="G23" s="1417"/>
      <c r="H23" s="1486" t="s">
        <v>682</v>
      </c>
      <c r="I23" s="1419"/>
      <c r="J23" s="1486" t="s">
        <v>682</v>
      </c>
      <c r="K23" s="1547"/>
      <c r="L23" s="1486" t="s">
        <v>682</v>
      </c>
      <c r="M23" s="1419"/>
      <c r="N23" s="1486"/>
      <c r="O23" s="1547"/>
      <c r="P23" s="1486"/>
      <c r="Q23" s="1547"/>
      <c r="R23" s="1486"/>
      <c r="S23" s="1419"/>
    </row>
    <row r="24" spans="1:41">
      <c r="A24" s="1412"/>
      <c r="B24" s="1105" t="s">
        <v>1489</v>
      </c>
      <c r="C24" s="23"/>
      <c r="D24" s="86">
        <v>1</v>
      </c>
      <c r="E24" s="266" t="s">
        <v>468</v>
      </c>
      <c r="F24" s="429"/>
      <c r="G24" s="1417"/>
      <c r="H24" s="1486" t="s">
        <v>682</v>
      </c>
      <c r="I24" s="1419"/>
      <c r="J24" s="1486" t="s">
        <v>682</v>
      </c>
      <c r="K24" s="1547"/>
      <c r="L24" s="1486" t="s">
        <v>682</v>
      </c>
      <c r="M24" s="1419"/>
      <c r="N24" s="1486"/>
      <c r="O24" s="1547"/>
      <c r="P24" s="1486"/>
      <c r="Q24" s="1547"/>
      <c r="R24" s="1486"/>
      <c r="S24" s="1419"/>
    </row>
    <row r="25" spans="1:41">
      <c r="A25" s="1412"/>
      <c r="B25" s="1113"/>
      <c r="C25" s="23"/>
      <c r="D25" s="87"/>
      <c r="E25" s="266"/>
      <c r="F25" s="431"/>
      <c r="G25" s="1402"/>
      <c r="H25" s="1486"/>
      <c r="I25" s="1419"/>
      <c r="J25" s="1486"/>
      <c r="K25" s="1419"/>
      <c r="L25" s="1486"/>
      <c r="M25" s="1419"/>
      <c r="N25" s="1486"/>
      <c r="O25" s="1419"/>
      <c r="P25" s="1486"/>
      <c r="Q25" s="1419"/>
      <c r="R25" s="1486"/>
      <c r="S25" s="1419"/>
    </row>
    <row r="26" spans="1:41">
      <c r="A26" s="1412"/>
      <c r="B26" s="1113" t="s">
        <v>1490</v>
      </c>
      <c r="C26" s="23"/>
      <c r="D26" s="87"/>
      <c r="E26" s="266"/>
      <c r="F26" s="431"/>
      <c r="G26" s="1402"/>
      <c r="H26" s="1486"/>
      <c r="I26" s="1419"/>
      <c r="J26" s="1486"/>
      <c r="K26" s="1419"/>
      <c r="L26" s="1486"/>
      <c r="M26" s="1419"/>
      <c r="N26" s="1486"/>
      <c r="O26" s="1419"/>
      <c r="P26" s="1486"/>
      <c r="Q26" s="1419"/>
      <c r="R26" s="1486"/>
      <c r="S26" s="1419"/>
    </row>
    <row r="27" spans="1:41">
      <c r="A27" s="1412"/>
      <c r="B27" s="1113" t="s">
        <v>1491</v>
      </c>
      <c r="C27" s="23"/>
      <c r="D27" s="87"/>
      <c r="E27" s="266"/>
      <c r="F27" s="431"/>
      <c r="G27" s="1402"/>
      <c r="H27" s="1486" t="s">
        <v>682</v>
      </c>
      <c r="I27" s="1419"/>
      <c r="J27" s="1486" t="s">
        <v>682</v>
      </c>
      <c r="K27" s="1419"/>
      <c r="L27" s="1486" t="s">
        <v>682</v>
      </c>
      <c r="M27" s="1419"/>
      <c r="N27" s="1486"/>
      <c r="O27" s="1419"/>
      <c r="P27" s="1486"/>
      <c r="Q27" s="1419"/>
      <c r="R27" s="1486"/>
      <c r="S27" s="1419"/>
    </row>
    <row r="28" spans="1:41">
      <c r="A28" s="1412"/>
      <c r="B28" s="1113" t="s">
        <v>1492</v>
      </c>
      <c r="C28" s="23"/>
      <c r="D28" s="87">
        <v>2</v>
      </c>
      <c r="E28" s="266" t="s">
        <v>468</v>
      </c>
      <c r="F28" s="431">
        <v>750</v>
      </c>
      <c r="G28" s="1402">
        <f>D28*F28</f>
        <v>1500</v>
      </c>
      <c r="H28" s="1486"/>
      <c r="I28" s="1430">
        <v>1500</v>
      </c>
      <c r="J28" s="1486" t="s">
        <v>682</v>
      </c>
      <c r="K28" s="1419"/>
      <c r="L28" s="1486"/>
      <c r="M28" s="1430"/>
      <c r="N28" s="1486"/>
      <c r="O28" s="1419"/>
      <c r="P28" s="1486"/>
      <c r="Q28" s="1419"/>
      <c r="R28" s="1486"/>
      <c r="S28" s="1419"/>
    </row>
    <row r="29" spans="1:41">
      <c r="A29" s="1412"/>
      <c r="B29" s="1113" t="s">
        <v>1493</v>
      </c>
      <c r="C29" s="23"/>
      <c r="D29" s="87"/>
      <c r="E29" s="266"/>
      <c r="F29" s="431"/>
      <c r="G29" s="1402"/>
      <c r="H29" s="1486" t="s">
        <v>682</v>
      </c>
      <c r="I29" s="1419"/>
      <c r="J29" s="1486" t="s">
        <v>682</v>
      </c>
      <c r="K29" s="1419"/>
      <c r="L29" s="1486" t="s">
        <v>682</v>
      </c>
      <c r="M29" s="1419"/>
      <c r="N29" s="1486"/>
      <c r="O29" s="1419"/>
      <c r="P29" s="1486"/>
      <c r="Q29" s="1419"/>
      <c r="R29" s="1486"/>
      <c r="S29" s="1419"/>
    </row>
    <row r="30" spans="1:41">
      <c r="A30" s="1412"/>
      <c r="B30" s="1113" t="s">
        <v>1494</v>
      </c>
      <c r="C30" s="23"/>
      <c r="D30" s="87"/>
      <c r="E30" s="266"/>
      <c r="F30" s="431"/>
      <c r="G30" s="1402"/>
      <c r="H30" s="1486" t="s">
        <v>682</v>
      </c>
      <c r="I30" s="1419"/>
      <c r="J30" s="1486" t="s">
        <v>682</v>
      </c>
      <c r="K30" s="1419"/>
      <c r="L30" s="1486" t="s">
        <v>682</v>
      </c>
      <c r="M30" s="1419"/>
      <c r="N30" s="1486"/>
      <c r="O30" s="1419"/>
      <c r="P30" s="1486"/>
      <c r="Q30" s="1419"/>
      <c r="R30" s="1486"/>
      <c r="S30" s="1419"/>
    </row>
    <row r="31" spans="1:41">
      <c r="A31" s="1412"/>
      <c r="B31" s="1113" t="s">
        <v>1495</v>
      </c>
      <c r="C31" s="23"/>
      <c r="D31" s="87"/>
      <c r="E31" s="266"/>
      <c r="F31" s="431"/>
      <c r="G31" s="1402"/>
      <c r="H31" s="1486" t="s">
        <v>682</v>
      </c>
      <c r="I31" s="1419"/>
      <c r="J31" s="1486" t="s">
        <v>682</v>
      </c>
      <c r="K31" s="1419"/>
      <c r="L31" s="1486" t="s">
        <v>682</v>
      </c>
      <c r="M31" s="1419"/>
      <c r="N31" s="1486"/>
      <c r="O31" s="1419"/>
      <c r="P31" s="1486"/>
      <c r="Q31" s="1419"/>
      <c r="R31" s="1486"/>
      <c r="S31" s="1419"/>
    </row>
    <row r="32" spans="1:41">
      <c r="A32" s="1412"/>
      <c r="B32" s="1113" t="s">
        <v>1496</v>
      </c>
      <c r="C32" s="23"/>
      <c r="D32" s="87"/>
      <c r="E32" s="266"/>
      <c r="F32" s="431"/>
      <c r="G32" s="1402"/>
      <c r="H32" s="1486" t="s">
        <v>682</v>
      </c>
      <c r="I32" s="1419"/>
      <c r="J32" s="1486"/>
      <c r="K32" s="1430"/>
      <c r="L32" s="1486" t="s">
        <v>682</v>
      </c>
      <c r="M32" s="1419"/>
      <c r="N32" s="1486"/>
      <c r="O32" s="1419"/>
      <c r="P32" s="1486"/>
      <c r="Q32" s="1419"/>
      <c r="R32" s="1486"/>
      <c r="S32" s="1419"/>
    </row>
    <row r="33" spans="1:19">
      <c r="A33" s="1412"/>
      <c r="B33" s="1113"/>
      <c r="C33" s="23"/>
      <c r="D33" s="87"/>
      <c r="E33" s="266"/>
      <c r="F33" s="431"/>
      <c r="G33" s="1402"/>
      <c r="H33" s="1486"/>
      <c r="I33" s="1419"/>
      <c r="J33" s="1486"/>
      <c r="K33" s="1419"/>
      <c r="L33" s="1486"/>
      <c r="M33" s="1419"/>
      <c r="N33" s="1486"/>
      <c r="O33" s="1419"/>
      <c r="P33" s="1486"/>
      <c r="Q33" s="1419"/>
      <c r="R33" s="1486"/>
      <c r="S33" s="1419"/>
    </row>
    <row r="34" spans="1:19">
      <c r="A34" s="1412"/>
      <c r="B34" s="1113"/>
      <c r="C34" s="23"/>
      <c r="D34" s="87"/>
      <c r="E34" s="266"/>
      <c r="F34" s="431"/>
      <c r="G34" s="1402"/>
      <c r="H34" s="1486"/>
      <c r="I34" s="1419"/>
      <c r="J34" s="1486"/>
      <c r="K34" s="1419"/>
      <c r="L34" s="1486"/>
      <c r="M34" s="1419"/>
      <c r="N34" s="1486"/>
      <c r="O34" s="1419"/>
      <c r="P34" s="1486"/>
      <c r="Q34" s="1419"/>
      <c r="R34" s="1486"/>
      <c r="S34" s="1419"/>
    </row>
    <row r="35" spans="1:19">
      <c r="A35" s="1412"/>
      <c r="B35" s="1113"/>
      <c r="C35" s="23"/>
      <c r="D35" s="87"/>
      <c r="E35" s="266"/>
      <c r="F35" s="431"/>
      <c r="G35" s="1402"/>
      <c r="H35" s="1486"/>
      <c r="I35" s="1419"/>
      <c r="J35" s="1486"/>
      <c r="K35" s="1419"/>
      <c r="L35" s="1486"/>
      <c r="M35" s="1419"/>
      <c r="N35" s="1486"/>
      <c r="O35" s="1419"/>
      <c r="P35" s="1486"/>
      <c r="Q35" s="1419"/>
      <c r="R35" s="1486"/>
      <c r="S35" s="1419"/>
    </row>
    <row r="36" spans="1:19">
      <c r="A36" s="1412"/>
      <c r="B36" s="1113"/>
      <c r="C36" s="23"/>
      <c r="D36" s="87"/>
      <c r="E36" s="266"/>
      <c r="F36" s="431"/>
      <c r="G36" s="1402"/>
      <c r="H36" s="1486"/>
      <c r="I36" s="1419"/>
      <c r="J36" s="1486"/>
      <c r="K36" s="1419"/>
      <c r="L36" s="1486"/>
      <c r="M36" s="1419"/>
      <c r="N36" s="1486"/>
      <c r="O36" s="1419"/>
      <c r="P36" s="1486"/>
      <c r="Q36" s="1419"/>
      <c r="R36" s="1486"/>
      <c r="S36" s="1419"/>
    </row>
    <row r="37" spans="1:19">
      <c r="A37" s="1412"/>
      <c r="B37" s="1113"/>
      <c r="C37" s="23"/>
      <c r="D37" s="87"/>
      <c r="E37" s="266"/>
      <c r="F37" s="431"/>
      <c r="G37" s="1402"/>
      <c r="H37" s="1486"/>
      <c r="I37" s="1419"/>
      <c r="J37" s="1486"/>
      <c r="K37" s="1419"/>
      <c r="L37" s="1486"/>
      <c r="M37" s="1419"/>
      <c r="N37" s="1486"/>
      <c r="O37" s="1419"/>
      <c r="P37" s="1486"/>
      <c r="Q37" s="1419"/>
      <c r="R37" s="1486"/>
      <c r="S37" s="1419"/>
    </row>
    <row r="38" spans="1:19">
      <c r="A38" s="1412"/>
      <c r="B38" s="1113"/>
      <c r="C38" s="23"/>
      <c r="D38" s="87"/>
      <c r="E38" s="266"/>
      <c r="F38" s="431"/>
      <c r="G38" s="1402"/>
      <c r="H38" s="1486"/>
      <c r="I38" s="1419"/>
      <c r="J38" s="1486"/>
      <c r="K38" s="1419"/>
      <c r="L38" s="1486"/>
      <c r="M38" s="1419"/>
      <c r="N38" s="1486"/>
      <c r="O38" s="1419"/>
      <c r="P38" s="1486"/>
      <c r="Q38" s="1419"/>
      <c r="R38" s="1486"/>
      <c r="S38" s="1419"/>
    </row>
    <row r="39" spans="1:19">
      <c r="A39" s="1412"/>
      <c r="B39" s="1113"/>
      <c r="C39" s="23"/>
      <c r="D39" s="87"/>
      <c r="E39" s="266"/>
      <c r="F39" s="431"/>
      <c r="G39" s="1402"/>
      <c r="H39" s="1486"/>
      <c r="I39" s="1419"/>
      <c r="J39" s="1486"/>
      <c r="K39" s="1419"/>
      <c r="L39" s="1486"/>
      <c r="M39" s="1419"/>
      <c r="N39" s="1486"/>
      <c r="O39" s="1419"/>
      <c r="P39" s="1486"/>
      <c r="Q39" s="1419"/>
      <c r="R39" s="1486"/>
      <c r="S39" s="1419"/>
    </row>
    <row r="40" spans="1:19">
      <c r="A40" s="1412"/>
      <c r="B40" s="1113"/>
      <c r="C40" s="23"/>
      <c r="D40" s="87"/>
      <c r="E40" s="266"/>
      <c r="F40" s="431"/>
      <c r="G40" s="1402"/>
      <c r="H40" s="1486"/>
      <c r="I40" s="1419"/>
      <c r="J40" s="1486"/>
      <c r="K40" s="1419"/>
      <c r="L40" s="1486"/>
      <c r="M40" s="1419"/>
      <c r="N40" s="1486"/>
      <c r="O40" s="1419"/>
      <c r="P40" s="1486"/>
      <c r="Q40" s="1419"/>
      <c r="R40" s="1486"/>
      <c r="S40" s="1419"/>
    </row>
    <row r="41" spans="1:19">
      <c r="A41" s="1412"/>
      <c r="B41" s="1113"/>
      <c r="C41" s="23"/>
      <c r="D41" s="87"/>
      <c r="E41" s="266"/>
      <c r="F41" s="431"/>
      <c r="G41" s="1402"/>
      <c r="H41" s="1486"/>
      <c r="I41" s="1419"/>
      <c r="J41" s="1486"/>
      <c r="K41" s="1419"/>
      <c r="L41" s="1486"/>
      <c r="M41" s="1419"/>
      <c r="N41" s="1486"/>
      <c r="O41" s="1419"/>
      <c r="P41" s="1486"/>
      <c r="Q41" s="1419"/>
      <c r="R41" s="1486"/>
      <c r="S41" s="1419"/>
    </row>
    <row r="42" spans="1:19">
      <c r="A42" s="1412"/>
      <c r="B42" s="1113"/>
      <c r="C42" s="23"/>
      <c r="D42" s="87"/>
      <c r="E42" s="266"/>
      <c r="F42" s="431"/>
      <c r="G42" s="1402"/>
      <c r="H42" s="1486"/>
      <c r="I42" s="1419"/>
      <c r="J42" s="1486"/>
      <c r="K42" s="1419"/>
      <c r="L42" s="1486"/>
      <c r="M42" s="1419"/>
      <c r="N42" s="1486"/>
      <c r="O42" s="1419"/>
      <c r="P42" s="1486"/>
      <c r="Q42" s="1419"/>
      <c r="R42" s="1486"/>
      <c r="S42" s="1419"/>
    </row>
    <row r="43" spans="1:19">
      <c r="A43" s="1412"/>
      <c r="B43" s="1113"/>
      <c r="C43" s="23"/>
      <c r="D43" s="87"/>
      <c r="E43" s="266"/>
      <c r="F43" s="431"/>
      <c r="G43" s="1402"/>
      <c r="H43" s="1486"/>
      <c r="I43" s="1419"/>
      <c r="J43" s="1486"/>
      <c r="K43" s="1419"/>
      <c r="L43" s="1486"/>
      <c r="M43" s="1419"/>
      <c r="N43" s="1486"/>
      <c r="O43" s="1419"/>
      <c r="P43" s="1486"/>
      <c r="Q43" s="1419"/>
      <c r="R43" s="1486"/>
      <c r="S43" s="1419"/>
    </row>
    <row r="44" spans="1:19">
      <c r="A44" s="1412"/>
      <c r="B44" s="1113"/>
      <c r="C44" s="23"/>
      <c r="D44" s="87"/>
      <c r="E44" s="266"/>
      <c r="F44" s="431"/>
      <c r="G44" s="1402"/>
      <c r="H44" s="1486"/>
      <c r="I44" s="1419"/>
      <c r="J44" s="1486"/>
      <c r="K44" s="1419"/>
      <c r="L44" s="1486"/>
      <c r="M44" s="1419"/>
      <c r="N44" s="1486"/>
      <c r="O44" s="1419"/>
      <c r="P44" s="1486"/>
      <c r="Q44" s="1419"/>
      <c r="R44" s="1486"/>
      <c r="S44" s="1419"/>
    </row>
    <row r="45" spans="1:19">
      <c r="A45" s="1412"/>
      <c r="B45" s="1113"/>
      <c r="C45" s="23"/>
      <c r="D45" s="87"/>
      <c r="E45" s="266"/>
      <c r="F45" s="431"/>
      <c r="G45" s="1402"/>
      <c r="H45" s="1486"/>
      <c r="I45" s="1419"/>
      <c r="J45" s="1486"/>
      <c r="K45" s="1419"/>
      <c r="L45" s="1486"/>
      <c r="M45" s="1419"/>
      <c r="N45" s="1486"/>
      <c r="O45" s="1419"/>
      <c r="P45" s="1486"/>
      <c r="Q45" s="1419"/>
      <c r="R45" s="1486"/>
      <c r="S45" s="1419"/>
    </row>
    <row r="46" spans="1:19">
      <c r="A46" s="1412"/>
      <c r="B46" s="1113"/>
      <c r="C46" s="23"/>
      <c r="D46" s="87"/>
      <c r="E46" s="266"/>
      <c r="F46" s="431"/>
      <c r="G46" s="1402"/>
      <c r="H46" s="1486"/>
      <c r="I46" s="1419"/>
      <c r="J46" s="1486"/>
      <c r="K46" s="1419"/>
      <c r="L46" s="1486"/>
      <c r="M46" s="1419"/>
      <c r="N46" s="1486"/>
      <c r="O46" s="1419"/>
      <c r="P46" s="1486"/>
      <c r="Q46" s="1419"/>
      <c r="R46" s="1486"/>
      <c r="S46" s="1419"/>
    </row>
    <row r="47" spans="1:19">
      <c r="A47" s="1412"/>
      <c r="B47" s="1113"/>
      <c r="C47" s="23"/>
      <c r="D47" s="87"/>
      <c r="E47" s="266"/>
      <c r="F47" s="431"/>
      <c r="G47" s="1402"/>
      <c r="H47" s="1486"/>
      <c r="I47" s="1419"/>
      <c r="J47" s="1486"/>
      <c r="K47" s="1419"/>
      <c r="L47" s="1486"/>
      <c r="M47" s="1419"/>
      <c r="N47" s="1486"/>
      <c r="O47" s="1419"/>
      <c r="P47" s="1486"/>
      <c r="Q47" s="1419"/>
      <c r="R47" s="1486"/>
      <c r="S47" s="1419"/>
    </row>
    <row r="48" spans="1:19">
      <c r="A48" s="1412"/>
      <c r="B48" s="1113"/>
      <c r="C48" s="23"/>
      <c r="D48" s="87"/>
      <c r="E48" s="266"/>
      <c r="F48" s="431"/>
      <c r="G48" s="1402"/>
      <c r="H48" s="1486"/>
      <c r="I48" s="1419"/>
      <c r="J48" s="1486"/>
      <c r="K48" s="1419"/>
      <c r="L48" s="1486"/>
      <c r="M48" s="1419"/>
      <c r="N48" s="1486"/>
      <c r="O48" s="1419"/>
      <c r="P48" s="1486"/>
      <c r="Q48" s="1419"/>
      <c r="R48" s="1486"/>
      <c r="S48" s="1419"/>
    </row>
    <row r="49" spans="1:19">
      <c r="A49" s="1412"/>
      <c r="B49" s="1113"/>
      <c r="C49" s="23"/>
      <c r="D49" s="87"/>
      <c r="E49" s="266"/>
      <c r="F49" s="431"/>
      <c r="G49" s="1402"/>
      <c r="H49" s="1486"/>
      <c r="I49" s="1419"/>
      <c r="J49" s="1486"/>
      <c r="K49" s="1419"/>
      <c r="L49" s="1486"/>
      <c r="M49" s="1419"/>
      <c r="N49" s="1486"/>
      <c r="O49" s="1419"/>
      <c r="P49" s="1486"/>
      <c r="Q49" s="1419"/>
      <c r="R49" s="1486"/>
      <c r="S49" s="1419"/>
    </row>
    <row r="50" spans="1:19">
      <c r="A50" s="1412"/>
      <c r="B50" s="1113"/>
      <c r="C50" s="23"/>
      <c r="D50" s="87"/>
      <c r="E50" s="266"/>
      <c r="F50" s="431"/>
      <c r="G50" s="1402"/>
      <c r="H50" s="1486"/>
      <c r="I50" s="1419"/>
      <c r="J50" s="1486"/>
      <c r="K50" s="1419"/>
      <c r="L50" s="1486"/>
      <c r="M50" s="1419"/>
      <c r="N50" s="1486"/>
      <c r="O50" s="1419"/>
      <c r="P50" s="1486"/>
      <c r="Q50" s="1419"/>
      <c r="R50" s="1486"/>
      <c r="S50" s="1419"/>
    </row>
    <row r="51" spans="1:19">
      <c r="A51" s="1412"/>
      <c r="B51" s="1113"/>
      <c r="C51" s="23"/>
      <c r="D51" s="87"/>
      <c r="E51" s="266"/>
      <c r="F51" s="431"/>
      <c r="G51" s="1402"/>
      <c r="H51" s="1486"/>
      <c r="I51" s="1419"/>
      <c r="J51" s="1486"/>
      <c r="K51" s="1419"/>
      <c r="L51" s="1486"/>
      <c r="M51" s="1419"/>
      <c r="N51" s="1486"/>
      <c r="O51" s="1419"/>
      <c r="P51" s="1486"/>
      <c r="Q51" s="1419"/>
      <c r="R51" s="1486"/>
      <c r="S51" s="1419"/>
    </row>
    <row r="52" spans="1:19">
      <c r="A52" s="1412"/>
      <c r="B52" s="1113"/>
      <c r="C52" s="23"/>
      <c r="D52" s="87"/>
      <c r="E52" s="266"/>
      <c r="F52" s="431"/>
      <c r="G52" s="830"/>
      <c r="H52" s="1486"/>
      <c r="I52" s="1419"/>
      <c r="J52" s="1486"/>
      <c r="K52" s="1419"/>
      <c r="L52" s="1486"/>
      <c r="M52" s="1419"/>
      <c r="N52" s="1486"/>
      <c r="O52" s="1419"/>
      <c r="P52" s="1486"/>
      <c r="Q52" s="1419"/>
      <c r="R52" s="1486"/>
      <c r="S52" s="1419"/>
    </row>
    <row r="53" spans="1:19" ht="15.75" thickBot="1">
      <c r="A53" s="1412"/>
      <c r="B53" s="1113"/>
      <c r="C53" s="23"/>
      <c r="D53" s="87"/>
      <c r="E53" s="266"/>
      <c r="F53" s="431"/>
      <c r="G53" s="830"/>
      <c r="H53" s="1486"/>
      <c r="I53" s="1419"/>
      <c r="J53" s="1486"/>
      <c r="K53" s="1419"/>
      <c r="L53" s="1486"/>
      <c r="M53" s="1419"/>
      <c r="N53" s="1486"/>
      <c r="O53" s="1419"/>
      <c r="P53" s="1486"/>
      <c r="Q53" s="1419"/>
      <c r="R53" s="1486"/>
      <c r="S53" s="1419"/>
    </row>
    <row r="54" spans="1:19" ht="15.75" thickTop="1">
      <c r="A54" s="296"/>
      <c r="B54" s="301"/>
      <c r="C54" s="297"/>
      <c r="D54" s="15"/>
      <c r="E54" s="349"/>
      <c r="F54" s="282" t="s">
        <v>753</v>
      </c>
      <c r="G54" s="272"/>
      <c r="H54" s="273"/>
      <c r="I54" s="273">
        <f>SUM(I20:I53)</f>
        <v>29480</v>
      </c>
      <c r="J54" s="273"/>
      <c r="K54" s="273">
        <f>SUM(K20:K53)</f>
        <v>32500</v>
      </c>
      <c r="L54" s="273"/>
      <c r="M54" s="273">
        <f>SUM(M20:M53)</f>
        <v>37930</v>
      </c>
      <c r="N54" s="273"/>
      <c r="O54" s="273">
        <f>SUM(O20:O53)</f>
        <v>0</v>
      </c>
      <c r="P54" s="273"/>
      <c r="Q54" s="273">
        <f>SUM(Q20:Q53)</f>
        <v>0</v>
      </c>
      <c r="R54" s="273"/>
      <c r="S54" s="273">
        <f>SUM(S20:S53)</f>
        <v>0</v>
      </c>
    </row>
    <row r="55" spans="1:19">
      <c r="A55" s="1114"/>
      <c r="B55" s="1462"/>
      <c r="C55" s="432"/>
      <c r="D55" s="433"/>
      <c r="E55" s="453"/>
      <c r="F55" s="435" t="s">
        <v>754</v>
      </c>
      <c r="G55" s="436"/>
      <c r="H55" s="1463">
        <v>0</v>
      </c>
      <c r="I55" s="1464"/>
      <c r="J55" s="1463">
        <v>0</v>
      </c>
      <c r="K55" s="1464"/>
      <c r="L55" s="1463">
        <v>0</v>
      </c>
      <c r="M55" s="1464"/>
      <c r="N55" s="1463">
        <v>0</v>
      </c>
      <c r="O55" s="1464"/>
      <c r="P55" s="1463">
        <v>0</v>
      </c>
      <c r="Q55" s="1464"/>
      <c r="R55" s="1463">
        <v>0</v>
      </c>
      <c r="S55" s="1464"/>
    </row>
    <row r="56" spans="1:19">
      <c r="A56" s="1114"/>
      <c r="B56" s="1462"/>
      <c r="C56" s="432"/>
      <c r="D56" s="433"/>
      <c r="E56" s="453"/>
      <c r="F56" s="435" t="s">
        <v>755</v>
      </c>
      <c r="G56" s="436"/>
      <c r="H56" s="1464"/>
      <c r="I56" s="1464">
        <f>H55*I54</f>
        <v>0</v>
      </c>
      <c r="J56" s="1464"/>
      <c r="K56" s="1464">
        <f>J55*K54</f>
        <v>0</v>
      </c>
      <c r="L56" s="1464"/>
      <c r="M56" s="1464">
        <f>L55*M54</f>
        <v>0</v>
      </c>
      <c r="N56" s="1464"/>
      <c r="O56" s="1464">
        <f>N55*O54</f>
        <v>0</v>
      </c>
      <c r="P56" s="1464"/>
      <c r="Q56" s="1464">
        <f>P55*Q54</f>
        <v>0</v>
      </c>
      <c r="R56" s="1464"/>
      <c r="S56" s="1464">
        <f>R55*S54</f>
        <v>0</v>
      </c>
    </row>
    <row r="57" spans="1:19">
      <c r="A57" s="1114"/>
      <c r="B57" s="1462"/>
      <c r="C57" s="432"/>
      <c r="D57" s="433"/>
      <c r="E57" s="453"/>
      <c r="F57" s="435"/>
      <c r="G57" s="436"/>
      <c r="H57" s="1464"/>
      <c r="I57" s="1464"/>
      <c r="J57" s="1464"/>
      <c r="K57" s="1464"/>
      <c r="L57" s="1464"/>
      <c r="M57" s="1464"/>
      <c r="N57" s="1464"/>
      <c r="O57" s="1464"/>
      <c r="P57" s="1464"/>
      <c r="Q57" s="1464"/>
      <c r="R57" s="1464"/>
      <c r="S57" s="1464"/>
    </row>
    <row r="58" spans="1:19">
      <c r="A58" s="1114"/>
      <c r="B58" s="1462"/>
      <c r="C58" s="432"/>
      <c r="D58" s="433"/>
      <c r="E58" s="453"/>
      <c r="F58" s="435" t="s">
        <v>756</v>
      </c>
      <c r="G58" s="436"/>
      <c r="H58" s="1464"/>
      <c r="I58" s="1464">
        <f>SUM(I54:I56)</f>
        <v>29480</v>
      </c>
      <c r="J58" s="1464"/>
      <c r="K58" s="1464">
        <f>SUM(K54:K56)</f>
        <v>32500</v>
      </c>
      <c r="L58" s="1464"/>
      <c r="M58" s="1464">
        <f>SUM(M54:M56)</f>
        <v>37930</v>
      </c>
      <c r="N58" s="1464"/>
      <c r="O58" s="1464">
        <f>SUM(O54:O56)</f>
        <v>0</v>
      </c>
      <c r="P58" s="1464"/>
      <c r="Q58" s="1464">
        <f>SUM(Q54:Q56)</f>
        <v>0</v>
      </c>
      <c r="R58" s="1464"/>
      <c r="S58" s="1464">
        <f>SUM(S54:S56)</f>
        <v>0</v>
      </c>
    </row>
    <row r="59" spans="1:19">
      <c r="A59" s="1114"/>
      <c r="B59" s="1462"/>
      <c r="C59" s="432"/>
      <c r="D59" s="433"/>
      <c r="E59" s="453"/>
      <c r="F59" s="437" t="s">
        <v>757</v>
      </c>
      <c r="G59" s="438"/>
      <c r="H59" s="1465"/>
      <c r="I59" s="1465">
        <f>I58/'Area Calculations'!$G$4</f>
        <v>5.0945023269156661E-2</v>
      </c>
      <c r="J59" s="1465"/>
      <c r="K59" s="1465">
        <f>K58/'Area Calculations'!$G$4</f>
        <v>5.6163950347611652E-2</v>
      </c>
      <c r="L59" s="1465"/>
      <c r="M59" s="1465">
        <f>M58/'Area Calculations'!$G$4</f>
        <v>6.5547650359535692E-2</v>
      </c>
      <c r="N59" s="1465"/>
      <c r="O59" s="1465">
        <f>O58/'Area Calculations'!$G$4</f>
        <v>0</v>
      </c>
      <c r="P59" s="1465"/>
      <c r="Q59" s="1465">
        <f>Q58/'Area Calculations'!$G$4</f>
        <v>0</v>
      </c>
      <c r="R59" s="1465"/>
      <c r="S59" s="1465">
        <f>S58/'Area Calculations'!$G$4</f>
        <v>0</v>
      </c>
    </row>
    <row r="60" spans="1:19">
      <c r="A60" s="1114"/>
      <c r="B60" s="1462"/>
      <c r="C60" s="432"/>
      <c r="D60" s="433"/>
      <c r="E60" s="453"/>
      <c r="F60" s="437" t="s">
        <v>758</v>
      </c>
      <c r="G60" s="438"/>
      <c r="H60" s="1465"/>
      <c r="I60" s="1465">
        <f>I58/'Area Calculations'!$G$9</f>
        <v>275.51401869158877</v>
      </c>
      <c r="J60" s="1465"/>
      <c r="K60" s="1465">
        <f>K58/'Area Calculations'!$G$9</f>
        <v>303.73831775700933</v>
      </c>
      <c r="L60" s="1465"/>
      <c r="M60" s="1465">
        <f>M58/'Area Calculations'!$G$9</f>
        <v>354.48598130841123</v>
      </c>
      <c r="N60" s="1465"/>
      <c r="O60" s="1465">
        <f>O58/'Area Calculations'!$G$9</f>
        <v>0</v>
      </c>
      <c r="P60" s="1465"/>
      <c r="Q60" s="1465">
        <f>Q58/'Area Calculations'!$G$9</f>
        <v>0</v>
      </c>
      <c r="R60" s="1465"/>
      <c r="S60" s="1465">
        <f>S58/'Area Calculations'!$G$9</f>
        <v>0</v>
      </c>
    </row>
    <row r="61" spans="1:19" ht="15.75" thickBot="1">
      <c r="A61" s="1114"/>
      <c r="B61" s="1462"/>
      <c r="C61" s="432"/>
      <c r="D61" s="433"/>
      <c r="E61" s="453"/>
      <c r="F61" s="439"/>
      <c r="G61" s="436"/>
      <c r="H61" s="1466"/>
      <c r="I61" s="1466"/>
      <c r="J61" s="1466"/>
      <c r="K61" s="1466"/>
      <c r="L61" s="1466"/>
      <c r="M61" s="1466"/>
      <c r="N61" s="1466"/>
      <c r="O61" s="1466"/>
      <c r="P61" s="1466"/>
      <c r="Q61" s="1466"/>
      <c r="R61" s="1466"/>
      <c r="S61" s="1466"/>
    </row>
    <row r="62" spans="1:19" ht="16.5" thickTop="1" thickBot="1">
      <c r="A62" s="2331" t="s">
        <v>759</v>
      </c>
      <c r="B62" s="2332"/>
      <c r="C62" s="298"/>
      <c r="D62" s="12"/>
      <c r="E62" s="350"/>
      <c r="F62" s="12"/>
      <c r="G62" s="26"/>
      <c r="H62" s="20"/>
      <c r="I62" s="20"/>
      <c r="J62" s="24"/>
      <c r="K62" s="20"/>
      <c r="L62" s="20"/>
      <c r="M62" s="20"/>
      <c r="N62" s="20"/>
      <c r="O62" s="20"/>
      <c r="P62" s="20"/>
      <c r="Q62" s="20"/>
      <c r="R62" s="20"/>
      <c r="S62" s="20"/>
    </row>
    <row r="63" spans="1:19" ht="15.75" thickTop="1">
      <c r="A63" s="1403"/>
      <c r="B63" s="1105"/>
      <c r="C63" s="1545"/>
      <c r="D63" s="1435"/>
      <c r="E63" s="1415"/>
      <c r="F63" s="1435"/>
      <c r="G63" s="1404"/>
      <c r="H63" s="1223"/>
      <c r="I63" s="1223"/>
      <c r="J63" s="1405"/>
      <c r="K63" s="1223"/>
      <c r="L63" s="1223"/>
      <c r="M63" s="1223"/>
      <c r="N63" s="1223"/>
      <c r="O63" s="1223"/>
      <c r="P63" s="1223"/>
      <c r="Q63" s="1223"/>
      <c r="R63" s="1223"/>
      <c r="S63" s="1223"/>
    </row>
    <row r="64" spans="1:19">
      <c r="A64" s="1403"/>
      <c r="B64" s="1105"/>
      <c r="C64" s="1545"/>
      <c r="D64" s="1435"/>
      <c r="E64" s="1415"/>
      <c r="F64" s="1435"/>
      <c r="G64" s="1404"/>
      <c r="H64" s="1223"/>
      <c r="I64" s="1223"/>
      <c r="J64" s="1405"/>
      <c r="K64" s="1223"/>
      <c r="L64" s="1223"/>
      <c r="M64" s="1223"/>
      <c r="N64" s="1223"/>
      <c r="O64" s="1223"/>
      <c r="P64" s="1223"/>
      <c r="Q64" s="1223"/>
      <c r="R64" s="1223"/>
      <c r="S64" s="1223"/>
    </row>
    <row r="65" spans="1:34" ht="15.75" thickBot="1">
      <c r="A65" s="1403"/>
      <c r="B65" s="1105"/>
      <c r="C65" s="1545"/>
      <c r="D65" s="1435"/>
      <c r="E65" s="1415"/>
      <c r="F65" s="1435"/>
      <c r="G65" s="1404"/>
      <c r="H65" s="1223"/>
      <c r="I65" s="1223"/>
      <c r="J65" s="1405"/>
      <c r="K65" s="1223"/>
      <c r="L65" s="1223"/>
      <c r="M65" s="1223"/>
      <c r="N65" s="1223"/>
      <c r="O65" s="1223"/>
      <c r="P65" s="1223"/>
      <c r="Q65" s="1223"/>
      <c r="R65" s="1223"/>
      <c r="S65" s="1223"/>
    </row>
    <row r="66" spans="1:34" s="2" customFormat="1" ht="16.5" thickTop="1" thickBot="1">
      <c r="A66" s="2331" t="s">
        <v>760</v>
      </c>
      <c r="B66" s="2332"/>
      <c r="C66" s="298"/>
      <c r="D66" s="12"/>
      <c r="E66" s="350"/>
      <c r="F66" s="12"/>
      <c r="G66" s="26"/>
      <c r="H66" s="20"/>
      <c r="I66" s="20"/>
      <c r="J66" s="24"/>
      <c r="K66" s="20"/>
      <c r="L66" s="20"/>
      <c r="M66" s="20"/>
      <c r="N66" s="20"/>
      <c r="O66" s="20"/>
      <c r="P66" s="20"/>
      <c r="Q66" s="20"/>
      <c r="R66" s="20"/>
      <c r="S66" s="20"/>
      <c r="T66"/>
      <c r="U66"/>
      <c r="V66"/>
      <c r="W66"/>
      <c r="X66"/>
      <c r="Y66"/>
      <c r="Z66"/>
      <c r="AA66"/>
      <c r="AB66"/>
      <c r="AC66"/>
      <c r="AD66"/>
      <c r="AE66"/>
      <c r="AF66"/>
      <c r="AG66"/>
      <c r="AH66"/>
    </row>
    <row r="67" spans="1:34" s="2" customFormat="1" ht="15.75" thickTop="1">
      <c r="A67" s="1403"/>
      <c r="B67" s="1105"/>
      <c r="C67" s="1545"/>
      <c r="D67" s="1435"/>
      <c r="E67" s="1415"/>
      <c r="F67" s="1435"/>
      <c r="G67" s="1404"/>
      <c r="H67" s="1223"/>
      <c r="I67" s="1223"/>
      <c r="J67" s="1405"/>
      <c r="K67" s="1223"/>
      <c r="L67" s="1223"/>
      <c r="M67" s="1223"/>
      <c r="N67" s="1223"/>
      <c r="O67" s="1223"/>
      <c r="P67" s="1223"/>
      <c r="Q67" s="1223"/>
      <c r="R67" s="1223"/>
      <c r="S67" s="1223"/>
      <c r="T67"/>
      <c r="U67"/>
      <c r="V67"/>
      <c r="W67"/>
      <c r="X67"/>
      <c r="Y67"/>
      <c r="Z67"/>
      <c r="AA67"/>
      <c r="AB67"/>
      <c r="AC67"/>
      <c r="AD67"/>
      <c r="AE67"/>
      <c r="AF67"/>
      <c r="AG67"/>
      <c r="AH67"/>
    </row>
    <row r="68" spans="1:34" s="2" customFormat="1">
      <c r="A68" s="1403"/>
      <c r="B68" s="1105"/>
      <c r="C68" s="1545"/>
      <c r="D68" s="1435"/>
      <c r="E68" s="1415"/>
      <c r="F68" s="1435"/>
      <c r="G68" s="1404"/>
      <c r="H68" s="1223"/>
      <c r="I68" s="1223"/>
      <c r="J68" s="1405"/>
      <c r="K68" s="1223"/>
      <c r="L68" s="1223"/>
      <c r="M68" s="1223"/>
      <c r="N68" s="1223"/>
      <c r="O68" s="1223"/>
      <c r="P68" s="1223"/>
      <c r="Q68" s="1223"/>
      <c r="R68" s="1223"/>
      <c r="S68" s="1223"/>
      <c r="T68"/>
      <c r="U68"/>
      <c r="V68"/>
      <c r="W68"/>
      <c r="X68"/>
      <c r="Y68"/>
      <c r="Z68"/>
      <c r="AA68"/>
      <c r="AB68"/>
      <c r="AC68"/>
      <c r="AD68"/>
      <c r="AE68"/>
      <c r="AF68"/>
      <c r="AG68"/>
      <c r="AH68"/>
    </row>
    <row r="69" spans="1:34" ht="15.75" thickBot="1">
      <c r="A69" s="1403"/>
      <c r="B69" s="1105"/>
      <c r="C69" s="1545"/>
      <c r="D69" s="1435"/>
      <c r="E69" s="1415"/>
      <c r="F69" s="1435"/>
      <c r="G69" s="1404"/>
      <c r="H69" s="1223"/>
      <c r="I69" s="1223"/>
      <c r="J69" s="1405"/>
      <c r="K69" s="1223"/>
      <c r="L69" s="1223"/>
      <c r="M69" s="1223"/>
      <c r="N69" s="1223"/>
      <c r="O69" s="1223"/>
      <c r="P69" s="1223"/>
      <c r="Q69" s="1223"/>
      <c r="R69" s="1223"/>
      <c r="S69" s="1223"/>
    </row>
    <row r="70" spans="1:34" s="2" customFormat="1" ht="16.5" thickTop="1" thickBot="1">
      <c r="A70" s="2331" t="s">
        <v>761</v>
      </c>
      <c r="B70" s="2332"/>
      <c r="C70" s="298"/>
      <c r="D70" s="12"/>
      <c r="E70" s="350"/>
      <c r="F70" s="12"/>
      <c r="G70" s="26"/>
      <c r="H70" s="20"/>
      <c r="I70" s="20"/>
      <c r="J70" s="24"/>
      <c r="K70" s="20"/>
      <c r="L70" s="20"/>
      <c r="M70" s="20"/>
      <c r="N70" s="20"/>
      <c r="O70" s="20"/>
      <c r="P70" s="20"/>
      <c r="Q70" s="20"/>
      <c r="R70" s="20"/>
      <c r="S70" s="20"/>
      <c r="T70"/>
      <c r="U70"/>
      <c r="V70"/>
      <c r="W70"/>
      <c r="X70"/>
      <c r="Y70"/>
      <c r="Z70"/>
      <c r="AA70"/>
      <c r="AB70"/>
      <c r="AC70"/>
      <c r="AD70"/>
      <c r="AE70"/>
      <c r="AF70"/>
      <c r="AG70"/>
      <c r="AH70"/>
    </row>
    <row r="71" spans="1:34" s="2" customFormat="1" ht="15.75" thickTop="1">
      <c r="A71" s="1403"/>
      <c r="B71" s="1105"/>
      <c r="C71" s="1545"/>
      <c r="D71" s="1435"/>
      <c r="E71" s="1415"/>
      <c r="F71" s="1435"/>
      <c r="G71" s="1404"/>
      <c r="H71" s="1223"/>
      <c r="I71" s="1223"/>
      <c r="J71" s="1405"/>
      <c r="K71" s="1223"/>
      <c r="L71" s="1223"/>
      <c r="M71" s="1223"/>
      <c r="N71" s="1223"/>
      <c r="O71" s="1223"/>
      <c r="P71" s="1223"/>
      <c r="Q71" s="1223"/>
      <c r="R71" s="1223"/>
      <c r="S71" s="1223"/>
      <c r="T71"/>
      <c r="U71"/>
      <c r="V71"/>
      <c r="W71"/>
      <c r="X71"/>
      <c r="Y71"/>
      <c r="Z71"/>
      <c r="AA71"/>
      <c r="AB71"/>
      <c r="AC71"/>
      <c r="AD71"/>
      <c r="AE71"/>
      <c r="AF71"/>
      <c r="AG71"/>
      <c r="AH71"/>
    </row>
    <row r="72" spans="1:34" s="2" customFormat="1">
      <c r="A72" s="1124"/>
      <c r="B72" s="1105"/>
      <c r="C72" s="415"/>
      <c r="D72" s="422"/>
      <c r="E72" s="417"/>
      <c r="F72" s="422"/>
      <c r="G72" s="831"/>
      <c r="H72" s="1468"/>
      <c r="I72" s="1468"/>
      <c r="J72" s="440"/>
      <c r="K72" s="1468"/>
      <c r="L72" s="1468"/>
      <c r="M72" s="1468"/>
      <c r="N72" s="1468"/>
      <c r="O72" s="1468"/>
      <c r="P72" s="1468"/>
      <c r="Q72" s="1468"/>
      <c r="R72" s="1468"/>
      <c r="S72" s="1468"/>
      <c r="T72"/>
      <c r="U72"/>
      <c r="V72"/>
      <c r="W72"/>
      <c r="X72"/>
      <c r="Y72"/>
      <c r="Z72"/>
      <c r="AA72"/>
      <c r="AB72"/>
      <c r="AC72"/>
      <c r="AD72"/>
      <c r="AE72"/>
      <c r="AF72"/>
      <c r="AG72"/>
      <c r="AH72"/>
    </row>
    <row r="73" spans="1:34" s="2" customFormat="1" ht="15.75" thickBot="1">
      <c r="A73" s="1126"/>
      <c r="B73" s="1469"/>
      <c r="C73" s="415"/>
      <c r="D73" s="422"/>
      <c r="E73" s="417"/>
      <c r="F73" s="422"/>
      <c r="G73" s="831"/>
      <c r="H73" s="1470"/>
      <c r="I73" s="1470"/>
      <c r="J73" s="441"/>
      <c r="K73" s="1470"/>
      <c r="L73" s="1470"/>
      <c r="M73" s="1470"/>
      <c r="N73" s="1470"/>
      <c r="O73" s="1470"/>
      <c r="P73" s="1470"/>
      <c r="Q73" s="1470"/>
      <c r="R73" s="1470"/>
      <c r="S73" s="1470"/>
    </row>
    <row r="74" spans="1:34" s="2" customFormat="1" ht="16.5" thickTop="1" thickBot="1">
      <c r="A74" s="2331" t="s">
        <v>762</v>
      </c>
      <c r="B74" s="2332"/>
      <c r="C74" s="298"/>
      <c r="D74" s="12"/>
      <c r="E74" s="350"/>
      <c r="F74" s="12"/>
      <c r="G74" s="26"/>
      <c r="H74" s="20"/>
      <c r="I74" s="20"/>
      <c r="J74" s="24"/>
      <c r="K74" s="20"/>
      <c r="L74" s="20"/>
      <c r="M74" s="20"/>
      <c r="N74" s="20"/>
      <c r="O74" s="20"/>
      <c r="P74" s="20"/>
      <c r="Q74" s="20"/>
      <c r="R74" s="20"/>
      <c r="S74" s="20"/>
      <c r="T74"/>
      <c r="U74"/>
      <c r="V74"/>
      <c r="W74"/>
      <c r="X74"/>
      <c r="Y74"/>
      <c r="Z74"/>
      <c r="AA74"/>
      <c r="AB74"/>
      <c r="AC74"/>
      <c r="AD74"/>
      <c r="AE74"/>
      <c r="AF74"/>
      <c r="AG74"/>
      <c r="AH74"/>
    </row>
    <row r="75" spans="1:34" ht="15.75" thickTop="1">
      <c r="A75" s="1407"/>
      <c r="B75" s="1225"/>
      <c r="C75" s="1545"/>
      <c r="D75" s="1435"/>
      <c r="E75" s="1415"/>
      <c r="F75" s="1435"/>
      <c r="G75" s="1404"/>
      <c r="H75" s="1223"/>
      <c r="I75" s="1223"/>
      <c r="J75" s="1405"/>
      <c r="K75" s="1223"/>
      <c r="L75" s="1223"/>
      <c r="M75" s="1223"/>
      <c r="N75" s="1223"/>
      <c r="O75" s="1223"/>
      <c r="P75" s="1223"/>
      <c r="Q75" s="1223"/>
      <c r="R75" s="1223"/>
      <c r="S75" s="1223"/>
      <c r="T75" s="2"/>
      <c r="U75" s="2"/>
      <c r="V75" s="2"/>
      <c r="W75" s="2"/>
      <c r="X75" s="2"/>
      <c r="Y75" s="2"/>
      <c r="Z75" s="2"/>
      <c r="AA75" s="2"/>
      <c r="AB75" s="2"/>
      <c r="AC75" s="2"/>
      <c r="AD75" s="2"/>
      <c r="AE75" s="2"/>
      <c r="AF75" s="2"/>
      <c r="AG75" s="2"/>
      <c r="AH75" s="2"/>
    </row>
    <row r="76" spans="1:34">
      <c r="A76" s="1126"/>
      <c r="B76" s="1469"/>
      <c r="C76" s="415"/>
      <c r="D76" s="422"/>
      <c r="E76" s="417"/>
      <c r="F76" s="422"/>
      <c r="G76" s="831"/>
      <c r="H76" s="1471"/>
      <c r="I76" s="1471"/>
      <c r="J76" s="442"/>
      <c r="K76" s="1471"/>
      <c r="L76" s="1471"/>
      <c r="M76" s="1471"/>
      <c r="N76" s="1471"/>
      <c r="O76" s="1471"/>
      <c r="P76" s="1471"/>
      <c r="Q76" s="1471"/>
      <c r="R76" s="1471"/>
      <c r="S76" s="1471"/>
      <c r="T76" s="2"/>
      <c r="U76" s="2"/>
      <c r="V76" s="2"/>
      <c r="W76" s="2"/>
      <c r="X76" s="2"/>
      <c r="Y76" s="2"/>
      <c r="Z76" s="2"/>
      <c r="AA76" s="2"/>
      <c r="AB76" s="2"/>
      <c r="AC76" s="2"/>
      <c r="AD76" s="2"/>
      <c r="AE76" s="2"/>
      <c r="AF76" s="2"/>
      <c r="AG76" s="2"/>
      <c r="AH76" s="2"/>
    </row>
    <row r="77" spans="1:34" ht="15.75" thickBot="1">
      <c r="A77" s="1126"/>
      <c r="B77" s="1469"/>
      <c r="C77" s="415"/>
      <c r="D77" s="422"/>
      <c r="E77" s="417"/>
      <c r="F77" s="422"/>
      <c r="G77" s="831"/>
      <c r="H77" s="1471"/>
      <c r="I77" s="1471"/>
      <c r="J77" s="442"/>
      <c r="K77" s="1471"/>
      <c r="L77" s="1471"/>
      <c r="M77" s="1471"/>
      <c r="N77" s="1471"/>
      <c r="O77" s="1471"/>
      <c r="P77" s="1471"/>
      <c r="Q77" s="1471"/>
      <c r="R77" s="1471"/>
      <c r="S77" s="1471"/>
      <c r="T77" s="2"/>
      <c r="U77" s="2"/>
      <c r="V77" s="2"/>
      <c r="W77" s="2"/>
      <c r="X77" s="2"/>
      <c r="Y77" s="2"/>
      <c r="Z77" s="2"/>
      <c r="AA77" s="2"/>
      <c r="AB77" s="2"/>
      <c r="AC77" s="2"/>
      <c r="AD77" s="2"/>
      <c r="AE77" s="2"/>
      <c r="AF77" s="2"/>
      <c r="AG77" s="2"/>
      <c r="AH77" s="2"/>
    </row>
    <row r="78" spans="1:34" ht="16.5" thickTop="1" thickBot="1">
      <c r="A78" s="2331" t="s">
        <v>763</v>
      </c>
      <c r="B78" s="2332"/>
      <c r="C78" s="298"/>
      <c r="D78" s="12"/>
      <c r="E78" s="350"/>
      <c r="F78" s="12"/>
      <c r="G78" s="26"/>
      <c r="H78" s="20"/>
      <c r="I78" s="20"/>
      <c r="J78" s="24"/>
      <c r="K78" s="20"/>
      <c r="L78" s="20"/>
      <c r="M78" s="20"/>
      <c r="N78" s="20"/>
      <c r="O78" s="20"/>
      <c r="P78" s="20"/>
      <c r="Q78" s="20"/>
      <c r="R78" s="20"/>
      <c r="S78" s="20"/>
    </row>
    <row r="79" spans="1:34" ht="15.75" thickTop="1">
      <c r="A79" s="1124"/>
      <c r="B79" s="1105" t="s">
        <v>764</v>
      </c>
      <c r="C79" s="415"/>
      <c r="D79" s="422"/>
      <c r="E79" s="417"/>
      <c r="F79" s="422"/>
      <c r="G79" s="831"/>
      <c r="H79" s="1471"/>
      <c r="I79" s="1471"/>
      <c r="J79" s="442"/>
      <c r="K79" s="1471"/>
      <c r="L79" s="1471"/>
      <c r="M79" s="1471"/>
      <c r="N79" s="1471"/>
      <c r="O79" s="1471"/>
      <c r="P79" s="1471"/>
      <c r="Q79" s="1471"/>
      <c r="R79" s="1471"/>
      <c r="S79" s="1471"/>
    </row>
    <row r="80" spans="1:34">
      <c r="A80" s="1124"/>
      <c r="B80" s="1105" t="s">
        <v>765</v>
      </c>
      <c r="C80" s="415"/>
      <c r="D80" s="422"/>
      <c r="E80" s="417"/>
      <c r="F80" s="422"/>
      <c r="G80" s="831"/>
      <c r="H80" s="1471"/>
      <c r="I80" s="1471"/>
      <c r="J80" s="442"/>
      <c r="K80" s="1471"/>
      <c r="L80" s="1471"/>
      <c r="M80" s="1471"/>
      <c r="N80" s="1471"/>
      <c r="O80" s="1471"/>
      <c r="P80" s="1471"/>
      <c r="Q80" s="1471"/>
      <c r="R80" s="1471"/>
      <c r="S80" s="1471"/>
    </row>
    <row r="81" spans="1:19">
      <c r="A81" s="1124"/>
      <c r="B81" s="1105" t="s">
        <v>766</v>
      </c>
      <c r="C81" s="415"/>
      <c r="D81" s="422"/>
      <c r="E81" s="417"/>
      <c r="F81" s="422"/>
      <c r="G81" s="831"/>
      <c r="H81" s="1471"/>
      <c r="I81" s="1471"/>
      <c r="J81" s="442"/>
      <c r="K81" s="1471"/>
      <c r="L81" s="1471"/>
      <c r="M81" s="1471"/>
      <c r="N81" s="1471"/>
      <c r="O81" s="1471"/>
      <c r="P81" s="1471"/>
      <c r="Q81" s="1471"/>
      <c r="R81" s="1471"/>
      <c r="S81" s="1471"/>
    </row>
    <row r="82" spans="1:19">
      <c r="A82" s="1124"/>
      <c r="B82" s="1105" t="s">
        <v>767</v>
      </c>
      <c r="C82" s="415"/>
      <c r="D82" s="422"/>
      <c r="E82" s="417"/>
      <c r="F82" s="422"/>
      <c r="G82" s="831"/>
      <c r="H82" s="1471"/>
      <c r="I82" s="1471"/>
      <c r="J82" s="442"/>
      <c r="K82" s="1471"/>
      <c r="L82" s="1471"/>
      <c r="M82" s="1471"/>
      <c r="N82" s="1471"/>
      <c r="O82" s="1471"/>
      <c r="P82" s="1471"/>
      <c r="Q82" s="1471"/>
      <c r="R82" s="1471"/>
      <c r="S82" s="1471"/>
    </row>
    <row r="83" spans="1:19" ht="15.75" thickBot="1">
      <c r="A83" s="443"/>
      <c r="B83" s="421"/>
      <c r="C83" s="23"/>
      <c r="D83" s="86"/>
      <c r="E83" s="266"/>
      <c r="F83" s="86"/>
      <c r="G83" s="27"/>
      <c r="H83" s="444"/>
      <c r="I83" s="444"/>
      <c r="J83" s="25"/>
      <c r="K83" s="444"/>
      <c r="L83" s="444"/>
      <c r="M83" s="444"/>
      <c r="N83" s="444"/>
      <c r="O83" s="444"/>
      <c r="P83" s="444"/>
      <c r="Q83" s="444"/>
      <c r="R83" s="444"/>
      <c r="S83" s="444"/>
    </row>
    <row r="84" spans="1:19" ht="16.5" thickTop="1" thickBot="1">
      <c r="A84" s="72" t="s">
        <v>768</v>
      </c>
      <c r="B84" s="73"/>
      <c r="C84" s="298"/>
      <c r="D84" s="12"/>
      <c r="E84" s="350"/>
      <c r="F84" s="12"/>
      <c r="G84" s="26"/>
      <c r="H84" s="20"/>
      <c r="I84" s="20"/>
      <c r="J84" s="24"/>
      <c r="K84" s="20"/>
      <c r="L84" s="20"/>
      <c r="M84" s="20"/>
      <c r="N84" s="20"/>
      <c r="O84" s="20"/>
      <c r="P84" s="20"/>
      <c r="Q84" s="20"/>
      <c r="R84" s="20"/>
      <c r="S84" s="20"/>
    </row>
    <row r="85" spans="1:19" ht="15.75" thickTop="1">
      <c r="A85" s="1403"/>
      <c r="B85" s="1226" t="s">
        <v>769</v>
      </c>
      <c r="C85" s="1545"/>
      <c r="D85" s="1435"/>
      <c r="E85" s="1415"/>
      <c r="F85" s="1435"/>
      <c r="G85" s="1404"/>
      <c r="H85" s="1228"/>
      <c r="I85" s="1228"/>
      <c r="J85" s="1410"/>
      <c r="K85" s="1228"/>
      <c r="L85" s="1228"/>
      <c r="M85" s="1228"/>
      <c r="N85" s="1228"/>
      <c r="O85" s="1228"/>
      <c r="P85" s="1228"/>
      <c r="Q85" s="1228"/>
      <c r="R85" s="1228"/>
      <c r="S85" s="1228"/>
    </row>
    <row r="86" spans="1:19">
      <c r="A86" s="1124"/>
      <c r="B86" s="1105" t="s">
        <v>770</v>
      </c>
      <c r="C86" s="415"/>
      <c r="D86" s="422"/>
      <c r="E86" s="417"/>
      <c r="F86" s="422"/>
      <c r="G86" s="831"/>
      <c r="H86" s="1472"/>
      <c r="I86" s="1472"/>
      <c r="J86" s="445"/>
      <c r="K86" s="1472"/>
      <c r="L86" s="1472"/>
      <c r="M86" s="1472"/>
      <c r="N86" s="1472"/>
      <c r="O86" s="1472"/>
      <c r="P86" s="1472"/>
      <c r="Q86" s="1472"/>
      <c r="R86" s="1472"/>
      <c r="S86" s="1472"/>
    </row>
    <row r="87" spans="1:19" ht="15.75" thickBot="1">
      <c r="A87" s="1376"/>
      <c r="B87" s="1377" t="s">
        <v>771</v>
      </c>
      <c r="C87" s="1378"/>
      <c r="D87" s="1379"/>
      <c r="E87" s="1437"/>
      <c r="F87" s="1379"/>
      <c r="G87" s="1380"/>
      <c r="H87" s="1382"/>
      <c r="I87" s="1382"/>
      <c r="J87" s="1381"/>
      <c r="K87" s="1382"/>
      <c r="L87" s="1382"/>
      <c r="M87" s="1382"/>
      <c r="N87" s="1382"/>
      <c r="O87" s="1382"/>
      <c r="P87" s="1382"/>
      <c r="Q87" s="1382"/>
      <c r="R87" s="1382"/>
      <c r="S87" s="1382"/>
    </row>
    <row r="88" spans="1:19" ht="16.5" thickTop="1" thickBot="1">
      <c r="F88" s="2"/>
      <c r="G88" s="2"/>
      <c r="H88" s="2"/>
      <c r="I88" s="2"/>
      <c r="J88" s="2"/>
      <c r="K88" s="2"/>
      <c r="L88" s="2"/>
      <c r="M88" s="2"/>
      <c r="N88" s="2"/>
      <c r="O88" s="2"/>
      <c r="P88" s="2"/>
      <c r="Q88" s="2"/>
      <c r="R88" s="2"/>
      <c r="S88" s="2"/>
    </row>
    <row r="89" spans="1:19" ht="16.5" thickTop="1" thickBot="1">
      <c r="A89" s="37" t="s">
        <v>772</v>
      </c>
      <c r="B89" s="39"/>
      <c r="F89" s="2"/>
      <c r="G89" s="2"/>
      <c r="H89" s="2"/>
      <c r="I89" s="2"/>
      <c r="J89" s="2"/>
      <c r="K89" s="2"/>
      <c r="L89" s="2"/>
      <c r="M89" s="2"/>
      <c r="N89" s="2"/>
      <c r="O89" s="2"/>
      <c r="P89" s="2"/>
      <c r="Q89" s="2"/>
      <c r="R89" s="2"/>
      <c r="S89" s="2"/>
    </row>
    <row r="90" spans="1:19" ht="15.75" thickTop="1">
      <c r="A90" s="38" t="s">
        <v>693</v>
      </c>
      <c r="B90" s="1474"/>
      <c r="F90" s="2"/>
      <c r="G90" s="2"/>
      <c r="H90" s="2"/>
      <c r="I90" s="2"/>
      <c r="J90" s="2"/>
      <c r="K90" s="2"/>
      <c r="L90" s="2"/>
      <c r="M90" s="2"/>
      <c r="N90" s="2"/>
      <c r="O90" s="2"/>
      <c r="P90" s="2"/>
      <c r="Q90" s="2"/>
      <c r="R90" s="2"/>
      <c r="S90" s="2"/>
    </row>
    <row r="91" spans="1:19">
      <c r="A91" s="1142" t="s">
        <v>702</v>
      </c>
      <c r="B91" s="1474"/>
      <c r="F91" s="2"/>
      <c r="G91" s="2"/>
      <c r="H91" s="2"/>
      <c r="I91" s="2"/>
      <c r="J91" s="2"/>
      <c r="K91" s="2"/>
      <c r="L91" s="2"/>
      <c r="M91" s="2"/>
      <c r="N91" s="2"/>
      <c r="O91" s="2"/>
      <c r="P91" s="2"/>
      <c r="Q91" s="2"/>
      <c r="R91" s="2"/>
      <c r="S91" s="2"/>
    </row>
    <row r="92" spans="1:19">
      <c r="A92" s="1454" t="s">
        <v>708</v>
      </c>
      <c r="B92" s="1475"/>
      <c r="F92" s="2"/>
      <c r="G92" s="2"/>
      <c r="H92" s="2"/>
      <c r="I92" s="2"/>
      <c r="J92" s="2"/>
      <c r="K92" s="2"/>
      <c r="L92" s="2"/>
      <c r="M92" s="2"/>
      <c r="N92" s="2"/>
      <c r="O92" s="2"/>
      <c r="P92" s="2"/>
      <c r="Q92" s="2"/>
      <c r="R92" s="2"/>
      <c r="S92" s="2"/>
    </row>
    <row r="93" spans="1:19">
      <c r="A93" s="1454" t="s">
        <v>713</v>
      </c>
      <c r="B93" s="1476"/>
      <c r="F93" s="2"/>
      <c r="G93" s="2"/>
      <c r="H93" s="2"/>
      <c r="I93" s="2"/>
      <c r="J93" s="2"/>
      <c r="K93" s="2"/>
      <c r="L93" s="2"/>
      <c r="M93" s="2"/>
      <c r="N93" s="2"/>
      <c r="O93" s="2"/>
      <c r="P93" s="2"/>
      <c r="Q93" s="2"/>
      <c r="R93" s="2"/>
      <c r="S93" s="2"/>
    </row>
    <row r="94" spans="1:19" ht="15.75" thickBot="1">
      <c r="A94" s="1383" t="s">
        <v>69</v>
      </c>
      <c r="B94" s="1397">
        <f>I58</f>
        <v>29480</v>
      </c>
      <c r="F94" s="2"/>
      <c r="G94" s="2"/>
      <c r="H94" s="2"/>
      <c r="I94" s="2"/>
      <c r="J94" s="2"/>
      <c r="K94" s="2"/>
      <c r="L94" s="2"/>
      <c r="M94" s="2"/>
      <c r="N94" s="2"/>
      <c r="O94" s="2"/>
      <c r="P94" s="2"/>
      <c r="Q94" s="2"/>
      <c r="R94" s="2"/>
      <c r="S94" s="2"/>
    </row>
    <row r="95" spans="1:19" ht="15.75" thickTop="1"/>
  </sheetData>
  <mergeCells count="41">
    <mergeCell ref="A62:B62"/>
    <mergeCell ref="A66:B66"/>
    <mergeCell ref="A70:B70"/>
    <mergeCell ref="A74:B74"/>
    <mergeCell ref="A78:B78"/>
    <mergeCell ref="P5:Q5"/>
    <mergeCell ref="P6:Q6"/>
    <mergeCell ref="P7:Q7"/>
    <mergeCell ref="P8:Q8"/>
    <mergeCell ref="P9:Q9"/>
    <mergeCell ref="R5:S5"/>
    <mergeCell ref="R6:S6"/>
    <mergeCell ref="R7:S7"/>
    <mergeCell ref="R8:S8"/>
    <mergeCell ref="R9:S9"/>
    <mergeCell ref="L5:M5"/>
    <mergeCell ref="L6:M6"/>
    <mergeCell ref="L7:M7"/>
    <mergeCell ref="L8:M8"/>
    <mergeCell ref="L9:M9"/>
    <mergeCell ref="N5:O5"/>
    <mergeCell ref="N6:O6"/>
    <mergeCell ref="N7:O7"/>
    <mergeCell ref="N8:O8"/>
    <mergeCell ref="N9:O9"/>
    <mergeCell ref="J5:K5"/>
    <mergeCell ref="J6:K6"/>
    <mergeCell ref="J7:K7"/>
    <mergeCell ref="J8:K8"/>
    <mergeCell ref="J9:K9"/>
    <mergeCell ref="H5:I5"/>
    <mergeCell ref="H6:I6"/>
    <mergeCell ref="H7:I7"/>
    <mergeCell ref="H8:I8"/>
    <mergeCell ref="H9:I9"/>
    <mergeCell ref="R4:S4"/>
    <mergeCell ref="J4:K4"/>
    <mergeCell ref="H4:I4"/>
    <mergeCell ref="L4:M4"/>
    <mergeCell ref="N4:O4"/>
    <mergeCell ref="P4:Q4"/>
  </mergeCells>
  <conditionalFormatting sqref="H11:H19">
    <cfRule type="cellIs" dxfId="433" priority="1" operator="equal">
      <formula>"X"</formula>
    </cfRule>
    <cfRule type="cellIs" dxfId="432" priority="2" operator="equal">
      <formula>"I"</formula>
    </cfRule>
  </conditionalFormatting>
  <conditionalFormatting sqref="J11:J19 L11:L19 N11:N19 P11:P19 R11:R19 H21:H53 J21:J53 L21:L53 N21:N53 P21:P53 R21:R53">
    <cfRule type="cellIs" dxfId="431" priority="15" operator="equal">
      <formula>"X"</formula>
    </cfRule>
    <cfRule type="cellIs" dxfId="430" priority="16" operator="equal">
      <formula>"I"</formula>
    </cfRule>
  </conditionalFormatting>
  <hyperlinks>
    <hyperlink ref="B4" location="'Cost Summary'!A1" display="BACK TO SUMMARY SHEET" xr:uid="{385CF59B-DB98-47D5-8529-B9BAB29CB031}"/>
    <hyperlink ref="J8" r:id="rId1" xr:uid="{283C7E1A-CF73-40C1-B74B-5E1F0D3854E1}"/>
    <hyperlink ref="H8" r:id="rId2" xr:uid="{54018D1B-37C8-4FB5-A44B-5C02051BF112}"/>
    <hyperlink ref="L8" r:id="rId3" xr:uid="{51334EB7-35E2-42F8-8622-566F49C622F3}"/>
  </hyperlinks>
  <pageMargins left="0.7" right="0.7" top="0.75" bottom="0.75" header="0.3" footer="0.3"/>
  <pageSetup orientation="portrait"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4FE6-2C5C-4C25-AABF-990EDFBD7E0D}">
  <sheetPr>
    <tabColor rgb="FFFF0000"/>
  </sheetPr>
  <dimension ref="A1:AM162"/>
  <sheetViews>
    <sheetView zoomScale="90" zoomScaleNormal="90" workbookViewId="0">
      <pane xSplit="2" ySplit="10" topLeftCell="C89" activePane="bottomRight" state="frozen"/>
      <selection pane="topRight" activeCell="C1" sqref="C1"/>
      <selection pane="bottomLeft" activeCell="A10" sqref="A10"/>
      <selection pane="bottomRight" activeCell="B4" sqref="B4"/>
    </sheetView>
  </sheetViews>
  <sheetFormatPr defaultRowHeight="15"/>
  <cols>
    <col min="1" max="1" width="11" customWidth="1"/>
    <col min="2" max="2" width="70.7109375" style="1" customWidth="1"/>
    <col min="3" max="3" width="12.7109375" style="2" customWidth="1"/>
    <col min="4" max="4" width="12.7109375" style="260" customWidth="1"/>
    <col min="5" max="5" width="7.7109375" style="68" customWidth="1"/>
    <col min="6" max="6" width="18" style="281" bestFit="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 min="22" max="22" width="6.28515625" bestFit="1" customWidth="1"/>
    <col min="23" max="24" width="7.28515625" bestFit="1" customWidth="1"/>
    <col min="25" max="26" width="10" bestFit="1" customWidth="1"/>
    <col min="27" max="27" width="12.140625" bestFit="1" customWidth="1"/>
    <col min="28" max="28" width="10.28515625" bestFit="1" customWidth="1"/>
    <col min="29" max="29" width="11.140625" bestFit="1" customWidth="1"/>
  </cols>
  <sheetData>
    <row r="1" spans="1:22">
      <c r="F1" s="275"/>
      <c r="G1" s="269" t="s">
        <v>679</v>
      </c>
      <c r="V1" s="261"/>
    </row>
    <row r="2" spans="1:22">
      <c r="F2" s="276" t="s">
        <v>680</v>
      </c>
      <c r="G2" s="269" t="s">
        <v>681</v>
      </c>
      <c r="V2" s="261"/>
    </row>
    <row r="3" spans="1:22" ht="15.75" thickBot="1">
      <c r="F3" s="277" t="s">
        <v>682</v>
      </c>
      <c r="G3" s="269" t="s">
        <v>683</v>
      </c>
      <c r="V3" s="261"/>
    </row>
    <row r="4" spans="1:22" ht="15.75" thickBot="1">
      <c r="B4" s="262" t="s">
        <v>684</v>
      </c>
      <c r="F4" s="278"/>
      <c r="G4" s="270" t="s">
        <v>685</v>
      </c>
      <c r="H4" s="2323" t="s">
        <v>688</v>
      </c>
      <c r="I4" s="2324"/>
      <c r="J4" s="2319" t="s">
        <v>687</v>
      </c>
      <c r="K4" s="2320"/>
      <c r="L4" s="2319" t="s">
        <v>686</v>
      </c>
      <c r="M4" s="2320"/>
      <c r="N4" s="2319" t="s">
        <v>689</v>
      </c>
      <c r="O4" s="2320"/>
      <c r="P4" s="2319" t="s">
        <v>690</v>
      </c>
      <c r="Q4" s="2320"/>
      <c r="R4" s="2319" t="s">
        <v>691</v>
      </c>
      <c r="S4" s="2320"/>
      <c r="V4" s="261"/>
    </row>
    <row r="5" spans="1:22" ht="15.75" thickTop="1">
      <c r="A5" s="292" t="s">
        <v>692</v>
      </c>
      <c r="B5" s="299" t="str">
        <f>'Area Calculations'!B4</f>
        <v>ERAU Residential Hall &amp; Garage Building</v>
      </c>
      <c r="C5" s="294"/>
      <c r="D5" s="263"/>
      <c r="E5" s="264"/>
      <c r="F5" s="279"/>
      <c r="G5" s="271" t="s">
        <v>693</v>
      </c>
      <c r="H5" s="2321" t="s">
        <v>247</v>
      </c>
      <c r="I5" s="2322"/>
      <c r="J5" s="2321" t="s">
        <v>1497</v>
      </c>
      <c r="K5" s="2322"/>
      <c r="L5" s="2321" t="s">
        <v>1498</v>
      </c>
      <c r="M5" s="2322"/>
      <c r="N5" s="2321" t="s">
        <v>1499</v>
      </c>
      <c r="O5" s="2322"/>
      <c r="P5" s="2321" t="s">
        <v>1500</v>
      </c>
      <c r="Q5" s="2322"/>
      <c r="R5" s="2333"/>
      <c r="S5" s="2334"/>
      <c r="V5" s="261"/>
    </row>
    <row r="6" spans="1:22">
      <c r="A6" s="1082" t="s">
        <v>700</v>
      </c>
      <c r="B6" s="1455" t="s">
        <v>324</v>
      </c>
      <c r="C6" s="415"/>
      <c r="D6" s="416"/>
      <c r="E6" s="417"/>
      <c r="F6" s="418"/>
      <c r="G6" s="419" t="s">
        <v>702</v>
      </c>
      <c r="H6" s="2325" t="s">
        <v>1501</v>
      </c>
      <c r="I6" s="2326"/>
      <c r="J6" s="2325" t="s">
        <v>1502</v>
      </c>
      <c r="K6" s="2326"/>
      <c r="L6" s="2325" t="s">
        <v>1503</v>
      </c>
      <c r="M6" s="2326"/>
      <c r="N6" s="2325" t="s">
        <v>1504</v>
      </c>
      <c r="O6" s="2326"/>
      <c r="P6" s="2313"/>
      <c r="Q6" s="2314"/>
      <c r="R6" s="2313"/>
      <c r="S6" s="2314"/>
      <c r="V6" s="261"/>
    </row>
    <row r="7" spans="1:22">
      <c r="A7" s="1082" t="s">
        <v>706</v>
      </c>
      <c r="B7" s="1456" t="s">
        <v>323</v>
      </c>
      <c r="C7" s="415"/>
      <c r="D7" s="416"/>
      <c r="E7" s="417"/>
      <c r="F7" s="418"/>
      <c r="G7" s="829" t="s">
        <v>708</v>
      </c>
      <c r="H7" s="2325" t="s">
        <v>1505</v>
      </c>
      <c r="I7" s="2326"/>
      <c r="J7" s="2325" t="s">
        <v>1506</v>
      </c>
      <c r="K7" s="2326"/>
      <c r="L7" s="2325" t="s">
        <v>1507</v>
      </c>
      <c r="M7" s="2326"/>
      <c r="N7" s="2325" t="s">
        <v>1508</v>
      </c>
      <c r="O7" s="2326"/>
      <c r="P7" s="2313"/>
      <c r="Q7" s="2314"/>
      <c r="R7" s="2313"/>
      <c r="S7" s="2314"/>
      <c r="V7" s="261"/>
    </row>
    <row r="8" spans="1:22">
      <c r="A8" s="1082" t="s">
        <v>712</v>
      </c>
      <c r="B8" s="1457"/>
      <c r="C8" s="415"/>
      <c r="D8" s="416"/>
      <c r="E8" s="417"/>
      <c r="F8" s="418"/>
      <c r="G8" s="829" t="s">
        <v>713</v>
      </c>
      <c r="H8" s="2327" t="s">
        <v>1509</v>
      </c>
      <c r="I8" s="2328"/>
      <c r="J8" s="2327" t="s">
        <v>1510</v>
      </c>
      <c r="K8" s="2328"/>
      <c r="L8" s="2327" t="s">
        <v>1511</v>
      </c>
      <c r="M8" s="2328"/>
      <c r="N8" s="2327" t="s">
        <v>1512</v>
      </c>
      <c r="O8" s="2328"/>
      <c r="P8" s="2315"/>
      <c r="Q8" s="2316"/>
      <c r="R8" s="2315"/>
      <c r="S8" s="2316"/>
      <c r="V8" s="261"/>
    </row>
    <row r="9" spans="1:22" ht="15.75" thickBot="1">
      <c r="A9" s="420"/>
      <c r="B9" s="421"/>
      <c r="C9" s="23"/>
      <c r="D9" s="265"/>
      <c r="E9" s="266"/>
      <c r="F9" s="283"/>
      <c r="G9" s="284" t="s">
        <v>717</v>
      </c>
      <c r="H9" s="2317">
        <f>I125</f>
        <v>5009000</v>
      </c>
      <c r="I9" s="2318"/>
      <c r="J9" s="2317">
        <f>K125</f>
        <v>5198500</v>
      </c>
      <c r="K9" s="2318"/>
      <c r="L9" s="2317">
        <f>M125</f>
        <v>4454215</v>
      </c>
      <c r="M9" s="2318"/>
      <c r="N9" s="2330">
        <f>O125</f>
        <v>2774629.27</v>
      </c>
      <c r="O9" s="2330"/>
      <c r="P9" s="2317">
        <f>Q125</f>
        <v>2350928.6612357353</v>
      </c>
      <c r="Q9" s="2318"/>
      <c r="R9" s="2317">
        <f>S125</f>
        <v>0</v>
      </c>
      <c r="S9" s="2318"/>
      <c r="V9" s="261"/>
    </row>
    <row r="10" spans="1:22"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V10" s="268"/>
    </row>
    <row r="11" spans="1:22">
      <c r="A11" s="1412"/>
      <c r="B11" s="1233" t="s">
        <v>725</v>
      </c>
      <c r="C11" s="1548"/>
      <c r="D11" s="1414"/>
      <c r="E11" s="1415"/>
      <c r="F11" s="1416"/>
      <c r="G11" s="1417"/>
      <c r="H11" s="1539"/>
      <c r="I11" s="1419"/>
      <c r="J11" s="1539"/>
      <c r="K11" s="348"/>
      <c r="L11" s="1539"/>
      <c r="M11" s="1420"/>
      <c r="N11" s="1539"/>
      <c r="O11" s="1419"/>
      <c r="P11" s="1539"/>
      <c r="Q11" s="1419"/>
      <c r="R11" s="1539"/>
      <c r="S11" s="1419"/>
    </row>
    <row r="12" spans="1:22">
      <c r="A12" s="1412"/>
      <c r="B12" s="1485" t="s">
        <v>726</v>
      </c>
      <c r="C12" s="415"/>
      <c r="D12" s="416"/>
      <c r="E12" s="417"/>
      <c r="F12" s="418"/>
      <c r="G12" s="423"/>
      <c r="H12" s="1459" t="s">
        <v>727</v>
      </c>
      <c r="I12" s="1419"/>
      <c r="J12" s="1486"/>
      <c r="K12" s="1419"/>
      <c r="L12" s="1486"/>
      <c r="M12" s="1420"/>
      <c r="N12" s="1486"/>
      <c r="O12" s="1419"/>
      <c r="P12" s="1486"/>
      <c r="Q12" s="1419"/>
      <c r="R12" s="1486"/>
      <c r="S12" s="1419"/>
    </row>
    <row r="13" spans="1:22">
      <c r="A13" s="1097"/>
      <c r="B13" s="1485" t="s">
        <v>728</v>
      </c>
      <c r="C13" s="415"/>
      <c r="D13" s="416"/>
      <c r="E13" s="417"/>
      <c r="F13" s="418"/>
      <c r="G13" s="423"/>
      <c r="H13" s="1459" t="s">
        <v>727</v>
      </c>
      <c r="I13" s="1419"/>
      <c r="J13" s="1486"/>
      <c r="K13" s="1419"/>
      <c r="L13" s="1486"/>
      <c r="M13" s="1420"/>
      <c r="N13" s="1486"/>
      <c r="O13" s="1419"/>
      <c r="P13" s="1486"/>
      <c r="Q13" s="1419"/>
      <c r="R13" s="1486"/>
      <c r="S13" s="1419"/>
    </row>
    <row r="14" spans="1:22">
      <c r="A14" s="1412"/>
      <c r="B14" s="1487" t="s">
        <v>729</v>
      </c>
      <c r="C14" s="415"/>
      <c r="D14" s="416"/>
      <c r="E14" s="417"/>
      <c r="F14" s="418"/>
      <c r="G14" s="423"/>
      <c r="H14" s="1459" t="s">
        <v>730</v>
      </c>
      <c r="I14" s="1419" t="s">
        <v>1513</v>
      </c>
      <c r="J14" s="1486"/>
      <c r="K14" s="1419"/>
      <c r="L14" s="1486"/>
      <c r="M14" s="1420"/>
      <c r="N14" s="1486"/>
      <c r="O14" s="1419"/>
      <c r="P14" s="1486"/>
      <c r="Q14" s="1419"/>
      <c r="R14" s="1486"/>
      <c r="S14" s="1419"/>
    </row>
    <row r="15" spans="1:22">
      <c r="A15" s="1097"/>
      <c r="B15" s="1487" t="s">
        <v>731</v>
      </c>
      <c r="C15" s="415"/>
      <c r="D15" s="416"/>
      <c r="E15" s="417"/>
      <c r="F15" s="418"/>
      <c r="G15" s="423"/>
      <c r="H15" s="1459" t="s">
        <v>727</v>
      </c>
      <c r="I15" s="1420"/>
      <c r="J15" s="1486"/>
      <c r="K15" s="1420"/>
      <c r="L15" s="1486"/>
      <c r="M15" s="1420"/>
      <c r="N15" s="1486"/>
      <c r="O15" s="1420"/>
      <c r="P15" s="1486"/>
      <c r="Q15" s="1420"/>
      <c r="R15" s="1486"/>
      <c r="S15" s="1420"/>
    </row>
    <row r="16" spans="1:22">
      <c r="A16" s="1412"/>
      <c r="B16" s="1487" t="s">
        <v>732</v>
      </c>
      <c r="C16" s="415"/>
      <c r="D16" s="416"/>
      <c r="E16" s="417"/>
      <c r="F16" s="418"/>
      <c r="G16" s="423"/>
      <c r="H16" s="1459" t="s">
        <v>727</v>
      </c>
      <c r="I16" s="1419"/>
      <c r="J16" s="1486"/>
      <c r="K16" s="1419"/>
      <c r="L16" s="1486"/>
      <c r="M16" s="1420"/>
      <c r="N16" s="1486"/>
      <c r="O16" s="1419"/>
      <c r="P16" s="1486"/>
      <c r="Q16" s="1419"/>
      <c r="R16" s="1486"/>
      <c r="S16" s="1419"/>
    </row>
    <row r="17" spans="1:39">
      <c r="A17" s="1097"/>
      <c r="B17" s="1487" t="s">
        <v>733</v>
      </c>
      <c r="C17" s="415"/>
      <c r="D17" s="416"/>
      <c r="E17" s="417"/>
      <c r="F17" s="418"/>
      <c r="G17" s="423"/>
      <c r="H17" s="1459" t="s">
        <v>727</v>
      </c>
      <c r="I17" s="1419"/>
      <c r="J17" s="1486"/>
      <c r="K17" s="1419"/>
      <c r="L17" s="1486"/>
      <c r="M17" s="1420"/>
      <c r="N17" s="1486"/>
      <c r="O17" s="1419"/>
      <c r="P17" s="1486"/>
      <c r="Q17" s="1419"/>
      <c r="R17" s="1486"/>
      <c r="S17" s="1419"/>
    </row>
    <row r="18" spans="1:39">
      <c r="A18" s="1412"/>
      <c r="B18" s="726" t="s">
        <v>734</v>
      </c>
      <c r="C18" s="415"/>
      <c r="D18" s="416"/>
      <c r="E18" s="417"/>
      <c r="F18" s="418"/>
      <c r="G18" s="423"/>
      <c r="H18" s="1459" t="s">
        <v>730</v>
      </c>
      <c r="I18" s="1419" t="s">
        <v>1514</v>
      </c>
      <c r="J18" s="1486"/>
      <c r="K18" s="1419"/>
      <c r="L18" s="1486"/>
      <c r="M18" s="1420"/>
      <c r="N18" s="1486"/>
      <c r="O18" s="1419"/>
      <c r="P18" s="1486"/>
      <c r="Q18" s="1419"/>
      <c r="R18" s="1486"/>
      <c r="S18" s="1419"/>
    </row>
    <row r="19" spans="1:39">
      <c r="A19" s="1412"/>
      <c r="B19" s="1099" t="s">
        <v>736</v>
      </c>
      <c r="C19" s="415"/>
      <c r="D19" s="416"/>
      <c r="E19" s="417"/>
      <c r="F19" s="418"/>
      <c r="G19" s="423"/>
      <c r="H19" s="1486"/>
      <c r="I19" s="1419"/>
      <c r="J19" s="1486"/>
      <c r="K19" s="1419"/>
      <c r="L19" s="1486"/>
      <c r="M19" s="1420"/>
      <c r="N19" s="1486"/>
      <c r="O19" s="1419"/>
      <c r="P19" s="1486"/>
      <c r="Q19" s="1419"/>
      <c r="R19" s="1486"/>
      <c r="S19" s="1419"/>
    </row>
    <row r="20" spans="1:39">
      <c r="A20" s="1097"/>
      <c r="B20" s="1549" t="s">
        <v>737</v>
      </c>
      <c r="C20" s="424"/>
      <c r="D20" s="448"/>
      <c r="E20" s="449"/>
      <c r="F20" s="426"/>
      <c r="G20" s="427"/>
      <c r="H20" s="1101"/>
      <c r="I20" s="1422">
        <v>4912000</v>
      </c>
      <c r="J20" s="1101"/>
      <c r="K20" s="1422">
        <v>4991000</v>
      </c>
      <c r="L20" s="1101"/>
      <c r="M20" s="1423"/>
      <c r="N20" s="1101"/>
      <c r="O20" s="1422"/>
      <c r="P20" s="1101"/>
      <c r="Q20" s="1422"/>
      <c r="R20" s="1101"/>
      <c r="S20" s="1422"/>
    </row>
    <row r="21" spans="1:39">
      <c r="A21" s="1412"/>
      <c r="B21" s="1477"/>
      <c r="C21" s="23"/>
      <c r="D21" s="265"/>
      <c r="E21" s="266"/>
      <c r="F21" s="280"/>
      <c r="G21" s="274"/>
      <c r="H21" s="1486"/>
      <c r="I21" s="428"/>
      <c r="J21" s="1486"/>
      <c r="K21" s="428"/>
      <c r="L21" s="1486"/>
      <c r="M21" s="428"/>
      <c r="N21" s="1486"/>
      <c r="O21" s="428"/>
      <c r="P21" s="1486"/>
      <c r="Q21" s="428"/>
      <c r="R21" s="1486"/>
      <c r="S21" s="428"/>
    </row>
    <row r="22" spans="1:39" s="69" customFormat="1" ht="30">
      <c r="A22" s="1097"/>
      <c r="B22" s="1105" t="s">
        <v>1515</v>
      </c>
      <c r="C22" s="415"/>
      <c r="D22" s="416"/>
      <c r="E22" s="417"/>
      <c r="F22" s="429"/>
      <c r="G22" s="423"/>
      <c r="H22" s="1486"/>
      <c r="I22" s="1106"/>
      <c r="J22" s="1486"/>
      <c r="K22" s="1106"/>
      <c r="L22" s="1486"/>
      <c r="M22" s="1107"/>
      <c r="N22" s="1486"/>
      <c r="O22" s="1107"/>
      <c r="P22" s="1486"/>
      <c r="Q22" s="1107"/>
      <c r="R22" s="1486"/>
      <c r="S22" s="1106"/>
      <c r="T22"/>
      <c r="U22"/>
      <c r="V22"/>
      <c r="W22"/>
      <c r="X22"/>
      <c r="Y22"/>
      <c r="Z22"/>
      <c r="AA22"/>
      <c r="AB22"/>
      <c r="AC22"/>
      <c r="AD22"/>
      <c r="AE22"/>
      <c r="AF22"/>
      <c r="AG22"/>
      <c r="AH22"/>
      <c r="AI22"/>
      <c r="AJ22"/>
      <c r="AK22"/>
      <c r="AL22"/>
      <c r="AM22"/>
    </row>
    <row r="23" spans="1:39">
      <c r="A23" s="1412"/>
      <c r="B23" s="1540" t="s">
        <v>1516</v>
      </c>
      <c r="C23" s="1548"/>
      <c r="D23" s="1443"/>
      <c r="E23" s="1415"/>
      <c r="F23" s="1401"/>
      <c r="G23" s="1402"/>
      <c r="H23" s="1486"/>
      <c r="I23" s="1419"/>
      <c r="J23" s="1486"/>
      <c r="K23" s="1419"/>
      <c r="L23" s="1486"/>
      <c r="M23" s="1419"/>
      <c r="N23" s="1486"/>
      <c r="O23" s="1419"/>
      <c r="P23" s="1486"/>
      <c r="Q23" s="1419"/>
      <c r="R23" s="1486"/>
      <c r="S23" s="1419"/>
    </row>
    <row r="24" spans="1:39">
      <c r="A24" s="1097"/>
      <c r="B24" s="1540" t="s">
        <v>1517</v>
      </c>
      <c r="C24" s="415"/>
      <c r="D24" s="450"/>
      <c r="E24" s="417"/>
      <c r="F24" s="431"/>
      <c r="G24" s="1402"/>
      <c r="H24" s="1486"/>
      <c r="I24" s="1419"/>
      <c r="J24" s="1486"/>
      <c r="K24" s="1419"/>
      <c r="L24" s="1486"/>
      <c r="M24" s="1419"/>
      <c r="N24" s="1486"/>
      <c r="O24" s="1419"/>
      <c r="P24" s="1486"/>
      <c r="Q24" s="1419"/>
      <c r="R24" s="1486"/>
      <c r="S24" s="1419"/>
    </row>
    <row r="25" spans="1:39">
      <c r="A25" s="1412"/>
      <c r="B25" s="1540" t="s">
        <v>1518</v>
      </c>
      <c r="C25" s="415"/>
      <c r="D25" s="450"/>
      <c r="E25" s="417"/>
      <c r="F25" s="431"/>
      <c r="G25" s="1402"/>
      <c r="H25" s="1486"/>
      <c r="I25" s="1419"/>
      <c r="J25" s="1486"/>
      <c r="K25" s="1419"/>
      <c r="L25" s="1486"/>
      <c r="M25" s="1419"/>
      <c r="N25" s="1486" t="s">
        <v>682</v>
      </c>
      <c r="O25" s="1419"/>
      <c r="P25" s="1486"/>
      <c r="Q25" s="1419"/>
      <c r="R25" s="1486"/>
      <c r="S25" s="1419"/>
    </row>
    <row r="26" spans="1:39">
      <c r="A26" s="1097"/>
      <c r="B26" s="1540" t="s">
        <v>1519</v>
      </c>
      <c r="C26" s="415"/>
      <c r="D26" s="450"/>
      <c r="E26" s="417"/>
      <c r="F26" s="431"/>
      <c r="G26" s="1402"/>
      <c r="H26" s="1486"/>
      <c r="I26" s="1419"/>
      <c r="J26" s="1486"/>
      <c r="K26" s="1419"/>
      <c r="L26" s="1486"/>
      <c r="M26" s="1419"/>
      <c r="N26" s="1486"/>
      <c r="O26" s="1419"/>
      <c r="P26" s="1486"/>
      <c r="Q26" s="1419"/>
      <c r="R26" s="1486"/>
      <c r="S26" s="1419"/>
    </row>
    <row r="27" spans="1:39">
      <c r="A27" s="1412"/>
      <c r="B27" s="1540" t="s">
        <v>1520</v>
      </c>
      <c r="C27" s="415"/>
      <c r="D27" s="450"/>
      <c r="E27" s="417"/>
      <c r="F27" s="431"/>
      <c r="G27" s="1402"/>
      <c r="H27" s="1486" t="s">
        <v>682</v>
      </c>
      <c r="I27" s="1419"/>
      <c r="J27" s="1486" t="s">
        <v>682</v>
      </c>
      <c r="K27" s="1419"/>
      <c r="L27" s="1486"/>
      <c r="M27" s="1419"/>
      <c r="N27" s="1486"/>
      <c r="O27" s="1419"/>
      <c r="P27" s="1486"/>
      <c r="Q27" s="1419"/>
      <c r="R27" s="1486"/>
      <c r="S27" s="1419"/>
    </row>
    <row r="28" spans="1:39">
      <c r="A28" s="1097"/>
      <c r="B28" s="1204"/>
      <c r="C28" s="415"/>
      <c r="D28" s="450"/>
      <c r="E28" s="417"/>
      <c r="F28" s="431"/>
      <c r="G28" s="1402"/>
      <c r="H28" s="1486"/>
      <c r="I28" s="1419"/>
      <c r="J28" s="1486"/>
      <c r="K28" s="1419"/>
      <c r="L28" s="1486"/>
      <c r="M28" s="1430" t="s">
        <v>1521</v>
      </c>
      <c r="N28" s="1486"/>
      <c r="O28" s="1419"/>
      <c r="P28" s="1486"/>
      <c r="Q28" s="1419"/>
      <c r="R28" s="1486"/>
      <c r="S28" s="1419"/>
    </row>
    <row r="29" spans="1:39" ht="30">
      <c r="A29" s="1412"/>
      <c r="B29" s="1105" t="s">
        <v>1522</v>
      </c>
      <c r="C29" s="415"/>
      <c r="D29" s="450"/>
      <c r="E29" s="417"/>
      <c r="F29" s="431"/>
      <c r="G29" s="1402"/>
      <c r="H29" s="1486"/>
      <c r="I29" s="1419"/>
      <c r="J29" s="1486"/>
      <c r="K29" s="1419"/>
      <c r="L29" s="1486"/>
      <c r="M29" s="1419"/>
      <c r="N29" s="1486"/>
      <c r="O29" s="1419"/>
      <c r="P29" s="1486"/>
      <c r="Q29" s="1419"/>
      <c r="R29" s="1486"/>
      <c r="S29" s="1419"/>
    </row>
    <row r="30" spans="1:39">
      <c r="A30" s="1097"/>
      <c r="B30" s="1540" t="s">
        <v>1523</v>
      </c>
      <c r="C30" s="415"/>
      <c r="D30" s="450"/>
      <c r="E30" s="417"/>
      <c r="F30" s="431"/>
      <c r="G30" s="1402"/>
      <c r="H30" s="1486"/>
      <c r="I30" s="1419"/>
      <c r="J30" s="1486"/>
      <c r="K30" s="1419"/>
      <c r="L30" s="1486"/>
      <c r="M30" s="1419"/>
      <c r="N30" s="1486"/>
      <c r="O30" s="1419"/>
      <c r="P30" s="1486"/>
      <c r="Q30" s="1419"/>
      <c r="R30" s="1486"/>
      <c r="S30" s="1419"/>
    </row>
    <row r="31" spans="1:39">
      <c r="A31" s="1412"/>
      <c r="B31" s="1540" t="s">
        <v>1524</v>
      </c>
      <c r="C31" s="415"/>
      <c r="D31" s="450"/>
      <c r="E31" s="417"/>
      <c r="F31" s="431"/>
      <c r="G31" s="1402"/>
      <c r="H31" s="1486"/>
      <c r="I31" s="1419"/>
      <c r="J31" s="1486"/>
      <c r="K31" s="1419"/>
      <c r="L31" s="1486"/>
      <c r="M31" s="1419"/>
      <c r="N31" s="1486"/>
      <c r="O31" s="1419"/>
      <c r="P31" s="1486"/>
      <c r="Q31" s="1419"/>
      <c r="R31" s="1486"/>
      <c r="S31" s="1419"/>
    </row>
    <row r="32" spans="1:39">
      <c r="A32" s="1097"/>
      <c r="B32" s="1540" t="s">
        <v>1525</v>
      </c>
      <c r="C32" s="415"/>
      <c r="D32" s="450"/>
      <c r="E32" s="417"/>
      <c r="F32" s="431"/>
      <c r="G32" s="1402"/>
      <c r="H32" s="1486"/>
      <c r="I32" s="1419"/>
      <c r="J32" s="1486"/>
      <c r="K32" s="1419"/>
      <c r="L32" s="1486"/>
      <c r="M32" s="1419"/>
      <c r="N32" s="1486"/>
      <c r="O32" s="1419"/>
      <c r="P32" s="1486"/>
      <c r="Q32" s="1419"/>
      <c r="R32" s="1486"/>
      <c r="S32" s="1419"/>
    </row>
    <row r="33" spans="1:30">
      <c r="A33" s="1412"/>
      <c r="B33" s="1540" t="s">
        <v>1526</v>
      </c>
      <c r="C33" s="23"/>
      <c r="D33" s="450"/>
      <c r="E33" s="417"/>
      <c r="F33" s="431"/>
      <c r="G33" s="1402"/>
      <c r="H33" s="1486"/>
      <c r="I33" s="1419"/>
      <c r="J33" s="1486"/>
      <c r="K33" s="1419"/>
      <c r="L33" s="1486"/>
      <c r="M33" s="1419"/>
      <c r="N33" s="1486"/>
      <c r="O33" s="1419"/>
      <c r="P33" s="1486"/>
      <c r="Q33" s="1419"/>
      <c r="R33" s="1486"/>
      <c r="S33" s="1419"/>
    </row>
    <row r="34" spans="1:30">
      <c r="A34" s="1097"/>
      <c r="B34" s="1550" t="s">
        <v>1527</v>
      </c>
      <c r="C34" s="23"/>
      <c r="D34" s="345"/>
      <c r="E34" s="266"/>
      <c r="F34" s="431"/>
      <c r="G34" s="1402"/>
      <c r="H34" s="1486"/>
      <c r="I34" s="1419"/>
      <c r="J34" s="1486"/>
      <c r="K34" s="1419"/>
      <c r="L34" s="1486"/>
      <c r="M34" s="1419"/>
      <c r="N34" s="1486"/>
      <c r="O34" s="1419"/>
      <c r="P34" s="1486"/>
      <c r="Q34" s="1419"/>
      <c r="R34" s="1486"/>
      <c r="S34" s="1419"/>
    </row>
    <row r="35" spans="1:30">
      <c r="A35" s="1412"/>
      <c r="B35" s="1550" t="s">
        <v>1528</v>
      </c>
      <c r="C35" s="23"/>
      <c r="D35" s="345"/>
      <c r="E35" s="266"/>
      <c r="F35" s="431"/>
      <c r="G35" s="1402"/>
      <c r="H35" s="1486"/>
      <c r="I35" s="1419"/>
      <c r="J35" s="1486"/>
      <c r="K35" s="1419"/>
      <c r="L35" s="1486"/>
      <c r="M35" s="1419"/>
      <c r="N35" s="1486"/>
      <c r="O35" s="1419"/>
      <c r="P35" s="1486"/>
      <c r="Q35" s="1419"/>
      <c r="R35" s="1486"/>
      <c r="S35" s="1419"/>
    </row>
    <row r="36" spans="1:30">
      <c r="A36" s="1412"/>
      <c r="B36" s="1550" t="s">
        <v>1529</v>
      </c>
      <c r="C36" s="23"/>
      <c r="D36" s="345"/>
      <c r="E36" s="266"/>
      <c r="F36" s="431"/>
      <c r="G36" s="1402"/>
      <c r="H36" s="1486"/>
      <c r="I36" s="1419"/>
      <c r="J36" s="1486"/>
      <c r="K36" s="1419"/>
      <c r="L36" s="1486"/>
      <c r="M36" s="1419"/>
      <c r="N36" s="1486"/>
      <c r="O36" s="1419"/>
      <c r="P36" s="1486"/>
      <c r="Q36" s="1419"/>
      <c r="R36" s="1486"/>
      <c r="S36" s="1419"/>
    </row>
    <row r="37" spans="1:30">
      <c r="A37" s="1412"/>
      <c r="B37" s="1540" t="s">
        <v>1530</v>
      </c>
      <c r="C37" s="23"/>
      <c r="D37" s="345"/>
      <c r="E37" s="266"/>
      <c r="F37" s="431"/>
      <c r="G37" s="1402"/>
      <c r="H37" s="1486"/>
      <c r="I37" s="1419"/>
      <c r="J37" s="1486"/>
      <c r="K37" s="1419"/>
      <c r="L37" s="1486"/>
      <c r="M37" s="1419"/>
      <c r="N37" s="1486"/>
      <c r="O37" s="1419"/>
      <c r="P37" s="1486"/>
      <c r="Q37" s="1419"/>
      <c r="R37" s="1486"/>
      <c r="S37" s="1419"/>
    </row>
    <row r="38" spans="1:30">
      <c r="A38" s="1412"/>
      <c r="B38" s="1550" t="s">
        <v>1531</v>
      </c>
      <c r="C38" s="23"/>
      <c r="D38" s="345"/>
      <c r="E38" s="266"/>
      <c r="F38" s="431"/>
      <c r="G38" s="1402"/>
      <c r="H38" s="1486"/>
      <c r="I38" s="1419"/>
      <c r="J38" s="1486"/>
      <c r="K38" s="1419"/>
      <c r="L38" s="1486"/>
      <c r="M38" s="1419"/>
      <c r="N38" s="1486"/>
      <c r="O38" s="1419"/>
      <c r="P38" s="1486"/>
      <c r="Q38" s="1419"/>
      <c r="R38" s="1486"/>
      <c r="S38" s="1419"/>
    </row>
    <row r="39" spans="1:30">
      <c r="A39" s="1412"/>
      <c r="B39" s="1550" t="s">
        <v>1532</v>
      </c>
      <c r="C39" s="23"/>
      <c r="D39" s="345"/>
      <c r="E39" s="266"/>
      <c r="F39" s="431"/>
      <c r="G39" s="1402"/>
      <c r="H39" s="1486"/>
      <c r="I39" s="1419"/>
      <c r="J39" s="1486"/>
      <c r="K39" s="1419"/>
      <c r="L39" s="1486"/>
      <c r="M39" s="1419"/>
      <c r="N39" s="1486"/>
      <c r="O39" s="1419"/>
      <c r="P39" s="1486"/>
      <c r="Q39" s="1419"/>
      <c r="R39" s="1486"/>
      <c r="S39" s="1419"/>
    </row>
    <row r="40" spans="1:30">
      <c r="A40" s="1412"/>
      <c r="B40" s="1550"/>
      <c r="C40" s="23"/>
      <c r="D40" s="345"/>
      <c r="E40" s="266"/>
      <c r="F40" s="431"/>
      <c r="G40" s="1402"/>
      <c r="H40" s="1486"/>
      <c r="I40" s="1419"/>
      <c r="J40" s="1486"/>
      <c r="K40" s="1419"/>
      <c r="L40" s="1486"/>
      <c r="M40" s="1419"/>
      <c r="N40" s="1486"/>
      <c r="O40" s="1419"/>
      <c r="P40" s="1486"/>
      <c r="Q40" s="1419"/>
      <c r="R40" s="1486"/>
      <c r="S40" s="1419"/>
    </row>
    <row r="41" spans="1:30">
      <c r="A41" s="1412"/>
      <c r="B41" s="1105" t="s">
        <v>1533</v>
      </c>
      <c r="C41" s="23"/>
      <c r="D41" s="345"/>
      <c r="E41" s="266"/>
      <c r="F41" s="431"/>
      <c r="G41" s="1402"/>
      <c r="H41" s="1486" t="s">
        <v>682</v>
      </c>
      <c r="I41" s="1419"/>
      <c r="J41" s="1486"/>
      <c r="K41" s="1419"/>
      <c r="L41" s="1486"/>
      <c r="M41" s="1430"/>
      <c r="N41" s="1486"/>
      <c r="O41" s="1430"/>
      <c r="P41" s="1486"/>
      <c r="Q41" s="1419"/>
      <c r="R41" s="1486"/>
      <c r="S41" s="1419"/>
    </row>
    <row r="42" spans="1:30" ht="15.75" thickBot="1">
      <c r="A42" s="1412"/>
      <c r="B42" s="1550"/>
      <c r="C42" s="23"/>
      <c r="D42" s="345"/>
      <c r="E42" s="266"/>
      <c r="F42" s="431"/>
      <c r="G42" s="1402"/>
      <c r="H42" s="1486"/>
      <c r="I42" s="1419"/>
      <c r="J42" s="1486"/>
      <c r="K42" s="1419"/>
      <c r="L42" s="1486"/>
      <c r="M42" s="1419"/>
      <c r="N42" s="1486"/>
      <c r="O42" s="1419"/>
      <c r="P42" s="1486"/>
      <c r="Q42" s="1419"/>
      <c r="R42" s="1486"/>
      <c r="S42" s="1419"/>
    </row>
    <row r="43" spans="1:30" ht="15.75" thickBot="1">
      <c r="A43" s="1412"/>
      <c r="B43" s="1113" t="s">
        <v>1194</v>
      </c>
      <c r="C43" s="23"/>
      <c r="D43" s="345"/>
      <c r="E43" s="266"/>
      <c r="F43" s="431"/>
      <c r="G43" s="1402"/>
      <c r="H43" s="1486" t="s">
        <v>682</v>
      </c>
      <c r="I43" s="1419"/>
      <c r="J43" s="1486"/>
      <c r="K43" s="1419"/>
      <c r="L43" s="1486"/>
      <c r="M43" s="1419">
        <v>3875880</v>
      </c>
      <c r="N43" s="1486" t="s">
        <v>682</v>
      </c>
      <c r="O43" s="1419">
        <v>315719.74</v>
      </c>
      <c r="P43" s="1486"/>
      <c r="Q43" s="1419"/>
      <c r="R43" s="1486"/>
      <c r="S43" s="1419"/>
      <c r="V43" s="537" t="s">
        <v>1534</v>
      </c>
      <c r="W43" s="538" t="s">
        <v>1535</v>
      </c>
      <c r="X43" s="538" t="s">
        <v>1536</v>
      </c>
      <c r="Y43" s="538" t="s">
        <v>843</v>
      </c>
      <c r="Z43" s="538" t="s">
        <v>1537</v>
      </c>
      <c r="AA43" s="538" t="s">
        <v>1538</v>
      </c>
      <c r="AB43" s="539" t="s">
        <v>1539</v>
      </c>
      <c r="AC43" s="540" t="s">
        <v>1540</v>
      </c>
      <c r="AD43" s="540" t="s">
        <v>1541</v>
      </c>
    </row>
    <row r="44" spans="1:30">
      <c r="A44" s="1412"/>
      <c r="B44" s="1247" t="str">
        <f>U44</f>
        <v>CW-01</v>
      </c>
      <c r="C44" s="23"/>
      <c r="D44" s="345">
        <f>AC44</f>
        <v>806.38250000000005</v>
      </c>
      <c r="E44" s="266" t="s">
        <v>511</v>
      </c>
      <c r="F44" s="431">
        <v>130</v>
      </c>
      <c r="G44" s="1402">
        <f t="shared" ref="G44:G65" si="0">D44*F44</f>
        <v>104829.72500000001</v>
      </c>
      <c r="H44" s="1486"/>
      <c r="I44" s="1419"/>
      <c r="J44" s="1486"/>
      <c r="K44" s="1419"/>
      <c r="L44" s="1486"/>
      <c r="M44" s="1419"/>
      <c r="N44" s="1486"/>
      <c r="O44" s="1419"/>
      <c r="P44" s="1486"/>
      <c r="Q44" s="1419"/>
      <c r="R44" s="1486"/>
      <c r="S44" s="1419"/>
      <c r="U44" t="s">
        <v>1542</v>
      </c>
      <c r="V44" s="541">
        <v>1</v>
      </c>
      <c r="W44" s="542">
        <v>14.75</v>
      </c>
      <c r="X44" s="542">
        <f>54.67</f>
        <v>54.67</v>
      </c>
      <c r="Y44" s="542">
        <f>W44*X44</f>
        <v>806.38250000000005</v>
      </c>
      <c r="Z44" s="542">
        <f>W44*V44</f>
        <v>14.75</v>
      </c>
      <c r="AA44" s="542">
        <f>(W44+W44+X44+X44)</f>
        <v>138.84</v>
      </c>
      <c r="AB44" s="543">
        <f>V44*AA44</f>
        <v>138.84</v>
      </c>
      <c r="AC44" s="926">
        <f>V44*Y44</f>
        <v>806.38250000000005</v>
      </c>
      <c r="AD44" s="926"/>
    </row>
    <row r="45" spans="1:30">
      <c r="A45" s="1412"/>
      <c r="B45" s="1247" t="str">
        <f>U45</f>
        <v>CW-01 SF</v>
      </c>
      <c r="C45" s="23"/>
      <c r="D45" s="345">
        <f>AC45</f>
        <v>17.2575</v>
      </c>
      <c r="E45" s="266" t="s">
        <v>511</v>
      </c>
      <c r="F45" s="431">
        <v>130</v>
      </c>
      <c r="G45" s="1402">
        <f t="shared" si="0"/>
        <v>2243.4749999999999</v>
      </c>
      <c r="H45" s="1486"/>
      <c r="I45" s="1419"/>
      <c r="J45" s="1486"/>
      <c r="K45" s="1419"/>
      <c r="L45" s="1486"/>
      <c r="M45" s="1419"/>
      <c r="N45" s="1486"/>
      <c r="O45" s="1419"/>
      <c r="P45" s="1486"/>
      <c r="Q45" s="1419"/>
      <c r="R45" s="1486"/>
      <c r="S45" s="1419"/>
      <c r="U45" t="s">
        <v>1543</v>
      </c>
      <c r="V45" s="544">
        <v>1</v>
      </c>
      <c r="W45" s="546">
        <v>14.75</v>
      </c>
      <c r="X45" s="546">
        <v>1.17</v>
      </c>
      <c r="Y45" s="546">
        <f t="shared" ref="Y45" si="1">W45*X45</f>
        <v>17.2575</v>
      </c>
      <c r="Z45" s="546">
        <f t="shared" ref="Z45" si="2">W45*V45</f>
        <v>14.75</v>
      </c>
      <c r="AA45" s="546">
        <f t="shared" ref="AA45" si="3">(W45+W45+X45+X45)</f>
        <v>31.840000000000003</v>
      </c>
      <c r="AB45" s="547">
        <f>V45*AA45</f>
        <v>31.840000000000003</v>
      </c>
      <c r="AC45" s="548">
        <f>V45*Y45</f>
        <v>17.2575</v>
      </c>
      <c r="AD45" s="548">
        <v>2</v>
      </c>
    </row>
    <row r="46" spans="1:30">
      <c r="A46" s="1412"/>
      <c r="B46" s="1247" t="str">
        <f t="shared" ref="B46:B47" si="4">U46</f>
        <v>CW-02</v>
      </c>
      <c r="C46" s="23"/>
      <c r="D46" s="345">
        <f t="shared" ref="D46:D47" si="5">AC46</f>
        <v>3096.2622000000001</v>
      </c>
      <c r="E46" s="266" t="s">
        <v>511</v>
      </c>
      <c r="F46" s="431">
        <v>130</v>
      </c>
      <c r="G46" s="1402">
        <f t="shared" si="0"/>
        <v>402514.08600000001</v>
      </c>
      <c r="H46" s="1486"/>
      <c r="I46" s="1419"/>
      <c r="J46" s="1486"/>
      <c r="K46" s="1419"/>
      <c r="L46" s="1486"/>
      <c r="M46" s="1419"/>
      <c r="N46" s="1486"/>
      <c r="O46" s="1419"/>
      <c r="P46" s="1486"/>
      <c r="Q46" s="1419"/>
      <c r="R46" s="1486"/>
      <c r="S46" s="1419"/>
      <c r="U46" t="s">
        <v>1544</v>
      </c>
      <c r="V46" s="544">
        <v>2</v>
      </c>
      <c r="W46" s="545">
        <v>22.17</v>
      </c>
      <c r="X46" s="545">
        <v>69.83</v>
      </c>
      <c r="Y46" s="546">
        <f t="shared" ref="Y46:Y53" si="6">W46*X46</f>
        <v>1548.1311000000001</v>
      </c>
      <c r="Z46" s="546">
        <f t="shared" ref="Z46:Z53" si="7">W46*V46</f>
        <v>44.34</v>
      </c>
      <c r="AA46" s="546">
        <f t="shared" ref="AA46:AA52" si="8">(W46+W46+X46+X46)</f>
        <v>184</v>
      </c>
      <c r="AB46" s="547">
        <f>V46*AA46</f>
        <v>368</v>
      </c>
      <c r="AC46" s="548">
        <f>V46*Y46</f>
        <v>3096.2622000000001</v>
      </c>
      <c r="AD46" s="548"/>
    </row>
    <row r="47" spans="1:30">
      <c r="A47" s="1412"/>
      <c r="B47" s="1247" t="str">
        <f t="shared" si="4"/>
        <v>CW-03</v>
      </c>
      <c r="C47" s="23"/>
      <c r="D47" s="345">
        <f t="shared" si="5"/>
        <v>1748.0771999999999</v>
      </c>
      <c r="E47" s="266" t="s">
        <v>511</v>
      </c>
      <c r="F47" s="431">
        <v>130</v>
      </c>
      <c r="G47" s="1402">
        <f t="shared" si="0"/>
        <v>227250.03599999999</v>
      </c>
      <c r="H47" s="1486"/>
      <c r="I47" s="1419"/>
      <c r="J47" s="1486"/>
      <c r="K47" s="1419"/>
      <c r="L47" s="1486"/>
      <c r="M47" s="1419"/>
      <c r="N47" s="1486"/>
      <c r="O47" s="1419"/>
      <c r="P47" s="1486"/>
      <c r="Q47" s="1419"/>
      <c r="R47" s="1486"/>
      <c r="S47" s="1419"/>
      <c r="U47" t="s">
        <v>1545</v>
      </c>
      <c r="V47" s="544">
        <v>2</v>
      </c>
      <c r="W47" s="545">
        <v>14.67</v>
      </c>
      <c r="X47" s="545">
        <f>74.33-14.75</f>
        <v>59.58</v>
      </c>
      <c r="Y47" s="546">
        <f t="shared" si="6"/>
        <v>874.03859999999997</v>
      </c>
      <c r="Z47" s="546">
        <f t="shared" si="7"/>
        <v>29.34</v>
      </c>
      <c r="AA47" s="546">
        <f t="shared" si="8"/>
        <v>148.5</v>
      </c>
      <c r="AB47" s="547">
        <f>V47*AA47</f>
        <v>297</v>
      </c>
      <c r="AC47" s="548">
        <f>V47*Y47</f>
        <v>1748.0771999999999</v>
      </c>
      <c r="AD47" s="548"/>
    </row>
    <row r="48" spans="1:30">
      <c r="A48" s="1412"/>
      <c r="B48" s="1451" t="s">
        <v>1195</v>
      </c>
      <c r="C48" s="23"/>
      <c r="D48" s="345"/>
      <c r="E48" s="266"/>
      <c r="F48" s="431"/>
      <c r="G48" s="1402">
        <f t="shared" si="0"/>
        <v>0</v>
      </c>
      <c r="H48" s="1486" t="s">
        <v>682</v>
      </c>
      <c r="I48" s="1419"/>
      <c r="J48" s="1486"/>
      <c r="K48" s="1419"/>
      <c r="L48" s="1486"/>
      <c r="M48" s="1419"/>
      <c r="N48" s="1486" t="s">
        <v>682</v>
      </c>
      <c r="O48" s="1419">
        <v>919767.15</v>
      </c>
      <c r="P48" s="1486"/>
      <c r="Q48" s="1419">
        <v>2350928.27</v>
      </c>
      <c r="R48" s="1486"/>
      <c r="S48" s="1419"/>
      <c r="V48" s="544"/>
      <c r="W48" s="545"/>
      <c r="X48" s="545"/>
      <c r="Y48" s="546"/>
      <c r="Z48" s="546"/>
      <c r="AA48" s="546"/>
      <c r="AB48" s="547"/>
      <c r="AC48" s="548"/>
      <c r="AD48" s="548"/>
    </row>
    <row r="49" spans="1:30">
      <c r="A49" s="1412"/>
      <c r="B49" s="1247" t="str">
        <f>U49</f>
        <v>SF-01</v>
      </c>
      <c r="C49" s="23"/>
      <c r="D49" s="345">
        <f t="shared" ref="D49" si="9">AC49</f>
        <v>2611.7694000000001</v>
      </c>
      <c r="E49" s="266" t="s">
        <v>511</v>
      </c>
      <c r="F49" s="431">
        <v>85</v>
      </c>
      <c r="G49" s="1402">
        <f t="shared" si="0"/>
        <v>222000.399</v>
      </c>
      <c r="H49" s="1486"/>
      <c r="I49" s="1419"/>
      <c r="J49" s="1486"/>
      <c r="K49" s="1419"/>
      <c r="L49" s="1486"/>
      <c r="M49" s="1419"/>
      <c r="N49" s="1486"/>
      <c r="O49" s="1419"/>
      <c r="P49" s="1486"/>
      <c r="Q49" s="1419">
        <f>O48/Q48</f>
        <v>0.39123573515069432</v>
      </c>
      <c r="R49" s="1486"/>
      <c r="S49" s="1419"/>
      <c r="U49" t="s">
        <v>1546</v>
      </c>
      <c r="V49" s="544">
        <v>54</v>
      </c>
      <c r="W49" s="546">
        <v>4.33</v>
      </c>
      <c r="X49" s="546">
        <v>11.17</v>
      </c>
      <c r="Y49" s="546">
        <f t="shared" si="6"/>
        <v>48.366100000000003</v>
      </c>
      <c r="Z49" s="546">
        <f t="shared" si="7"/>
        <v>233.82</v>
      </c>
      <c r="AA49" s="546">
        <f t="shared" si="8"/>
        <v>31</v>
      </c>
      <c r="AB49" s="547">
        <f t="shared" ref="AB49:AB53" si="10">V49*AA49</f>
        <v>1674</v>
      </c>
      <c r="AC49" s="548">
        <f t="shared" ref="AC49:AC53" si="11">V49*Y49</f>
        <v>2611.7694000000001</v>
      </c>
      <c r="AD49" s="548"/>
    </row>
    <row r="50" spans="1:30">
      <c r="A50" s="1412"/>
      <c r="B50" s="1247" t="str">
        <f t="shared" ref="B50:B64" si="12">U50</f>
        <v>SF-02a</v>
      </c>
      <c r="C50" s="23"/>
      <c r="D50" s="345">
        <f t="shared" ref="D50:D64" si="13">AC50</f>
        <v>2095.0452</v>
      </c>
      <c r="E50" s="266" t="s">
        <v>511</v>
      </c>
      <c r="F50" s="431">
        <v>85</v>
      </c>
      <c r="G50" s="1402">
        <f t="shared" si="0"/>
        <v>178078.842</v>
      </c>
      <c r="H50" s="1486"/>
      <c r="I50" s="1419"/>
      <c r="J50" s="1486"/>
      <c r="K50" s="1419"/>
      <c r="L50" s="1486"/>
      <c r="M50" s="1419"/>
      <c r="N50" s="1486"/>
      <c r="O50" s="1419"/>
      <c r="P50" s="1486"/>
      <c r="Q50" s="1419"/>
      <c r="R50" s="1486"/>
      <c r="S50" s="1419"/>
      <c r="U50" t="s">
        <v>1547</v>
      </c>
      <c r="V50" s="544">
        <v>18</v>
      </c>
      <c r="W50" s="546">
        <v>10.42</v>
      </c>
      <c r="X50" s="546">
        <v>11.17</v>
      </c>
      <c r="Y50" s="546">
        <f t="shared" si="6"/>
        <v>116.3914</v>
      </c>
      <c r="Z50" s="546">
        <f t="shared" si="7"/>
        <v>187.56</v>
      </c>
      <c r="AA50" s="546">
        <f t="shared" si="8"/>
        <v>43.18</v>
      </c>
      <c r="AB50" s="547">
        <f t="shared" si="10"/>
        <v>777.24</v>
      </c>
      <c r="AC50" s="548">
        <f t="shared" si="11"/>
        <v>2095.0452</v>
      </c>
      <c r="AD50" s="548"/>
    </row>
    <row r="51" spans="1:30">
      <c r="A51" s="1412"/>
      <c r="B51" s="1247" t="str">
        <f t="shared" si="12"/>
        <v>SF-02b</v>
      </c>
      <c r="C51" s="23"/>
      <c r="D51" s="345">
        <f t="shared" si="13"/>
        <v>1914.4666</v>
      </c>
      <c r="E51" s="266" t="s">
        <v>511</v>
      </c>
      <c r="F51" s="431">
        <v>85</v>
      </c>
      <c r="G51" s="1402">
        <f t="shared" si="0"/>
        <v>162729.66099999999</v>
      </c>
      <c r="H51" s="1486"/>
      <c r="I51" s="1419"/>
      <c r="J51" s="1486"/>
      <c r="K51" s="1419"/>
      <c r="L51" s="1486"/>
      <c r="M51" s="1419"/>
      <c r="N51" s="1486"/>
      <c r="O51" s="1419"/>
      <c r="P51" s="1486"/>
      <c r="Q51" s="1419"/>
      <c r="R51" s="1486"/>
      <c r="S51" s="1419"/>
      <c r="U51" t="s">
        <v>1548</v>
      </c>
      <c r="V51" s="544">
        <v>19</v>
      </c>
      <c r="W51" s="546">
        <v>10.42</v>
      </c>
      <c r="X51" s="546">
        <v>9.67</v>
      </c>
      <c r="Y51" s="546">
        <f t="shared" si="6"/>
        <v>100.76139999999999</v>
      </c>
      <c r="Z51" s="546">
        <f t="shared" si="7"/>
        <v>197.98</v>
      </c>
      <c r="AA51" s="546">
        <f t="shared" si="8"/>
        <v>40.18</v>
      </c>
      <c r="AB51" s="547">
        <f t="shared" si="10"/>
        <v>763.42</v>
      </c>
      <c r="AC51" s="548">
        <f t="shared" si="11"/>
        <v>1914.4666</v>
      </c>
      <c r="AD51" s="548"/>
    </row>
    <row r="52" spans="1:30">
      <c r="A52" s="1412"/>
      <c r="B52" s="1247" t="str">
        <f t="shared" si="12"/>
        <v>SF-02c</v>
      </c>
      <c r="C52" s="23"/>
      <c r="D52" s="345">
        <f t="shared" si="13"/>
        <v>7588.6775999999991</v>
      </c>
      <c r="E52" s="266" t="s">
        <v>511</v>
      </c>
      <c r="F52" s="431">
        <v>85</v>
      </c>
      <c r="G52" s="1402">
        <f t="shared" si="0"/>
        <v>645037.5959999999</v>
      </c>
      <c r="H52" s="1486"/>
      <c r="I52" s="1419"/>
      <c r="J52" s="1486"/>
      <c r="K52" s="1419"/>
      <c r="L52" s="1486"/>
      <c r="M52" s="1419"/>
      <c r="N52" s="1486"/>
      <c r="O52" s="1419"/>
      <c r="P52" s="1486"/>
      <c r="Q52" s="1419"/>
      <c r="R52" s="1486"/>
      <c r="S52" s="1419"/>
      <c r="U52" t="s">
        <v>1549</v>
      </c>
      <c r="V52" s="544">
        <v>84</v>
      </c>
      <c r="W52" s="546">
        <v>10.42</v>
      </c>
      <c r="X52" s="546">
        <v>8.67</v>
      </c>
      <c r="Y52" s="546">
        <f t="shared" si="6"/>
        <v>90.341399999999993</v>
      </c>
      <c r="Z52" s="546">
        <f t="shared" si="7"/>
        <v>875.28</v>
      </c>
      <c r="AA52" s="546">
        <f t="shared" si="8"/>
        <v>38.18</v>
      </c>
      <c r="AB52" s="547">
        <f t="shared" si="10"/>
        <v>3207.12</v>
      </c>
      <c r="AC52" s="548">
        <f t="shared" si="11"/>
        <v>7588.6775999999991</v>
      </c>
      <c r="AD52" s="548"/>
    </row>
    <row r="53" spans="1:30">
      <c r="A53" s="1412"/>
      <c r="B53" s="1247" t="str">
        <f t="shared" si="12"/>
        <v>SF-03a</v>
      </c>
      <c r="C53" s="23"/>
      <c r="D53" s="345">
        <f t="shared" si="13"/>
        <v>98.742800000000003</v>
      </c>
      <c r="E53" s="266" t="s">
        <v>511</v>
      </c>
      <c r="F53" s="431">
        <v>85</v>
      </c>
      <c r="G53" s="1402">
        <f t="shared" si="0"/>
        <v>8393.1380000000008</v>
      </c>
      <c r="H53" s="1486"/>
      <c r="I53" s="1419"/>
      <c r="J53" s="1486"/>
      <c r="K53" s="1419"/>
      <c r="L53" s="1486"/>
      <c r="M53" s="1419"/>
      <c r="N53" s="1486"/>
      <c r="O53" s="1419"/>
      <c r="P53" s="1486"/>
      <c r="Q53" s="1419"/>
      <c r="R53" s="1486"/>
      <c r="S53" s="1419"/>
      <c r="U53" t="s">
        <v>1550</v>
      </c>
      <c r="V53" s="544">
        <v>2</v>
      </c>
      <c r="W53" s="546">
        <v>4.42</v>
      </c>
      <c r="X53" s="546">
        <v>11.17</v>
      </c>
      <c r="Y53" s="546">
        <f t="shared" si="6"/>
        <v>49.371400000000001</v>
      </c>
      <c r="Z53" s="546">
        <f t="shared" si="7"/>
        <v>8.84</v>
      </c>
      <c r="AA53" s="546">
        <f>(W53+W53+X53+X53)</f>
        <v>31.18</v>
      </c>
      <c r="AB53" s="547">
        <f t="shared" si="10"/>
        <v>62.36</v>
      </c>
      <c r="AC53" s="548">
        <f t="shared" si="11"/>
        <v>98.742800000000003</v>
      </c>
      <c r="AD53" s="548"/>
    </row>
    <row r="54" spans="1:30">
      <c r="A54" s="1412"/>
      <c r="B54" s="1247" t="str">
        <f t="shared" si="12"/>
        <v>SF-03b</v>
      </c>
      <c r="C54" s="23"/>
      <c r="D54" s="345">
        <f t="shared" si="13"/>
        <v>85.482799999999997</v>
      </c>
      <c r="E54" s="266" t="s">
        <v>511</v>
      </c>
      <c r="F54" s="431">
        <v>85</v>
      </c>
      <c r="G54" s="1402">
        <f t="shared" si="0"/>
        <v>7266.0379999999996</v>
      </c>
      <c r="H54" s="1486"/>
      <c r="I54" s="1419"/>
      <c r="J54" s="1486"/>
      <c r="K54" s="1419"/>
      <c r="L54" s="1486"/>
      <c r="M54" s="1419"/>
      <c r="N54" s="1486"/>
      <c r="O54" s="1419"/>
      <c r="P54" s="1486"/>
      <c r="Q54" s="1419"/>
      <c r="R54" s="1486"/>
      <c r="S54" s="1419"/>
      <c r="U54" t="s">
        <v>1551</v>
      </c>
      <c r="V54" s="544">
        <v>2</v>
      </c>
      <c r="W54" s="546">
        <v>4.42</v>
      </c>
      <c r="X54" s="546">
        <v>9.67</v>
      </c>
      <c r="Y54" s="546">
        <f t="shared" ref="Y54:Y64" si="14">W54*X54</f>
        <v>42.741399999999999</v>
      </c>
      <c r="Z54" s="546">
        <f t="shared" ref="Z54:Z64" si="15">W54*V54</f>
        <v>8.84</v>
      </c>
      <c r="AA54" s="546">
        <f t="shared" ref="AA54:AA64" si="16">(W54+W54+X54+X54)</f>
        <v>28.18</v>
      </c>
      <c r="AB54" s="547">
        <f t="shared" ref="AB54:AB64" si="17">V54*AA54</f>
        <v>56.36</v>
      </c>
      <c r="AC54" s="548">
        <f t="shared" ref="AC54:AC64" si="18">V54*Y54</f>
        <v>85.482799999999997</v>
      </c>
      <c r="AD54" s="548"/>
    </row>
    <row r="55" spans="1:30">
      <c r="A55" s="1412"/>
      <c r="B55" s="1247" t="str">
        <f t="shared" si="12"/>
        <v>SF-03c</v>
      </c>
      <c r="C55" s="23"/>
      <c r="D55" s="345">
        <f t="shared" si="13"/>
        <v>306.57119999999998</v>
      </c>
      <c r="E55" s="266" t="s">
        <v>511</v>
      </c>
      <c r="F55" s="431">
        <v>85</v>
      </c>
      <c r="G55" s="1402">
        <f t="shared" si="0"/>
        <v>26058.552</v>
      </c>
      <c r="H55" s="1486"/>
      <c r="I55" s="1419"/>
      <c r="J55" s="1486"/>
      <c r="K55" s="1419"/>
      <c r="L55" s="1486"/>
      <c r="M55" s="1419"/>
      <c r="N55" s="1486"/>
      <c r="O55" s="1419"/>
      <c r="P55" s="1486"/>
      <c r="Q55" s="1419"/>
      <c r="R55" s="1486"/>
      <c r="S55" s="1419"/>
      <c r="U55" t="s">
        <v>1552</v>
      </c>
      <c r="V55" s="544">
        <v>8</v>
      </c>
      <c r="W55" s="546">
        <v>4.42</v>
      </c>
      <c r="X55" s="546">
        <v>8.67</v>
      </c>
      <c r="Y55" s="546">
        <f t="shared" si="14"/>
        <v>38.321399999999997</v>
      </c>
      <c r="Z55" s="546">
        <f t="shared" si="15"/>
        <v>35.36</v>
      </c>
      <c r="AA55" s="546">
        <f t="shared" si="16"/>
        <v>26.18</v>
      </c>
      <c r="AB55" s="547">
        <f t="shared" si="17"/>
        <v>209.44</v>
      </c>
      <c r="AC55" s="548">
        <f t="shared" si="18"/>
        <v>306.57119999999998</v>
      </c>
      <c r="AD55" s="548"/>
    </row>
    <row r="56" spans="1:30">
      <c r="A56" s="1412"/>
      <c r="B56" s="1247" t="str">
        <f t="shared" si="12"/>
        <v>SF-04</v>
      </c>
      <c r="C56" s="23"/>
      <c r="D56" s="345">
        <f t="shared" si="13"/>
        <v>990.55560000000003</v>
      </c>
      <c r="E56" s="266" t="s">
        <v>511</v>
      </c>
      <c r="F56" s="431">
        <v>85</v>
      </c>
      <c r="G56" s="1402">
        <f t="shared" si="0"/>
        <v>84197.225999999995</v>
      </c>
      <c r="H56" s="1486"/>
      <c r="I56" s="1419"/>
      <c r="J56" s="1486"/>
      <c r="K56" s="1419"/>
      <c r="L56" s="1486"/>
      <c r="M56" s="1419"/>
      <c r="N56" s="1486"/>
      <c r="O56" s="1419"/>
      <c r="P56" s="1486"/>
      <c r="Q56" s="1419"/>
      <c r="R56" s="1486"/>
      <c r="S56" s="1419"/>
      <c r="U56" t="s">
        <v>1553</v>
      </c>
      <c r="V56" s="544">
        <v>4</v>
      </c>
      <c r="W56" s="546">
        <v>22.17</v>
      </c>
      <c r="X56" s="546">
        <v>11.17</v>
      </c>
      <c r="Y56" s="546">
        <f t="shared" si="14"/>
        <v>247.63890000000001</v>
      </c>
      <c r="Z56" s="546">
        <f t="shared" si="15"/>
        <v>88.68</v>
      </c>
      <c r="AA56" s="546">
        <f t="shared" si="16"/>
        <v>66.680000000000007</v>
      </c>
      <c r="AB56" s="547">
        <f t="shared" si="17"/>
        <v>266.72000000000003</v>
      </c>
      <c r="AC56" s="548">
        <f t="shared" si="18"/>
        <v>990.55560000000003</v>
      </c>
      <c r="AD56" s="548"/>
    </row>
    <row r="57" spans="1:30">
      <c r="A57" s="1412"/>
      <c r="B57" s="1247" t="str">
        <f t="shared" si="12"/>
        <v>SF-05a</v>
      </c>
      <c r="C57" s="23"/>
      <c r="D57" s="345">
        <f t="shared" si="13"/>
        <v>247.63890000000001</v>
      </c>
      <c r="E57" s="266" t="s">
        <v>511</v>
      </c>
      <c r="F57" s="431">
        <v>85</v>
      </c>
      <c r="G57" s="1402">
        <f t="shared" si="0"/>
        <v>21049.306499999999</v>
      </c>
      <c r="H57" s="1486"/>
      <c r="I57" s="1419"/>
      <c r="J57" s="1486"/>
      <c r="K57" s="1419"/>
      <c r="L57" s="1486"/>
      <c r="M57" s="1419"/>
      <c r="N57" s="1486"/>
      <c r="O57" s="1419"/>
      <c r="P57" s="1486"/>
      <c r="Q57" s="1419"/>
      <c r="R57" s="1486"/>
      <c r="S57" s="1419"/>
      <c r="U57" t="s">
        <v>1554</v>
      </c>
      <c r="V57" s="544">
        <v>1</v>
      </c>
      <c r="W57" s="546">
        <v>22.17</v>
      </c>
      <c r="X57" s="546">
        <v>11.17</v>
      </c>
      <c r="Y57" s="546">
        <f t="shared" si="14"/>
        <v>247.63890000000001</v>
      </c>
      <c r="Z57" s="546">
        <f t="shared" si="15"/>
        <v>22.17</v>
      </c>
      <c r="AA57" s="546">
        <f t="shared" si="16"/>
        <v>66.680000000000007</v>
      </c>
      <c r="AB57" s="547">
        <f t="shared" si="17"/>
        <v>66.680000000000007</v>
      </c>
      <c r="AC57" s="548">
        <f t="shared" si="18"/>
        <v>247.63890000000001</v>
      </c>
      <c r="AD57" s="548">
        <f>2*V57</f>
        <v>2</v>
      </c>
    </row>
    <row r="58" spans="1:30">
      <c r="A58" s="1412"/>
      <c r="B58" s="1247" t="str">
        <f t="shared" si="12"/>
        <v>SF-05b</v>
      </c>
      <c r="C58" s="23"/>
      <c r="D58" s="345">
        <f t="shared" si="13"/>
        <v>247.63890000000001</v>
      </c>
      <c r="E58" s="266" t="s">
        <v>511</v>
      </c>
      <c r="F58" s="431">
        <v>85</v>
      </c>
      <c r="G58" s="1402">
        <f t="shared" si="0"/>
        <v>21049.306499999999</v>
      </c>
      <c r="H58" s="1486"/>
      <c r="I58" s="1419"/>
      <c r="J58" s="1486"/>
      <c r="K58" s="1419"/>
      <c r="L58" s="1486"/>
      <c r="M58" s="1419"/>
      <c r="N58" s="1486"/>
      <c r="O58" s="1419"/>
      <c r="P58" s="1486"/>
      <c r="Q58" s="1419"/>
      <c r="R58" s="1486"/>
      <c r="S58" s="1419"/>
      <c r="U58" t="s">
        <v>1555</v>
      </c>
      <c r="V58" s="544">
        <v>1</v>
      </c>
      <c r="W58" s="546">
        <v>22.17</v>
      </c>
      <c r="X58" s="546">
        <v>11.17</v>
      </c>
      <c r="Y58" s="546">
        <f t="shared" si="14"/>
        <v>247.63890000000001</v>
      </c>
      <c r="Z58" s="546">
        <f t="shared" si="15"/>
        <v>22.17</v>
      </c>
      <c r="AA58" s="546">
        <f t="shared" si="16"/>
        <v>66.680000000000007</v>
      </c>
      <c r="AB58" s="547">
        <f t="shared" si="17"/>
        <v>66.680000000000007</v>
      </c>
      <c r="AC58" s="548">
        <f t="shared" si="18"/>
        <v>247.63890000000001</v>
      </c>
      <c r="AD58" s="548">
        <f>2*V58</f>
        <v>2</v>
      </c>
    </row>
    <row r="59" spans="1:30">
      <c r="A59" s="1412"/>
      <c r="B59" s="1247" t="str">
        <f t="shared" si="12"/>
        <v>SF-06</v>
      </c>
      <c r="C59" s="23"/>
      <c r="D59" s="345">
        <f t="shared" si="13"/>
        <v>495.27780000000001</v>
      </c>
      <c r="E59" s="266" t="s">
        <v>511</v>
      </c>
      <c r="F59" s="431">
        <v>85</v>
      </c>
      <c r="G59" s="1402">
        <f t="shared" si="0"/>
        <v>42098.612999999998</v>
      </c>
      <c r="H59" s="1486"/>
      <c r="I59" s="1419"/>
      <c r="J59" s="1486"/>
      <c r="K59" s="1419"/>
      <c r="L59" s="1486"/>
      <c r="M59" s="1419"/>
      <c r="N59" s="1486"/>
      <c r="O59" s="1419"/>
      <c r="P59" s="1486"/>
      <c r="Q59" s="1419"/>
      <c r="R59" s="1486"/>
      <c r="S59" s="1419"/>
      <c r="U59" t="s">
        <v>1556</v>
      </c>
      <c r="V59" s="544">
        <v>2</v>
      </c>
      <c r="W59" s="546">
        <v>22.17</v>
      </c>
      <c r="X59" s="546">
        <v>11.17</v>
      </c>
      <c r="Y59" s="546">
        <f t="shared" si="14"/>
        <v>247.63890000000001</v>
      </c>
      <c r="Z59" s="546">
        <f t="shared" si="15"/>
        <v>44.34</v>
      </c>
      <c r="AA59" s="546">
        <f t="shared" si="16"/>
        <v>66.680000000000007</v>
      </c>
      <c r="AB59" s="547">
        <f t="shared" si="17"/>
        <v>133.36000000000001</v>
      </c>
      <c r="AC59" s="548">
        <f t="shared" si="18"/>
        <v>495.27780000000001</v>
      </c>
      <c r="AD59" s="548">
        <f>2*V59</f>
        <v>4</v>
      </c>
    </row>
    <row r="60" spans="1:30">
      <c r="A60" s="1412"/>
      <c r="B60" s="1247" t="str">
        <f t="shared" si="12"/>
        <v>SF-08a</v>
      </c>
      <c r="C60" s="23"/>
      <c r="D60" s="345">
        <f t="shared" si="13"/>
        <v>66.126400000000004</v>
      </c>
      <c r="E60" s="266" t="s">
        <v>511</v>
      </c>
      <c r="F60" s="431">
        <v>85</v>
      </c>
      <c r="G60" s="1402">
        <f t="shared" si="0"/>
        <v>5620.7440000000006</v>
      </c>
      <c r="H60" s="1486"/>
      <c r="I60" s="1419"/>
      <c r="J60" s="1486"/>
      <c r="K60" s="1419"/>
      <c r="L60" s="1486"/>
      <c r="M60" s="1419"/>
      <c r="N60" s="1486"/>
      <c r="O60" s="1419"/>
      <c r="P60" s="1486"/>
      <c r="Q60" s="1419"/>
      <c r="R60" s="1486"/>
      <c r="S60" s="1419"/>
      <c r="U60" t="s">
        <v>1557</v>
      </c>
      <c r="V60" s="544">
        <v>1</v>
      </c>
      <c r="W60" s="546">
        <f>0.17+3+2.75</f>
        <v>5.92</v>
      </c>
      <c r="X60" s="546">
        <v>11.17</v>
      </c>
      <c r="Y60" s="546">
        <f t="shared" si="14"/>
        <v>66.126400000000004</v>
      </c>
      <c r="Z60" s="546">
        <f t="shared" si="15"/>
        <v>5.92</v>
      </c>
      <c r="AA60" s="546">
        <f t="shared" si="16"/>
        <v>34.18</v>
      </c>
      <c r="AB60" s="547">
        <f t="shared" si="17"/>
        <v>34.18</v>
      </c>
      <c r="AC60" s="548">
        <f t="shared" si="18"/>
        <v>66.126400000000004</v>
      </c>
      <c r="AD60" s="548">
        <f>1*V60</f>
        <v>1</v>
      </c>
    </row>
    <row r="61" spans="1:30">
      <c r="A61" s="1412"/>
      <c r="B61" s="1247" t="str">
        <f t="shared" si="12"/>
        <v>SF-08b</v>
      </c>
      <c r="C61" s="23"/>
      <c r="D61" s="345">
        <f t="shared" si="13"/>
        <v>66.126400000000004</v>
      </c>
      <c r="E61" s="266" t="s">
        <v>511</v>
      </c>
      <c r="F61" s="431">
        <v>85</v>
      </c>
      <c r="G61" s="1402">
        <f t="shared" si="0"/>
        <v>5620.7440000000006</v>
      </c>
      <c r="H61" s="1486"/>
      <c r="I61" s="1419"/>
      <c r="J61" s="1486"/>
      <c r="K61" s="1419"/>
      <c r="L61" s="1486"/>
      <c r="M61" s="1419"/>
      <c r="N61" s="1486"/>
      <c r="O61" s="1419"/>
      <c r="P61" s="1486"/>
      <c r="Q61" s="1419"/>
      <c r="R61" s="1486"/>
      <c r="S61" s="1419"/>
      <c r="U61" t="s">
        <v>1558</v>
      </c>
      <c r="V61" s="544">
        <v>1</v>
      </c>
      <c r="W61" s="546">
        <f>0.17+3+2.75</f>
        <v>5.92</v>
      </c>
      <c r="X61" s="546">
        <v>11.17</v>
      </c>
      <c r="Y61" s="546">
        <f t="shared" si="14"/>
        <v>66.126400000000004</v>
      </c>
      <c r="Z61" s="546">
        <f t="shared" si="15"/>
        <v>5.92</v>
      </c>
      <c r="AA61" s="546">
        <f t="shared" si="16"/>
        <v>34.18</v>
      </c>
      <c r="AB61" s="547">
        <f t="shared" si="17"/>
        <v>34.18</v>
      </c>
      <c r="AC61" s="548">
        <f t="shared" si="18"/>
        <v>66.126400000000004</v>
      </c>
      <c r="AD61" s="548">
        <f>1*V61</f>
        <v>1</v>
      </c>
    </row>
    <row r="62" spans="1:30">
      <c r="A62" s="1412"/>
      <c r="B62" s="1247" t="str">
        <f t="shared" si="12"/>
        <v>SF-09a</v>
      </c>
      <c r="C62" s="23"/>
      <c r="D62" s="345">
        <f t="shared" si="13"/>
        <v>228.98560000000001</v>
      </c>
      <c r="E62" s="266" t="s">
        <v>511</v>
      </c>
      <c r="F62" s="431">
        <v>85</v>
      </c>
      <c r="G62" s="1402">
        <f t="shared" si="0"/>
        <v>19463.776000000002</v>
      </c>
      <c r="H62" s="1486"/>
      <c r="I62" s="1419"/>
      <c r="J62" s="1486"/>
      <c r="K62" s="1419"/>
      <c r="L62" s="1486"/>
      <c r="M62" s="1419"/>
      <c r="N62" s="1486"/>
      <c r="O62" s="1419"/>
      <c r="P62" s="1486"/>
      <c r="Q62" s="1419"/>
      <c r="R62" s="1486"/>
      <c r="S62" s="1419"/>
      <c r="U62" t="s">
        <v>1559</v>
      </c>
      <c r="V62" s="544">
        <v>4</v>
      </c>
      <c r="W62" s="546">
        <f t="shared" ref="W62:W63" si="19">0.17+3+2.75</f>
        <v>5.92</v>
      </c>
      <c r="X62" s="546">
        <v>9.67</v>
      </c>
      <c r="Y62" s="546">
        <f t="shared" si="14"/>
        <v>57.246400000000001</v>
      </c>
      <c r="Z62" s="546">
        <f t="shared" si="15"/>
        <v>23.68</v>
      </c>
      <c r="AA62" s="546">
        <f t="shared" si="16"/>
        <v>31.18</v>
      </c>
      <c r="AB62" s="547">
        <f t="shared" si="17"/>
        <v>124.72</v>
      </c>
      <c r="AC62" s="548">
        <f t="shared" si="18"/>
        <v>228.98560000000001</v>
      </c>
      <c r="AD62" s="548"/>
    </row>
    <row r="63" spans="1:30">
      <c r="A63" s="1412"/>
      <c r="B63" s="1247" t="str">
        <f t="shared" si="12"/>
        <v>SF-09b</v>
      </c>
      <c r="C63" s="23"/>
      <c r="D63" s="345">
        <f t="shared" si="13"/>
        <v>307.95839999999998</v>
      </c>
      <c r="E63" s="266" t="s">
        <v>511</v>
      </c>
      <c r="F63" s="431">
        <v>85</v>
      </c>
      <c r="G63" s="1402">
        <f t="shared" si="0"/>
        <v>26176.464</v>
      </c>
      <c r="H63" s="1486"/>
      <c r="I63" s="1419"/>
      <c r="J63" s="1486"/>
      <c r="K63" s="1419"/>
      <c r="L63" s="1486"/>
      <c r="M63" s="1419"/>
      <c r="N63" s="1486"/>
      <c r="O63" s="1419"/>
      <c r="P63" s="1486"/>
      <c r="Q63" s="1419"/>
      <c r="R63" s="1486"/>
      <c r="S63" s="1419"/>
      <c r="U63" t="s">
        <v>1560</v>
      </c>
      <c r="V63" s="544">
        <v>6</v>
      </c>
      <c r="W63" s="546">
        <f t="shared" si="19"/>
        <v>5.92</v>
      </c>
      <c r="X63" s="546">
        <v>8.67</v>
      </c>
      <c r="Y63" s="546">
        <f t="shared" si="14"/>
        <v>51.3264</v>
      </c>
      <c r="Z63" s="546">
        <f t="shared" si="15"/>
        <v>35.519999999999996</v>
      </c>
      <c r="AA63" s="546">
        <f t="shared" si="16"/>
        <v>29.18</v>
      </c>
      <c r="AB63" s="547">
        <f t="shared" si="17"/>
        <v>175.07999999999998</v>
      </c>
      <c r="AC63" s="548">
        <f t="shared" si="18"/>
        <v>307.95839999999998</v>
      </c>
      <c r="AD63" s="548"/>
    </row>
    <row r="64" spans="1:30" ht="15.75" thickBot="1">
      <c r="A64" s="1412"/>
      <c r="B64" s="1247" t="str">
        <f t="shared" si="12"/>
        <v>W1</v>
      </c>
      <c r="C64" s="23"/>
      <c r="D64" s="345">
        <f t="shared" si="13"/>
        <v>10911.6</v>
      </c>
      <c r="E64" s="266" t="s">
        <v>511</v>
      </c>
      <c r="F64" s="431">
        <v>85</v>
      </c>
      <c r="G64" s="1402">
        <f t="shared" si="0"/>
        <v>927486</v>
      </c>
      <c r="H64" s="1486" t="s">
        <v>682</v>
      </c>
      <c r="I64" s="1419"/>
      <c r="J64" s="1486"/>
      <c r="K64" s="1419"/>
      <c r="L64" s="1486"/>
      <c r="M64" s="1419"/>
      <c r="N64" s="1486" t="s">
        <v>682</v>
      </c>
      <c r="O64" s="1419">
        <v>726543.21</v>
      </c>
      <c r="P64" s="1486"/>
      <c r="Q64" s="1419"/>
      <c r="R64" s="1486"/>
      <c r="S64" s="1419"/>
      <c r="U64" t="s">
        <v>1561</v>
      </c>
      <c r="V64" s="551">
        <v>420</v>
      </c>
      <c r="W64" s="552">
        <v>4.33</v>
      </c>
      <c r="X64" s="552">
        <v>6</v>
      </c>
      <c r="Y64" s="552">
        <f t="shared" si="14"/>
        <v>25.98</v>
      </c>
      <c r="Z64" s="552">
        <f t="shared" si="15"/>
        <v>1818.6000000000001</v>
      </c>
      <c r="AA64" s="552">
        <f t="shared" si="16"/>
        <v>20.66</v>
      </c>
      <c r="AB64" s="553">
        <f t="shared" si="17"/>
        <v>8677.2000000000007</v>
      </c>
      <c r="AC64" s="554">
        <f t="shared" si="18"/>
        <v>10911.6</v>
      </c>
      <c r="AD64" s="554"/>
    </row>
    <row r="65" spans="1:30">
      <c r="A65" s="1412"/>
      <c r="B65" s="1247" t="s">
        <v>1562</v>
      </c>
      <c r="C65" s="23"/>
      <c r="D65" s="345">
        <f>V64</f>
        <v>420</v>
      </c>
      <c r="E65" s="266" t="s">
        <v>468</v>
      </c>
      <c r="F65" s="431">
        <v>500</v>
      </c>
      <c r="G65" s="1402">
        <f t="shared" si="0"/>
        <v>210000</v>
      </c>
      <c r="H65" s="1486" t="s">
        <v>682</v>
      </c>
      <c r="I65" s="1419"/>
      <c r="J65" s="1486"/>
      <c r="K65" s="1419"/>
      <c r="L65" s="1486"/>
      <c r="M65" s="1419"/>
      <c r="N65" s="1486"/>
      <c r="O65" s="1430">
        <f>$G65</f>
        <v>210000</v>
      </c>
      <c r="P65" s="1486"/>
      <c r="Q65" s="1419"/>
      <c r="R65" s="1486"/>
      <c r="S65" s="1419"/>
      <c r="V65" s="549"/>
      <c r="W65" s="550"/>
      <c r="X65" s="550"/>
      <c r="Y65" s="550"/>
      <c r="Z65" s="550"/>
      <c r="AA65" s="550"/>
      <c r="AB65" s="80"/>
      <c r="AC65" s="80"/>
      <c r="AD65" s="80"/>
    </row>
    <row r="66" spans="1:30">
      <c r="A66" s="1412"/>
      <c r="B66" s="1451" t="s">
        <v>1563</v>
      </c>
      <c r="C66" s="23"/>
      <c r="D66" s="345">
        <f>AD66</f>
        <v>12</v>
      </c>
      <c r="E66" s="266" t="s">
        <v>468</v>
      </c>
      <c r="F66" s="431"/>
      <c r="G66" s="1402">
        <f t="shared" ref="G66:G119" si="20">D66*F66</f>
        <v>0</v>
      </c>
      <c r="H66" s="1486"/>
      <c r="I66" s="1419"/>
      <c r="J66" s="1486"/>
      <c r="K66" s="1419"/>
      <c r="L66" s="1486"/>
      <c r="M66" s="1419"/>
      <c r="N66" s="1486"/>
      <c r="O66" s="1419"/>
      <c r="P66" s="1486"/>
      <c r="Q66" s="1419"/>
      <c r="R66" s="1486"/>
      <c r="S66" s="1419"/>
      <c r="V66" s="549"/>
      <c r="W66" s="550"/>
      <c r="X66" s="550"/>
      <c r="Y66" s="550"/>
      <c r="Z66" s="550"/>
      <c r="AA66" s="550"/>
      <c r="AB66" s="80"/>
      <c r="AC66" s="80">
        <f>SUM(AC44:AC64)</f>
        <v>33930.643000000004</v>
      </c>
      <c r="AD66" s="80">
        <f>SUM(AD44:AD64)</f>
        <v>12</v>
      </c>
    </row>
    <row r="67" spans="1:30">
      <c r="A67" s="1412"/>
      <c r="B67" s="1247"/>
      <c r="C67" s="23"/>
      <c r="D67" s="345"/>
      <c r="E67" s="266"/>
      <c r="F67" s="431"/>
      <c r="G67" s="1402">
        <f t="shared" si="20"/>
        <v>0</v>
      </c>
      <c r="H67" s="1486"/>
      <c r="I67" s="1419"/>
      <c r="J67" s="1486"/>
      <c r="K67" s="1419"/>
      <c r="L67" s="1486"/>
      <c r="M67" s="1419"/>
      <c r="N67" s="1486"/>
      <c r="O67" s="1419"/>
      <c r="P67" s="1486"/>
      <c r="Q67" s="1419"/>
      <c r="R67" s="1486"/>
      <c r="S67" s="1419"/>
      <c r="V67" s="549"/>
      <c r="W67" s="550"/>
      <c r="X67" s="550"/>
      <c r="Y67" s="550"/>
      <c r="Z67" s="550"/>
      <c r="AA67" s="550"/>
      <c r="AB67" s="80"/>
      <c r="AC67" s="80"/>
      <c r="AD67" s="80"/>
    </row>
    <row r="68" spans="1:30" ht="15.75" thickBot="1">
      <c r="A68" s="1412"/>
      <c r="B68" s="1113"/>
      <c r="C68" s="23"/>
      <c r="D68" s="345"/>
      <c r="E68" s="266"/>
      <c r="F68" s="431"/>
      <c r="G68" s="1402">
        <f t="shared" si="20"/>
        <v>0</v>
      </c>
      <c r="H68" s="1486"/>
      <c r="I68" s="1419"/>
      <c r="J68" s="1486"/>
      <c r="K68" s="1419"/>
      <c r="L68" s="1486"/>
      <c r="M68" s="1419"/>
      <c r="N68" s="1486"/>
      <c r="O68" s="1419"/>
      <c r="P68" s="1486"/>
      <c r="Q68" s="1419"/>
      <c r="R68" s="1486"/>
      <c r="S68" s="1419"/>
    </row>
    <row r="69" spans="1:30" ht="15.75" thickBot="1">
      <c r="A69" s="1412"/>
      <c r="B69" s="1113" t="s">
        <v>1564</v>
      </c>
      <c r="C69" s="23"/>
      <c r="D69" s="345"/>
      <c r="E69" s="266"/>
      <c r="F69" s="431"/>
      <c r="G69" s="1402">
        <f t="shared" si="20"/>
        <v>0</v>
      </c>
      <c r="H69" s="1486" t="s">
        <v>682</v>
      </c>
      <c r="I69" s="1419"/>
      <c r="J69" s="1486"/>
      <c r="K69" s="1419"/>
      <c r="L69" s="1486"/>
      <c r="M69" s="1419">
        <v>572635</v>
      </c>
      <c r="N69" s="1486" t="s">
        <v>682</v>
      </c>
      <c r="O69" s="1419">
        <v>269548.79999999999</v>
      </c>
      <c r="P69" s="1486"/>
      <c r="Q69" s="1419"/>
      <c r="R69" s="1486"/>
      <c r="S69" s="1419"/>
      <c r="V69" s="537" t="s">
        <v>1534</v>
      </c>
      <c r="W69" s="538" t="s">
        <v>1535</v>
      </c>
      <c r="X69" s="538" t="s">
        <v>1536</v>
      </c>
      <c r="Y69" s="538" t="s">
        <v>843</v>
      </c>
      <c r="Z69" s="538" t="s">
        <v>1537</v>
      </c>
      <c r="AA69" s="538" t="s">
        <v>1538</v>
      </c>
      <c r="AB69" s="539" t="s">
        <v>1539</v>
      </c>
      <c r="AC69" s="540" t="s">
        <v>1540</v>
      </c>
      <c r="AD69" s="540" t="s">
        <v>1541</v>
      </c>
    </row>
    <row r="70" spans="1:30">
      <c r="A70" s="1412"/>
      <c r="B70" s="1247" t="s">
        <v>1565</v>
      </c>
      <c r="C70" s="23"/>
      <c r="D70" s="345">
        <f t="shared" ref="D70" si="21">AC70</f>
        <v>293.39999999999998</v>
      </c>
      <c r="E70" s="266" t="s">
        <v>511</v>
      </c>
      <c r="F70" s="431">
        <v>75</v>
      </c>
      <c r="G70" s="1402">
        <f t="shared" si="20"/>
        <v>22005</v>
      </c>
      <c r="H70" s="1486"/>
      <c r="I70" s="1419"/>
      <c r="J70" s="1486"/>
      <c r="K70" s="1419"/>
      <c r="L70" s="1486"/>
      <c r="M70" s="1419"/>
      <c r="N70" s="1486"/>
      <c r="O70" s="1419"/>
      <c r="P70" s="1486"/>
      <c r="Q70" s="1419"/>
      <c r="R70" s="1486"/>
      <c r="S70" s="1419"/>
      <c r="U70" t="s">
        <v>1565</v>
      </c>
      <c r="V70" s="541">
        <v>2</v>
      </c>
      <c r="W70" s="542">
        <v>14.67</v>
      </c>
      <c r="X70" s="542">
        <v>10</v>
      </c>
      <c r="Y70" s="542">
        <f>W70*X70</f>
        <v>146.69999999999999</v>
      </c>
      <c r="Z70" s="542">
        <f>W70*V70</f>
        <v>29.34</v>
      </c>
      <c r="AA70" s="542">
        <f>(W70+W70+X70+X70)</f>
        <v>49.34</v>
      </c>
      <c r="AB70" s="543">
        <f>V70*AA70</f>
        <v>98.68</v>
      </c>
      <c r="AC70" s="926">
        <f>V70*Y70</f>
        <v>293.39999999999998</v>
      </c>
      <c r="AD70" s="926">
        <f>1*V70</f>
        <v>2</v>
      </c>
    </row>
    <row r="71" spans="1:30">
      <c r="A71" s="1412"/>
      <c r="B71" s="1247" t="s">
        <v>1566</v>
      </c>
      <c r="C71" s="23"/>
      <c r="D71" s="345">
        <f t="shared" ref="D71:D97" si="22">AC71</f>
        <v>146.69999999999999</v>
      </c>
      <c r="E71" s="266" t="s">
        <v>511</v>
      </c>
      <c r="F71" s="431">
        <v>75</v>
      </c>
      <c r="G71" s="1402">
        <f t="shared" si="20"/>
        <v>11002.5</v>
      </c>
      <c r="H71" s="1486"/>
      <c r="I71" s="1419"/>
      <c r="J71" s="1486"/>
      <c r="K71" s="1419"/>
      <c r="L71" s="1486"/>
      <c r="M71" s="1419"/>
      <c r="N71" s="1486"/>
      <c r="O71" s="1419"/>
      <c r="P71" s="1486"/>
      <c r="Q71" s="1419"/>
      <c r="R71" s="1486"/>
      <c r="S71" s="1419"/>
      <c r="U71" t="s">
        <v>1566</v>
      </c>
      <c r="V71" s="544">
        <v>1</v>
      </c>
      <c r="W71" s="545">
        <v>14.67</v>
      </c>
      <c r="X71" s="545">
        <v>10</v>
      </c>
      <c r="Y71" s="546">
        <f t="shared" ref="Y71:Y73" si="23">W71*X71</f>
        <v>146.69999999999999</v>
      </c>
      <c r="Z71" s="546">
        <f t="shared" ref="Z71:Z73" si="24">W71*V71</f>
        <v>14.67</v>
      </c>
      <c r="AA71" s="546">
        <f t="shared" ref="AA71:AA73" si="25">(W71+W71+X71+X71)</f>
        <v>49.34</v>
      </c>
      <c r="AB71" s="547">
        <f>V71*AA71</f>
        <v>49.34</v>
      </c>
      <c r="AC71" s="548">
        <f>V71*Y71</f>
        <v>146.69999999999999</v>
      </c>
      <c r="AD71" s="548"/>
    </row>
    <row r="72" spans="1:30">
      <c r="A72" s="1412"/>
      <c r="B72" s="1247" t="s">
        <v>1567</v>
      </c>
      <c r="C72" s="23"/>
      <c r="D72" s="345">
        <f t="shared" ref="D72" si="26">AC72</f>
        <v>128.30000000000001</v>
      </c>
      <c r="E72" s="266" t="s">
        <v>511</v>
      </c>
      <c r="F72" s="431">
        <v>75</v>
      </c>
      <c r="G72" s="1402">
        <f t="shared" si="20"/>
        <v>9622.5</v>
      </c>
      <c r="H72" s="1486"/>
      <c r="I72" s="1419"/>
      <c r="J72" s="1486"/>
      <c r="K72" s="1419"/>
      <c r="L72" s="1486"/>
      <c r="M72" s="1419"/>
      <c r="N72" s="1486"/>
      <c r="O72" s="1419"/>
      <c r="P72" s="1486"/>
      <c r="Q72" s="1419"/>
      <c r="R72" s="1486"/>
      <c r="S72" s="1419"/>
      <c r="U72" t="s">
        <v>1568</v>
      </c>
      <c r="V72" s="544">
        <v>1</v>
      </c>
      <c r="W72" s="545">
        <v>12.83</v>
      </c>
      <c r="X72" s="545">
        <v>10</v>
      </c>
      <c r="Y72" s="546">
        <f t="shared" ref="Y72" si="27">W72*X72</f>
        <v>128.30000000000001</v>
      </c>
      <c r="Z72" s="546">
        <f t="shared" ref="Z72" si="28">W72*V72</f>
        <v>12.83</v>
      </c>
      <c r="AA72" s="546">
        <f t="shared" ref="AA72" si="29">(W72+W72+X72+X72)</f>
        <v>45.66</v>
      </c>
      <c r="AB72" s="547">
        <f>V72*AA72</f>
        <v>45.66</v>
      </c>
      <c r="AC72" s="548">
        <f>V72*Y72</f>
        <v>128.30000000000001</v>
      </c>
      <c r="AD72" s="548">
        <f>1*V72</f>
        <v>1</v>
      </c>
    </row>
    <row r="73" spans="1:30">
      <c r="A73" s="1412"/>
      <c r="B73" s="1247" t="s">
        <v>1569</v>
      </c>
      <c r="C73" s="23"/>
      <c r="D73" s="345">
        <f t="shared" si="22"/>
        <v>128.30000000000001</v>
      </c>
      <c r="E73" s="266" t="s">
        <v>511</v>
      </c>
      <c r="F73" s="431">
        <v>75</v>
      </c>
      <c r="G73" s="1402">
        <f t="shared" si="20"/>
        <v>9622.5</v>
      </c>
      <c r="H73" s="1486"/>
      <c r="I73" s="1419"/>
      <c r="J73" s="1486"/>
      <c r="K73" s="1419"/>
      <c r="L73" s="1486"/>
      <c r="M73" s="1419"/>
      <c r="N73" s="1486"/>
      <c r="O73" s="1419"/>
      <c r="P73" s="1486"/>
      <c r="Q73" s="1419"/>
      <c r="R73" s="1486"/>
      <c r="S73" s="1419"/>
      <c r="U73" t="s">
        <v>1570</v>
      </c>
      <c r="V73" s="544">
        <v>1</v>
      </c>
      <c r="W73" s="545">
        <v>12.83</v>
      </c>
      <c r="X73" s="545">
        <v>10</v>
      </c>
      <c r="Y73" s="546">
        <f t="shared" si="23"/>
        <v>128.30000000000001</v>
      </c>
      <c r="Z73" s="546">
        <f t="shared" si="24"/>
        <v>12.83</v>
      </c>
      <c r="AA73" s="546">
        <f t="shared" si="25"/>
        <v>45.66</v>
      </c>
      <c r="AB73" s="547">
        <f>V73*AA73</f>
        <v>45.66</v>
      </c>
      <c r="AC73" s="548">
        <f>V73*Y73</f>
        <v>128.30000000000001</v>
      </c>
      <c r="AD73" s="548">
        <f>1*V73</f>
        <v>1</v>
      </c>
    </row>
    <row r="74" spans="1:30">
      <c r="A74" s="1412"/>
      <c r="B74" s="1247" t="s">
        <v>1571</v>
      </c>
      <c r="C74" s="23"/>
      <c r="D74" s="345">
        <f t="shared" si="22"/>
        <v>148.30000000000001</v>
      </c>
      <c r="E74" s="266" t="s">
        <v>511</v>
      </c>
      <c r="F74" s="431">
        <v>75</v>
      </c>
      <c r="G74" s="1402">
        <f t="shared" si="20"/>
        <v>11122.5</v>
      </c>
      <c r="H74" s="1486"/>
      <c r="I74" s="1419"/>
      <c r="J74" s="1486"/>
      <c r="K74" s="1419"/>
      <c r="L74" s="1486"/>
      <c r="M74" s="1419"/>
      <c r="N74" s="1486"/>
      <c r="O74" s="1419"/>
      <c r="P74" s="1486"/>
      <c r="Q74" s="1419"/>
      <c r="R74" s="1486"/>
      <c r="S74" s="1419"/>
      <c r="U74" t="s">
        <v>1571</v>
      </c>
      <c r="V74" s="544">
        <v>1</v>
      </c>
      <c r="W74" s="545">
        <v>14.83</v>
      </c>
      <c r="X74" s="545">
        <v>10</v>
      </c>
      <c r="Y74" s="546">
        <f t="shared" ref="Y74:Y97" si="30">W74*X74</f>
        <v>148.30000000000001</v>
      </c>
      <c r="Z74" s="546">
        <f t="shared" ref="Z74:Z97" si="31">W74*V74</f>
        <v>14.83</v>
      </c>
      <c r="AA74" s="546">
        <f t="shared" ref="AA74:AA97" si="32">(W74+W74+X74+X74)</f>
        <v>49.66</v>
      </c>
      <c r="AB74" s="547">
        <f t="shared" ref="AB74:AB97" si="33">V74*AA74</f>
        <v>49.66</v>
      </c>
      <c r="AC74" s="548">
        <f t="shared" ref="AC74:AC97" si="34">V74*Y74</f>
        <v>148.30000000000001</v>
      </c>
      <c r="AD74" s="548"/>
    </row>
    <row r="75" spans="1:30">
      <c r="A75" s="1412"/>
      <c r="B75" s="1247" t="s">
        <v>1572</v>
      </c>
      <c r="C75" s="23"/>
      <c r="D75" s="345">
        <f t="shared" si="22"/>
        <v>104.2</v>
      </c>
      <c r="E75" s="266" t="s">
        <v>511</v>
      </c>
      <c r="F75" s="431">
        <v>75</v>
      </c>
      <c r="G75" s="1402">
        <f t="shared" si="20"/>
        <v>7815</v>
      </c>
      <c r="H75" s="1486"/>
      <c r="I75" s="1419"/>
      <c r="J75" s="1486"/>
      <c r="K75" s="1419"/>
      <c r="L75" s="1486"/>
      <c r="M75" s="1419"/>
      <c r="N75" s="1486"/>
      <c r="O75" s="1419"/>
      <c r="P75" s="1486"/>
      <c r="Q75" s="1419"/>
      <c r="R75" s="1486"/>
      <c r="S75" s="1419"/>
      <c r="U75" t="s">
        <v>1573</v>
      </c>
      <c r="V75" s="544">
        <v>1</v>
      </c>
      <c r="W75" s="545">
        <v>10.42</v>
      </c>
      <c r="X75" s="545">
        <v>10</v>
      </c>
      <c r="Y75" s="546">
        <f t="shared" si="30"/>
        <v>104.2</v>
      </c>
      <c r="Z75" s="546">
        <f t="shared" si="31"/>
        <v>10.42</v>
      </c>
      <c r="AA75" s="546">
        <f t="shared" si="32"/>
        <v>40.840000000000003</v>
      </c>
      <c r="AB75" s="547">
        <f t="shared" si="33"/>
        <v>40.840000000000003</v>
      </c>
      <c r="AC75" s="548">
        <f t="shared" si="34"/>
        <v>104.2</v>
      </c>
      <c r="AD75" s="548">
        <f t="shared" ref="AD75:AD84" si="35">1*V75</f>
        <v>1</v>
      </c>
    </row>
    <row r="76" spans="1:30">
      <c r="A76" s="1412"/>
      <c r="B76" s="1247" t="s">
        <v>1574</v>
      </c>
      <c r="C76" s="23"/>
      <c r="D76" s="345">
        <f t="shared" si="22"/>
        <v>320</v>
      </c>
      <c r="E76" s="266" t="s">
        <v>511</v>
      </c>
      <c r="F76" s="431">
        <v>75</v>
      </c>
      <c r="G76" s="1402">
        <f t="shared" si="20"/>
        <v>24000</v>
      </c>
      <c r="H76" s="1486"/>
      <c r="I76" s="1419"/>
      <c r="J76" s="1486"/>
      <c r="K76" s="1419"/>
      <c r="L76" s="1486"/>
      <c r="M76" s="1419"/>
      <c r="N76" s="1486"/>
      <c r="O76" s="1419"/>
      <c r="P76" s="1486"/>
      <c r="Q76" s="1419"/>
      <c r="R76" s="1486"/>
      <c r="S76" s="1419"/>
      <c r="U76" t="s">
        <v>1575</v>
      </c>
      <c r="V76" s="544">
        <v>4</v>
      </c>
      <c r="W76" s="545">
        <v>8</v>
      </c>
      <c r="X76" s="545">
        <v>10</v>
      </c>
      <c r="Y76" s="546">
        <f t="shared" si="30"/>
        <v>80</v>
      </c>
      <c r="Z76" s="546">
        <f t="shared" si="31"/>
        <v>32</v>
      </c>
      <c r="AA76" s="546">
        <f t="shared" si="32"/>
        <v>36</v>
      </c>
      <c r="AB76" s="547">
        <f t="shared" si="33"/>
        <v>144</v>
      </c>
      <c r="AC76" s="548">
        <f t="shared" si="34"/>
        <v>320</v>
      </c>
      <c r="AD76" s="548">
        <f t="shared" si="35"/>
        <v>4</v>
      </c>
    </row>
    <row r="77" spans="1:30">
      <c r="A77" s="1412"/>
      <c r="B77" s="1247" t="s">
        <v>1576</v>
      </c>
      <c r="C77" s="23"/>
      <c r="D77" s="345">
        <f t="shared" si="22"/>
        <v>200</v>
      </c>
      <c r="E77" s="266" t="s">
        <v>511</v>
      </c>
      <c r="F77" s="431">
        <v>75</v>
      </c>
      <c r="G77" s="1402">
        <f t="shared" si="20"/>
        <v>15000</v>
      </c>
      <c r="H77" s="1486"/>
      <c r="I77" s="1419"/>
      <c r="J77" s="1486"/>
      <c r="K77" s="1419"/>
      <c r="L77" s="1486"/>
      <c r="M77" s="1419"/>
      <c r="N77" s="1486"/>
      <c r="O77" s="1419"/>
      <c r="P77" s="1486"/>
      <c r="Q77" s="1419"/>
      <c r="R77" s="1486"/>
      <c r="S77" s="1419"/>
      <c r="U77" t="s">
        <v>1577</v>
      </c>
      <c r="V77" s="544">
        <v>4</v>
      </c>
      <c r="W77" s="545">
        <v>5</v>
      </c>
      <c r="X77" s="545">
        <v>10</v>
      </c>
      <c r="Y77" s="546">
        <f t="shared" si="30"/>
        <v>50</v>
      </c>
      <c r="Z77" s="546">
        <f t="shared" si="31"/>
        <v>20</v>
      </c>
      <c r="AA77" s="546">
        <f t="shared" si="32"/>
        <v>30</v>
      </c>
      <c r="AB77" s="547">
        <f t="shared" si="33"/>
        <v>120</v>
      </c>
      <c r="AC77" s="548">
        <f t="shared" si="34"/>
        <v>200</v>
      </c>
      <c r="AD77" s="548">
        <f t="shared" si="35"/>
        <v>4</v>
      </c>
    </row>
    <row r="78" spans="1:30">
      <c r="A78" s="1412"/>
      <c r="B78" s="1247" t="s">
        <v>1578</v>
      </c>
      <c r="C78" s="23"/>
      <c r="D78" s="345">
        <f t="shared" si="22"/>
        <v>150</v>
      </c>
      <c r="E78" s="266" t="s">
        <v>511</v>
      </c>
      <c r="F78" s="431">
        <v>75</v>
      </c>
      <c r="G78" s="1402">
        <f t="shared" si="20"/>
        <v>11250</v>
      </c>
      <c r="H78" s="1486"/>
      <c r="I78" s="1419"/>
      <c r="J78" s="1486"/>
      <c r="K78" s="1419"/>
      <c r="L78" s="1486"/>
      <c r="M78" s="1419"/>
      <c r="N78" s="1486"/>
      <c r="O78" s="1419"/>
      <c r="P78" s="1486"/>
      <c r="Q78" s="1419"/>
      <c r="R78" s="1486"/>
      <c r="S78" s="1419"/>
      <c r="U78" t="s">
        <v>1579</v>
      </c>
      <c r="V78" s="544">
        <v>3</v>
      </c>
      <c r="W78" s="545">
        <v>5</v>
      </c>
      <c r="X78" s="545">
        <v>10</v>
      </c>
      <c r="Y78" s="546">
        <f t="shared" ref="Y78" si="36">W78*X78</f>
        <v>50</v>
      </c>
      <c r="Z78" s="546">
        <f t="shared" ref="Z78" si="37">W78*V78</f>
        <v>15</v>
      </c>
      <c r="AA78" s="546">
        <f t="shared" ref="AA78" si="38">(W78+W78+X78+X78)</f>
        <v>30</v>
      </c>
      <c r="AB78" s="547">
        <f t="shared" ref="AB78" si="39">V78*AA78</f>
        <v>90</v>
      </c>
      <c r="AC78" s="548">
        <f t="shared" ref="AC78" si="40">V78*Y78</f>
        <v>150</v>
      </c>
      <c r="AD78" s="548">
        <f t="shared" si="35"/>
        <v>3</v>
      </c>
    </row>
    <row r="79" spans="1:30">
      <c r="A79" s="1412"/>
      <c r="B79" s="1247" t="s">
        <v>1580</v>
      </c>
      <c r="C79" s="23"/>
      <c r="D79" s="345">
        <f t="shared" si="22"/>
        <v>780</v>
      </c>
      <c r="E79" s="266" t="s">
        <v>511</v>
      </c>
      <c r="F79" s="431">
        <v>75</v>
      </c>
      <c r="G79" s="1402">
        <f t="shared" si="20"/>
        <v>58500</v>
      </c>
      <c r="H79" s="1486"/>
      <c r="I79" s="1419"/>
      <c r="J79" s="1486"/>
      <c r="K79" s="1419"/>
      <c r="L79" s="1486"/>
      <c r="M79" s="1419"/>
      <c r="N79" s="1486"/>
      <c r="O79" s="1419"/>
      <c r="P79" s="1486"/>
      <c r="Q79" s="1419"/>
      <c r="R79" s="1486"/>
      <c r="S79" s="1419"/>
      <c r="U79" t="s">
        <v>1581</v>
      </c>
      <c r="V79" s="544">
        <v>12</v>
      </c>
      <c r="W79" s="545">
        <v>6.5</v>
      </c>
      <c r="X79" s="545">
        <v>10</v>
      </c>
      <c r="Y79" s="546">
        <f t="shared" si="30"/>
        <v>65</v>
      </c>
      <c r="Z79" s="546">
        <f t="shared" si="31"/>
        <v>78</v>
      </c>
      <c r="AA79" s="546">
        <f t="shared" si="32"/>
        <v>33</v>
      </c>
      <c r="AB79" s="547">
        <f t="shared" si="33"/>
        <v>396</v>
      </c>
      <c r="AC79" s="548">
        <f t="shared" si="34"/>
        <v>780</v>
      </c>
      <c r="AD79" s="548">
        <f t="shared" si="35"/>
        <v>12</v>
      </c>
    </row>
    <row r="80" spans="1:30">
      <c r="A80" s="1412"/>
      <c r="B80" s="1247" t="s">
        <v>1582</v>
      </c>
      <c r="C80" s="23"/>
      <c r="D80" s="345">
        <f t="shared" si="22"/>
        <v>455</v>
      </c>
      <c r="E80" s="266" t="s">
        <v>511</v>
      </c>
      <c r="F80" s="431">
        <v>75</v>
      </c>
      <c r="G80" s="1402">
        <f t="shared" si="20"/>
        <v>34125</v>
      </c>
      <c r="H80" s="1486"/>
      <c r="I80" s="1419"/>
      <c r="J80" s="1486"/>
      <c r="K80" s="1419"/>
      <c r="L80" s="1486"/>
      <c r="M80" s="1419"/>
      <c r="N80" s="1486"/>
      <c r="O80" s="1419"/>
      <c r="P80" s="1486"/>
      <c r="Q80" s="1419"/>
      <c r="R80" s="1486"/>
      <c r="S80" s="1419"/>
      <c r="U80" t="s">
        <v>1583</v>
      </c>
      <c r="V80" s="544">
        <v>7</v>
      </c>
      <c r="W80" s="545">
        <v>6.5</v>
      </c>
      <c r="X80" s="545">
        <v>10</v>
      </c>
      <c r="Y80" s="546">
        <f t="shared" ref="Y80" si="41">W80*X80</f>
        <v>65</v>
      </c>
      <c r="Z80" s="546">
        <f t="shared" ref="Z80" si="42">W80*V80</f>
        <v>45.5</v>
      </c>
      <c r="AA80" s="546">
        <f t="shared" ref="AA80" si="43">(W80+W80+X80+X80)</f>
        <v>33</v>
      </c>
      <c r="AB80" s="547">
        <f t="shared" ref="AB80" si="44">V80*AA80</f>
        <v>231</v>
      </c>
      <c r="AC80" s="548">
        <f t="shared" ref="AC80" si="45">V80*Y80</f>
        <v>455</v>
      </c>
      <c r="AD80" s="548">
        <f t="shared" si="35"/>
        <v>7</v>
      </c>
    </row>
    <row r="81" spans="1:31">
      <c r="A81" s="1412"/>
      <c r="B81" s="1247" t="s">
        <v>1584</v>
      </c>
      <c r="C81" s="23"/>
      <c r="D81" s="345">
        <f t="shared" si="22"/>
        <v>222.60000000000002</v>
      </c>
      <c r="E81" s="266" t="s">
        <v>511</v>
      </c>
      <c r="F81" s="431">
        <v>75</v>
      </c>
      <c r="G81" s="1402">
        <f t="shared" si="20"/>
        <v>16695</v>
      </c>
      <c r="H81" s="1486"/>
      <c r="I81" s="1419"/>
      <c r="J81" s="1486"/>
      <c r="K81" s="1419"/>
      <c r="L81" s="1486"/>
      <c r="M81" s="1419"/>
      <c r="N81" s="1486"/>
      <c r="O81" s="1419"/>
      <c r="P81" s="1486"/>
      <c r="Q81" s="1419"/>
      <c r="R81" s="1486"/>
      <c r="S81" s="1419"/>
      <c r="U81" t="s">
        <v>1585</v>
      </c>
      <c r="V81" s="544">
        <v>3</v>
      </c>
      <c r="W81" s="545">
        <v>7.42</v>
      </c>
      <c r="X81" s="545">
        <v>10</v>
      </c>
      <c r="Y81" s="546">
        <f t="shared" si="30"/>
        <v>74.2</v>
      </c>
      <c r="Z81" s="546">
        <f t="shared" si="31"/>
        <v>22.259999999999998</v>
      </c>
      <c r="AA81" s="546">
        <f t="shared" si="32"/>
        <v>34.840000000000003</v>
      </c>
      <c r="AB81" s="547">
        <f t="shared" si="33"/>
        <v>104.52000000000001</v>
      </c>
      <c r="AC81" s="548">
        <f t="shared" si="34"/>
        <v>222.60000000000002</v>
      </c>
      <c r="AD81" s="548">
        <f t="shared" si="35"/>
        <v>3</v>
      </c>
    </row>
    <row r="82" spans="1:31">
      <c r="A82" s="1412"/>
      <c r="B82" s="1247" t="s">
        <v>1586</v>
      </c>
      <c r="C82" s="23"/>
      <c r="D82" s="345">
        <f t="shared" si="22"/>
        <v>222.60000000000002</v>
      </c>
      <c r="E82" s="266" t="s">
        <v>511</v>
      </c>
      <c r="F82" s="431">
        <v>75</v>
      </c>
      <c r="G82" s="1402">
        <f t="shared" si="20"/>
        <v>16695</v>
      </c>
      <c r="H82" s="1486"/>
      <c r="I82" s="1419"/>
      <c r="J82" s="1486"/>
      <c r="K82" s="1419"/>
      <c r="L82" s="1486"/>
      <c r="M82" s="1419"/>
      <c r="N82" s="1486"/>
      <c r="O82" s="1419"/>
      <c r="P82" s="1486"/>
      <c r="Q82" s="1419"/>
      <c r="R82" s="1486"/>
      <c r="S82" s="1419"/>
      <c r="U82" t="s">
        <v>1587</v>
      </c>
      <c r="V82" s="544">
        <v>3</v>
      </c>
      <c r="W82" s="545">
        <v>7.42</v>
      </c>
      <c r="X82" s="545">
        <v>10</v>
      </c>
      <c r="Y82" s="546">
        <f t="shared" ref="Y82" si="46">W82*X82</f>
        <v>74.2</v>
      </c>
      <c r="Z82" s="546">
        <f t="shared" ref="Z82" si="47">W82*V82</f>
        <v>22.259999999999998</v>
      </c>
      <c r="AA82" s="546">
        <f t="shared" ref="AA82" si="48">(W82+W82+X82+X82)</f>
        <v>34.840000000000003</v>
      </c>
      <c r="AB82" s="547">
        <f t="shared" ref="AB82" si="49">V82*AA82</f>
        <v>104.52000000000001</v>
      </c>
      <c r="AC82" s="548">
        <f t="shared" ref="AC82" si="50">V82*Y82</f>
        <v>222.60000000000002</v>
      </c>
      <c r="AD82" s="548">
        <f t="shared" si="35"/>
        <v>3</v>
      </c>
    </row>
    <row r="83" spans="1:31">
      <c r="A83" s="1412"/>
      <c r="B83" s="1247" t="s">
        <v>1588</v>
      </c>
      <c r="C83" s="23"/>
      <c r="D83" s="345">
        <f t="shared" si="22"/>
        <v>282.60000000000002</v>
      </c>
      <c r="E83" s="266" t="s">
        <v>511</v>
      </c>
      <c r="F83" s="431">
        <v>75</v>
      </c>
      <c r="G83" s="1402">
        <f t="shared" si="20"/>
        <v>21195</v>
      </c>
      <c r="H83" s="1486"/>
      <c r="I83" s="1419"/>
      <c r="J83" s="1486"/>
      <c r="K83" s="1419"/>
      <c r="L83" s="1486"/>
      <c r="M83" s="1419"/>
      <c r="N83" s="1486"/>
      <c r="O83" s="1419"/>
      <c r="P83" s="1486"/>
      <c r="Q83" s="1419"/>
      <c r="R83" s="1486"/>
      <c r="S83" s="1419"/>
      <c r="U83" t="s">
        <v>1589</v>
      </c>
      <c r="V83" s="544">
        <v>3</v>
      </c>
      <c r="W83" s="545">
        <v>9.42</v>
      </c>
      <c r="X83" s="545">
        <v>10</v>
      </c>
      <c r="Y83" s="546">
        <f t="shared" si="30"/>
        <v>94.2</v>
      </c>
      <c r="Z83" s="546">
        <f t="shared" si="31"/>
        <v>28.259999999999998</v>
      </c>
      <c r="AA83" s="546">
        <f t="shared" si="32"/>
        <v>38.840000000000003</v>
      </c>
      <c r="AB83" s="547">
        <f t="shared" si="33"/>
        <v>116.52000000000001</v>
      </c>
      <c r="AC83" s="548">
        <f t="shared" si="34"/>
        <v>282.60000000000002</v>
      </c>
      <c r="AD83" s="548">
        <f t="shared" si="35"/>
        <v>3</v>
      </c>
    </row>
    <row r="84" spans="1:31">
      <c r="A84" s="1412"/>
      <c r="B84" s="1247" t="s">
        <v>1590</v>
      </c>
      <c r="C84" s="23"/>
      <c r="D84" s="345">
        <f t="shared" si="22"/>
        <v>565.20000000000005</v>
      </c>
      <c r="E84" s="266" t="s">
        <v>511</v>
      </c>
      <c r="F84" s="431">
        <v>75</v>
      </c>
      <c r="G84" s="1402">
        <f t="shared" si="20"/>
        <v>42390</v>
      </c>
      <c r="H84" s="1486"/>
      <c r="I84" s="1419"/>
      <c r="J84" s="1486"/>
      <c r="K84" s="1419"/>
      <c r="L84" s="1486"/>
      <c r="M84" s="1419"/>
      <c r="N84" s="1486"/>
      <c r="O84" s="1419"/>
      <c r="P84" s="1486"/>
      <c r="Q84" s="1419"/>
      <c r="R84" s="1486"/>
      <c r="S84" s="1419"/>
      <c r="U84" t="s">
        <v>1591</v>
      </c>
      <c r="V84" s="544">
        <v>6</v>
      </c>
      <c r="W84" s="545">
        <v>9.42</v>
      </c>
      <c r="X84" s="545">
        <v>10</v>
      </c>
      <c r="Y84" s="546">
        <f t="shared" ref="Y84" si="51">W84*X84</f>
        <v>94.2</v>
      </c>
      <c r="Z84" s="546">
        <f t="shared" ref="Z84" si="52">W84*V84</f>
        <v>56.519999999999996</v>
      </c>
      <c r="AA84" s="546">
        <f t="shared" ref="AA84" si="53">(W84+W84+X84+X84)</f>
        <v>38.840000000000003</v>
      </c>
      <c r="AB84" s="547">
        <f t="shared" ref="AB84" si="54">V84*AA84</f>
        <v>233.04000000000002</v>
      </c>
      <c r="AC84" s="548">
        <f t="shared" ref="AC84" si="55">V84*Y84</f>
        <v>565.20000000000005</v>
      </c>
      <c r="AD84" s="548">
        <f t="shared" si="35"/>
        <v>6</v>
      </c>
    </row>
    <row r="85" spans="1:31">
      <c r="A85" s="1412"/>
      <c r="B85" s="1247" t="s">
        <v>1592</v>
      </c>
      <c r="C85" s="23"/>
      <c r="D85" s="345">
        <f t="shared" si="22"/>
        <v>63.3</v>
      </c>
      <c r="E85" s="266" t="s">
        <v>511</v>
      </c>
      <c r="F85" s="431">
        <v>75</v>
      </c>
      <c r="G85" s="1402">
        <f t="shared" si="20"/>
        <v>4747.5</v>
      </c>
      <c r="H85" s="1486"/>
      <c r="I85" s="1419"/>
      <c r="J85" s="1486"/>
      <c r="K85" s="1419"/>
      <c r="L85" s="1486"/>
      <c r="M85" s="1419"/>
      <c r="N85" s="1486"/>
      <c r="O85" s="1419"/>
      <c r="P85" s="1486"/>
      <c r="Q85" s="1419"/>
      <c r="R85" s="1486"/>
      <c r="S85" s="1419"/>
      <c r="U85" t="s">
        <v>1593</v>
      </c>
      <c r="V85" s="544">
        <v>1</v>
      </c>
      <c r="W85" s="545">
        <v>6.33</v>
      </c>
      <c r="X85" s="545">
        <v>10</v>
      </c>
      <c r="Y85" s="546">
        <f t="shared" si="30"/>
        <v>63.3</v>
      </c>
      <c r="Z85" s="546">
        <f t="shared" si="31"/>
        <v>6.33</v>
      </c>
      <c r="AA85" s="546">
        <f t="shared" si="32"/>
        <v>32.659999999999997</v>
      </c>
      <c r="AB85" s="547">
        <f t="shared" si="33"/>
        <v>32.659999999999997</v>
      </c>
      <c r="AC85" s="548">
        <f t="shared" si="34"/>
        <v>63.3</v>
      </c>
      <c r="AD85" s="548">
        <v>2</v>
      </c>
      <c r="AE85" t="s">
        <v>1594</v>
      </c>
    </row>
    <row r="86" spans="1:31">
      <c r="A86" s="1412"/>
      <c r="B86" s="1247" t="s">
        <v>1595</v>
      </c>
      <c r="C86" s="23"/>
      <c r="D86" s="345">
        <f t="shared" si="22"/>
        <v>166.5</v>
      </c>
      <c r="E86" s="266" t="s">
        <v>511</v>
      </c>
      <c r="F86" s="431">
        <v>75</v>
      </c>
      <c r="G86" s="1402">
        <f t="shared" si="20"/>
        <v>12487.5</v>
      </c>
      <c r="H86" s="1486"/>
      <c r="I86" s="1419"/>
      <c r="J86" s="1486"/>
      <c r="K86" s="1419"/>
      <c r="L86" s="1486"/>
      <c r="M86" s="1419"/>
      <c r="N86" s="1486"/>
      <c r="O86" s="1419"/>
      <c r="P86" s="1486"/>
      <c r="Q86" s="1419"/>
      <c r="R86" s="1486"/>
      <c r="S86" s="1419"/>
      <c r="U86" t="s">
        <v>1596</v>
      </c>
      <c r="V86" s="544">
        <v>5</v>
      </c>
      <c r="W86" s="545">
        <v>3.33</v>
      </c>
      <c r="X86" s="545">
        <v>10</v>
      </c>
      <c r="Y86" s="546">
        <f t="shared" si="30"/>
        <v>33.299999999999997</v>
      </c>
      <c r="Z86" s="546">
        <f t="shared" si="31"/>
        <v>16.649999999999999</v>
      </c>
      <c r="AA86" s="546">
        <f t="shared" si="32"/>
        <v>26.66</v>
      </c>
      <c r="AB86" s="547">
        <f t="shared" si="33"/>
        <v>133.30000000000001</v>
      </c>
      <c r="AC86" s="548">
        <f t="shared" si="34"/>
        <v>166.5</v>
      </c>
      <c r="AD86" s="548"/>
    </row>
    <row r="87" spans="1:31">
      <c r="A87" s="1412"/>
      <c r="B87" s="1247" t="s">
        <v>1597</v>
      </c>
      <c r="C87" s="23"/>
      <c r="D87" s="345">
        <f t="shared" si="22"/>
        <v>330.06799999999998</v>
      </c>
      <c r="E87" s="266" t="s">
        <v>511</v>
      </c>
      <c r="F87" s="431">
        <v>75</v>
      </c>
      <c r="G87" s="1402">
        <f t="shared" si="20"/>
        <v>24755.1</v>
      </c>
      <c r="H87" s="1486"/>
      <c r="I87" s="1419"/>
      <c r="J87" s="1486"/>
      <c r="K87" s="1419"/>
      <c r="L87" s="1486"/>
      <c r="M87" s="1419"/>
      <c r="N87" s="1486"/>
      <c r="O87" s="1419"/>
      <c r="P87" s="1486"/>
      <c r="Q87" s="1419"/>
      <c r="R87" s="1486"/>
      <c r="S87" s="1419"/>
      <c r="U87" t="s">
        <v>1597</v>
      </c>
      <c r="V87" s="544">
        <v>5</v>
      </c>
      <c r="W87" s="545">
        <v>8.08</v>
      </c>
      <c r="X87" s="545">
        <v>8.17</v>
      </c>
      <c r="Y87" s="546">
        <f t="shared" si="30"/>
        <v>66.013599999999997</v>
      </c>
      <c r="Z87" s="546">
        <f t="shared" si="31"/>
        <v>40.4</v>
      </c>
      <c r="AA87" s="546">
        <f t="shared" si="32"/>
        <v>32.5</v>
      </c>
      <c r="AB87" s="547">
        <f t="shared" si="33"/>
        <v>162.5</v>
      </c>
      <c r="AC87" s="548">
        <f t="shared" si="34"/>
        <v>330.06799999999998</v>
      </c>
      <c r="AD87" s="548">
        <f>1*V87</f>
        <v>5</v>
      </c>
    </row>
    <row r="88" spans="1:31">
      <c r="A88" s="1412"/>
      <c r="B88" s="1247" t="s">
        <v>1598</v>
      </c>
      <c r="C88" s="23"/>
      <c r="D88" s="345">
        <f t="shared" si="22"/>
        <v>396.08159999999998</v>
      </c>
      <c r="E88" s="266" t="s">
        <v>511</v>
      </c>
      <c r="F88" s="431">
        <v>75</v>
      </c>
      <c r="G88" s="1402">
        <f t="shared" si="20"/>
        <v>29706.12</v>
      </c>
      <c r="H88" s="1486"/>
      <c r="I88" s="1419"/>
      <c r="J88" s="1486"/>
      <c r="K88" s="1419"/>
      <c r="L88" s="1486"/>
      <c r="M88" s="1419"/>
      <c r="N88" s="1486"/>
      <c r="O88" s="1419"/>
      <c r="P88" s="1486"/>
      <c r="Q88" s="1419"/>
      <c r="R88" s="1486"/>
      <c r="S88" s="1419"/>
      <c r="U88" t="s">
        <v>1598</v>
      </c>
      <c r="V88" s="544">
        <v>6</v>
      </c>
      <c r="W88" s="545">
        <v>8.08</v>
      </c>
      <c r="X88" s="545">
        <v>8.17</v>
      </c>
      <c r="Y88" s="546">
        <f t="shared" ref="Y88" si="56">W88*X88</f>
        <v>66.013599999999997</v>
      </c>
      <c r="Z88" s="546">
        <f t="shared" ref="Z88" si="57">W88*V88</f>
        <v>48.480000000000004</v>
      </c>
      <c r="AA88" s="546">
        <f t="shared" ref="AA88" si="58">(W88+W88+X88+X88)</f>
        <v>32.5</v>
      </c>
      <c r="AB88" s="547">
        <f t="shared" ref="AB88" si="59">V88*AA88</f>
        <v>195</v>
      </c>
      <c r="AC88" s="548">
        <f t="shared" ref="AC88" si="60">V88*Y88</f>
        <v>396.08159999999998</v>
      </c>
      <c r="AD88" s="548">
        <f>1*V88</f>
        <v>6</v>
      </c>
    </row>
    <row r="89" spans="1:31">
      <c r="A89" s="1412"/>
      <c r="B89" s="1247" t="s">
        <v>1599</v>
      </c>
      <c r="C89" s="23"/>
      <c r="D89" s="345">
        <f t="shared" si="22"/>
        <v>714.83760000000007</v>
      </c>
      <c r="E89" s="266" t="s">
        <v>511</v>
      </c>
      <c r="F89" s="431">
        <v>75</v>
      </c>
      <c r="G89" s="1402">
        <f t="shared" si="20"/>
        <v>53612.820000000007</v>
      </c>
      <c r="H89" s="1486"/>
      <c r="I89" s="1419"/>
      <c r="J89" s="1486"/>
      <c r="K89" s="1419"/>
      <c r="L89" s="1486"/>
      <c r="M89" s="1419"/>
      <c r="N89" s="1486"/>
      <c r="O89" s="1419"/>
      <c r="P89" s="1486"/>
      <c r="Q89" s="1419"/>
      <c r="R89" s="1486"/>
      <c r="S89" s="1419"/>
      <c r="U89" t="s">
        <v>1599</v>
      </c>
      <c r="V89" s="544">
        <v>9</v>
      </c>
      <c r="W89" s="545">
        <v>8.08</v>
      </c>
      <c r="X89" s="545">
        <v>9.83</v>
      </c>
      <c r="Y89" s="546">
        <f t="shared" si="30"/>
        <v>79.426400000000001</v>
      </c>
      <c r="Z89" s="546">
        <f t="shared" si="31"/>
        <v>72.72</v>
      </c>
      <c r="AA89" s="546">
        <f t="shared" si="32"/>
        <v>35.82</v>
      </c>
      <c r="AB89" s="547">
        <f t="shared" si="33"/>
        <v>322.38</v>
      </c>
      <c r="AC89" s="548">
        <f t="shared" si="34"/>
        <v>714.83760000000007</v>
      </c>
      <c r="AD89" s="548">
        <f>1*V89</f>
        <v>9</v>
      </c>
    </row>
    <row r="90" spans="1:31">
      <c r="A90" s="1412"/>
      <c r="B90" s="1247" t="s">
        <v>1600</v>
      </c>
      <c r="C90" s="23"/>
      <c r="D90" s="345">
        <f t="shared" si="22"/>
        <v>1066.8024</v>
      </c>
      <c r="E90" s="266" t="s">
        <v>511</v>
      </c>
      <c r="F90" s="431">
        <v>75</v>
      </c>
      <c r="G90" s="1402">
        <f t="shared" si="20"/>
        <v>80010.180000000008</v>
      </c>
      <c r="H90" s="1486"/>
      <c r="I90" s="1419"/>
      <c r="J90" s="1486"/>
      <c r="K90" s="1419"/>
      <c r="L90" s="1486"/>
      <c r="M90" s="1419"/>
      <c r="N90" s="1486"/>
      <c r="O90" s="1419"/>
      <c r="P90" s="1486"/>
      <c r="Q90" s="1419"/>
      <c r="R90" s="1486"/>
      <c r="S90" s="1419"/>
      <c r="U90" t="s">
        <v>1600</v>
      </c>
      <c r="V90" s="544">
        <v>9</v>
      </c>
      <c r="W90" s="545">
        <v>8.08</v>
      </c>
      <c r="X90" s="545">
        <v>14.67</v>
      </c>
      <c r="Y90" s="546">
        <f t="shared" si="30"/>
        <v>118.53360000000001</v>
      </c>
      <c r="Z90" s="546">
        <f t="shared" si="31"/>
        <v>72.72</v>
      </c>
      <c r="AA90" s="546">
        <f t="shared" si="32"/>
        <v>45.5</v>
      </c>
      <c r="AB90" s="547">
        <f t="shared" si="33"/>
        <v>409.5</v>
      </c>
      <c r="AC90" s="548">
        <f t="shared" si="34"/>
        <v>1066.8024</v>
      </c>
      <c r="AD90" s="548"/>
    </row>
    <row r="91" spans="1:31">
      <c r="A91" s="1412"/>
      <c r="B91" s="1247" t="s">
        <v>1601</v>
      </c>
      <c r="C91" s="23"/>
      <c r="D91" s="345">
        <f t="shared" si="22"/>
        <v>518.33199999999999</v>
      </c>
      <c r="E91" s="266" t="s">
        <v>511</v>
      </c>
      <c r="F91" s="431">
        <v>75</v>
      </c>
      <c r="G91" s="1402">
        <f t="shared" si="20"/>
        <v>38874.9</v>
      </c>
      <c r="H91" s="1486"/>
      <c r="I91" s="1419"/>
      <c r="J91" s="1486"/>
      <c r="K91" s="1419"/>
      <c r="L91" s="1486"/>
      <c r="M91" s="1419"/>
      <c r="N91" s="1486"/>
      <c r="O91" s="1419"/>
      <c r="P91" s="1486"/>
      <c r="Q91" s="1419"/>
      <c r="R91" s="1486"/>
      <c r="S91" s="1419"/>
      <c r="U91" t="s">
        <v>1602</v>
      </c>
      <c r="V91" s="544">
        <v>5</v>
      </c>
      <c r="W91" s="545">
        <v>8.08</v>
      </c>
      <c r="X91" s="545">
        <v>12.83</v>
      </c>
      <c r="Y91" s="546">
        <f t="shared" si="30"/>
        <v>103.6664</v>
      </c>
      <c r="Z91" s="546">
        <f t="shared" si="31"/>
        <v>40.4</v>
      </c>
      <c r="AA91" s="546">
        <f t="shared" si="32"/>
        <v>41.82</v>
      </c>
      <c r="AB91" s="547">
        <f t="shared" si="33"/>
        <v>209.1</v>
      </c>
      <c r="AC91" s="548">
        <f t="shared" si="34"/>
        <v>518.33199999999999</v>
      </c>
      <c r="AD91" s="548">
        <f>1*V91</f>
        <v>5</v>
      </c>
    </row>
    <row r="92" spans="1:31">
      <c r="A92" s="1412"/>
      <c r="B92" s="1247" t="s">
        <v>1603</v>
      </c>
      <c r="C92" s="23"/>
      <c r="D92" s="345">
        <f t="shared" si="22"/>
        <v>518.33199999999999</v>
      </c>
      <c r="E92" s="266" t="s">
        <v>511</v>
      </c>
      <c r="F92" s="431">
        <v>75</v>
      </c>
      <c r="G92" s="1402">
        <f t="shared" si="20"/>
        <v>38874.9</v>
      </c>
      <c r="H92" s="1486"/>
      <c r="I92" s="1419"/>
      <c r="J92" s="1486"/>
      <c r="K92" s="1419"/>
      <c r="L92" s="1486"/>
      <c r="M92" s="1419"/>
      <c r="N92" s="1486"/>
      <c r="O92" s="1419"/>
      <c r="P92" s="1486"/>
      <c r="Q92" s="1419"/>
      <c r="R92" s="1486"/>
      <c r="S92" s="1419"/>
      <c r="U92" t="s">
        <v>1604</v>
      </c>
      <c r="V92" s="544">
        <v>5</v>
      </c>
      <c r="W92" s="545">
        <v>8.08</v>
      </c>
      <c r="X92" s="545">
        <v>12.83</v>
      </c>
      <c r="Y92" s="546">
        <f t="shared" ref="Y92" si="61">W92*X92</f>
        <v>103.6664</v>
      </c>
      <c r="Z92" s="546">
        <f t="shared" ref="Z92" si="62">W92*V92</f>
        <v>40.4</v>
      </c>
      <c r="AA92" s="546">
        <f t="shared" ref="AA92" si="63">(W92+W92+X92+X92)</f>
        <v>41.82</v>
      </c>
      <c r="AB92" s="547">
        <f t="shared" ref="AB92" si="64">V92*AA92</f>
        <v>209.1</v>
      </c>
      <c r="AC92" s="548">
        <f t="shared" ref="AC92" si="65">V92*Y92</f>
        <v>518.33199999999999</v>
      </c>
      <c r="AD92" s="548">
        <f>1*V92</f>
        <v>5</v>
      </c>
    </row>
    <row r="93" spans="1:31">
      <c r="A93" s="1412"/>
      <c r="B93" s="1247" t="s">
        <v>1605</v>
      </c>
      <c r="C93" s="23"/>
      <c r="D93" s="345">
        <f t="shared" si="22"/>
        <v>65</v>
      </c>
      <c r="E93" s="266" t="s">
        <v>511</v>
      </c>
      <c r="F93" s="431">
        <v>75</v>
      </c>
      <c r="G93" s="1402">
        <f t="shared" si="20"/>
        <v>4875</v>
      </c>
      <c r="H93" s="1486"/>
      <c r="I93" s="1419"/>
      <c r="J93" s="1486"/>
      <c r="K93" s="1419"/>
      <c r="L93" s="1486"/>
      <c r="M93" s="1419"/>
      <c r="N93" s="1486"/>
      <c r="O93" s="1419"/>
      <c r="P93" s="1486"/>
      <c r="Q93" s="1419"/>
      <c r="R93" s="1486"/>
      <c r="S93" s="1419"/>
      <c r="U93" t="s">
        <v>1605</v>
      </c>
      <c r="V93" s="544">
        <v>1</v>
      </c>
      <c r="W93" s="545">
        <v>6.5</v>
      </c>
      <c r="X93" s="545">
        <v>10</v>
      </c>
      <c r="Y93" s="546">
        <f t="shared" si="30"/>
        <v>65</v>
      </c>
      <c r="Z93" s="546">
        <f t="shared" si="31"/>
        <v>6.5</v>
      </c>
      <c r="AA93" s="546">
        <f t="shared" si="32"/>
        <v>33</v>
      </c>
      <c r="AB93" s="547">
        <f t="shared" si="33"/>
        <v>33</v>
      </c>
      <c r="AC93" s="548">
        <f t="shared" si="34"/>
        <v>65</v>
      </c>
      <c r="AD93" s="548">
        <v>2</v>
      </c>
      <c r="AE93" t="s">
        <v>1594</v>
      </c>
    </row>
    <row r="94" spans="1:31">
      <c r="A94" s="1412"/>
      <c r="B94" s="1247" t="s">
        <v>1606</v>
      </c>
      <c r="C94" s="23"/>
      <c r="D94" s="345">
        <f t="shared" si="22"/>
        <v>65</v>
      </c>
      <c r="E94" s="266" t="s">
        <v>511</v>
      </c>
      <c r="F94" s="431">
        <v>75</v>
      </c>
      <c r="G94" s="1402">
        <f t="shared" si="20"/>
        <v>4875</v>
      </c>
      <c r="H94" s="1486"/>
      <c r="I94" s="1419"/>
      <c r="J94" s="1486"/>
      <c r="K94" s="1419"/>
      <c r="L94" s="1486"/>
      <c r="M94" s="1419"/>
      <c r="N94" s="1486"/>
      <c r="O94" s="1419"/>
      <c r="P94" s="1486"/>
      <c r="Q94" s="1419"/>
      <c r="R94" s="1486"/>
      <c r="S94" s="1419"/>
      <c r="U94" t="s">
        <v>1606</v>
      </c>
      <c r="V94" s="544">
        <v>1</v>
      </c>
      <c r="W94" s="545">
        <v>6.5</v>
      </c>
      <c r="X94" s="545">
        <v>10</v>
      </c>
      <c r="Y94" s="546">
        <f t="shared" ref="Y94" si="66">W94*X94</f>
        <v>65</v>
      </c>
      <c r="Z94" s="546">
        <f t="shared" ref="Z94" si="67">W94*V94</f>
        <v>6.5</v>
      </c>
      <c r="AA94" s="546">
        <f t="shared" ref="AA94" si="68">(W94+W94+X94+X94)</f>
        <v>33</v>
      </c>
      <c r="AB94" s="547">
        <f t="shared" ref="AB94" si="69">V94*AA94</f>
        <v>33</v>
      </c>
      <c r="AC94" s="548">
        <f t="shared" ref="AC94" si="70">V94*Y94</f>
        <v>65</v>
      </c>
      <c r="AD94" s="548">
        <v>2</v>
      </c>
      <c r="AE94" t="s">
        <v>1594</v>
      </c>
    </row>
    <row r="95" spans="1:31">
      <c r="A95" s="1412"/>
      <c r="B95" s="1247" t="s">
        <v>1607</v>
      </c>
      <c r="C95" s="23"/>
      <c r="D95" s="345">
        <f t="shared" si="22"/>
        <v>262.60000000000002</v>
      </c>
      <c r="E95" s="266" t="s">
        <v>511</v>
      </c>
      <c r="F95" s="431">
        <v>75</v>
      </c>
      <c r="G95" s="1402">
        <f t="shared" si="20"/>
        <v>19695</v>
      </c>
      <c r="H95" s="1486"/>
      <c r="I95" s="1419"/>
      <c r="J95" s="1486"/>
      <c r="K95" s="1419"/>
      <c r="L95" s="1486"/>
      <c r="M95" s="1419"/>
      <c r="N95" s="1486"/>
      <c r="O95" s="1419"/>
      <c r="P95" s="1486"/>
      <c r="Q95" s="1419"/>
      <c r="R95" s="1486"/>
      <c r="S95" s="1419"/>
      <c r="U95" t="s">
        <v>1608</v>
      </c>
      <c r="V95" s="544">
        <v>5</v>
      </c>
      <c r="W95" s="545">
        <v>8.08</v>
      </c>
      <c r="X95" s="545">
        <v>6.5</v>
      </c>
      <c r="Y95" s="546">
        <f t="shared" si="30"/>
        <v>52.52</v>
      </c>
      <c r="Z95" s="546">
        <f t="shared" si="31"/>
        <v>40.4</v>
      </c>
      <c r="AA95" s="546">
        <f t="shared" si="32"/>
        <v>29.16</v>
      </c>
      <c r="AB95" s="547">
        <f t="shared" si="33"/>
        <v>145.80000000000001</v>
      </c>
      <c r="AC95" s="548">
        <f t="shared" si="34"/>
        <v>262.60000000000002</v>
      </c>
      <c r="AD95" s="548">
        <f>1*V95</f>
        <v>5</v>
      </c>
    </row>
    <row r="96" spans="1:31">
      <c r="A96" s="1412"/>
      <c r="B96" s="1247" t="s">
        <v>1609</v>
      </c>
      <c r="C96" s="23"/>
      <c r="D96" s="345">
        <f t="shared" si="22"/>
        <v>210.08</v>
      </c>
      <c r="E96" s="266" t="s">
        <v>511</v>
      </c>
      <c r="F96" s="431">
        <v>75</v>
      </c>
      <c r="G96" s="1402">
        <f t="shared" si="20"/>
        <v>15756.000000000002</v>
      </c>
      <c r="H96" s="1486"/>
      <c r="I96" s="1419"/>
      <c r="J96" s="1486"/>
      <c r="K96" s="1419"/>
      <c r="L96" s="1486"/>
      <c r="M96" s="1419"/>
      <c r="N96" s="1486"/>
      <c r="O96" s="1419"/>
      <c r="P96" s="1486"/>
      <c r="Q96" s="1419"/>
      <c r="R96" s="1486"/>
      <c r="S96" s="1419"/>
      <c r="U96" t="s">
        <v>1610</v>
      </c>
      <c r="V96" s="544">
        <v>4</v>
      </c>
      <c r="W96" s="545">
        <v>8.08</v>
      </c>
      <c r="X96" s="545">
        <v>6.5</v>
      </c>
      <c r="Y96" s="546">
        <f t="shared" ref="Y96" si="71">W96*X96</f>
        <v>52.52</v>
      </c>
      <c r="Z96" s="546">
        <f t="shared" ref="Z96" si="72">W96*V96</f>
        <v>32.32</v>
      </c>
      <c r="AA96" s="546">
        <f t="shared" ref="AA96" si="73">(W96+W96+X96+X96)</f>
        <v>29.16</v>
      </c>
      <c r="AB96" s="547">
        <f t="shared" ref="AB96" si="74">V96*AA96</f>
        <v>116.64</v>
      </c>
      <c r="AC96" s="548">
        <f t="shared" ref="AC96" si="75">V96*Y96</f>
        <v>210.08</v>
      </c>
      <c r="AD96" s="548">
        <f>1*V96</f>
        <v>4</v>
      </c>
    </row>
    <row r="97" spans="1:35" s="250" customFormat="1" ht="15.75" thickBot="1">
      <c r="A97" s="1551"/>
      <c r="B97" s="1247" t="s">
        <v>1611</v>
      </c>
      <c r="C97" s="556"/>
      <c r="D97" s="345">
        <f t="shared" si="22"/>
        <v>271.25</v>
      </c>
      <c r="E97" s="266" t="s">
        <v>511</v>
      </c>
      <c r="F97" s="431">
        <v>75</v>
      </c>
      <c r="G97" s="1402">
        <f t="shared" si="20"/>
        <v>20343.75</v>
      </c>
      <c r="H97" s="1486"/>
      <c r="I97" s="1552"/>
      <c r="J97" s="1486"/>
      <c r="K97" s="1552"/>
      <c r="L97" s="1486"/>
      <c r="M97" s="1552"/>
      <c r="N97" s="1486"/>
      <c r="O97" s="1552"/>
      <c r="P97" s="1486"/>
      <c r="Q97" s="1552"/>
      <c r="R97" s="1486"/>
      <c r="S97" s="1552"/>
      <c r="U97" s="250" t="s">
        <v>1611</v>
      </c>
      <c r="V97" s="557">
        <v>25</v>
      </c>
      <c r="W97" s="558">
        <v>2.17</v>
      </c>
      <c r="X97" s="558">
        <v>5</v>
      </c>
      <c r="Y97" s="558">
        <f t="shared" si="30"/>
        <v>10.85</v>
      </c>
      <c r="Z97" s="558">
        <f t="shared" si="31"/>
        <v>54.25</v>
      </c>
      <c r="AA97" s="558">
        <f t="shared" si="32"/>
        <v>14.34</v>
      </c>
      <c r="AB97" s="559">
        <f t="shared" si="33"/>
        <v>358.5</v>
      </c>
      <c r="AC97" s="560">
        <f t="shared" si="34"/>
        <v>271.25</v>
      </c>
      <c r="AD97" s="561"/>
      <c r="AG97"/>
      <c r="AH97"/>
      <c r="AI97"/>
    </row>
    <row r="98" spans="1:35">
      <c r="A98" s="1412"/>
      <c r="B98" s="1113" t="s">
        <v>1563</v>
      </c>
      <c r="C98" s="23"/>
      <c r="D98" s="345">
        <f>AD98-D99</f>
        <v>91</v>
      </c>
      <c r="E98" s="266" t="s">
        <v>468</v>
      </c>
      <c r="F98" s="431"/>
      <c r="G98" s="1402">
        <f t="shared" si="20"/>
        <v>0</v>
      </c>
      <c r="H98" s="1486"/>
      <c r="I98" s="1419"/>
      <c r="J98" s="1486"/>
      <c r="K98" s="1419"/>
      <c r="L98" s="1486"/>
      <c r="M98" s="1419"/>
      <c r="N98" s="1486"/>
      <c r="O98" s="1419"/>
      <c r="P98" s="1486"/>
      <c r="Q98" s="1419"/>
      <c r="R98" s="1486"/>
      <c r="S98" s="1419"/>
      <c r="AC98" s="393">
        <f>SUM(AC70:AC97)</f>
        <v>8795.383600000001</v>
      </c>
      <c r="AD98" s="393">
        <f>SUM(AD70:AD97)</f>
        <v>95</v>
      </c>
    </row>
    <row r="99" spans="1:35">
      <c r="A99" s="1412"/>
      <c r="B99" s="1113" t="s">
        <v>1612</v>
      </c>
      <c r="C99" s="23"/>
      <c r="D99" s="345">
        <v>4</v>
      </c>
      <c r="E99" s="266" t="s">
        <v>1475</v>
      </c>
      <c r="F99" s="431"/>
      <c r="G99" s="1402">
        <f t="shared" si="20"/>
        <v>0</v>
      </c>
      <c r="H99" s="1486"/>
      <c r="I99" s="1419"/>
      <c r="J99" s="1486"/>
      <c r="K99" s="1419"/>
      <c r="L99" s="1486"/>
      <c r="M99" s="1419"/>
      <c r="N99" s="1486"/>
      <c r="O99" s="1419"/>
      <c r="P99" s="1486"/>
      <c r="Q99" s="1419"/>
      <c r="R99" s="1486"/>
      <c r="S99" s="1419"/>
    </row>
    <row r="100" spans="1:35">
      <c r="A100" s="1412"/>
      <c r="B100" s="1113" t="s">
        <v>1613</v>
      </c>
      <c r="C100" s="23"/>
      <c r="D100" s="345">
        <v>1</v>
      </c>
      <c r="E100" s="266" t="s">
        <v>462</v>
      </c>
      <c r="F100" s="431">
        <v>100000</v>
      </c>
      <c r="G100" s="1402">
        <f t="shared" si="20"/>
        <v>100000</v>
      </c>
      <c r="H100" s="1486"/>
      <c r="I100" s="1450">
        <v>97000</v>
      </c>
      <c r="J100" s="1486"/>
      <c r="K100" s="1450">
        <v>155000</v>
      </c>
      <c r="L100" s="1486"/>
      <c r="M100" s="1430"/>
      <c r="N100" s="1486"/>
      <c r="O100" s="1430">
        <v>155000</v>
      </c>
      <c r="P100" s="1486"/>
      <c r="Q100" s="1419"/>
      <c r="R100" s="1486"/>
      <c r="S100" s="1419"/>
    </row>
    <row r="101" spans="1:35">
      <c r="A101" s="1412"/>
      <c r="B101" s="1113"/>
      <c r="C101" s="23"/>
      <c r="D101" s="450"/>
      <c r="E101" s="429"/>
      <c r="F101" s="431"/>
      <c r="G101" s="1402">
        <f t="shared" si="20"/>
        <v>0</v>
      </c>
      <c r="H101" s="1486"/>
      <c r="I101" s="1419"/>
      <c r="J101" s="1486"/>
      <c r="K101" s="1419"/>
      <c r="L101" s="1486"/>
      <c r="M101" s="1419"/>
      <c r="N101" s="1486"/>
      <c r="O101" s="1419"/>
      <c r="P101" s="1486"/>
      <c r="Q101" s="1419"/>
      <c r="R101" s="1486"/>
      <c r="S101" s="1419"/>
    </row>
    <row r="102" spans="1:35">
      <c r="A102" s="1412"/>
      <c r="B102" s="1494" t="s">
        <v>1378</v>
      </c>
      <c r="C102" s="415"/>
      <c r="D102" s="450"/>
      <c r="E102" s="429"/>
      <c r="F102" s="431"/>
      <c r="G102" s="1402">
        <f t="shared" si="20"/>
        <v>0</v>
      </c>
      <c r="H102" s="1486" t="s">
        <v>682</v>
      </c>
      <c r="I102" s="1419"/>
      <c r="J102" s="1486"/>
      <c r="K102" s="1419"/>
      <c r="L102" s="1486"/>
      <c r="M102" s="1419"/>
      <c r="N102" s="1486"/>
      <c r="O102" s="1419"/>
      <c r="P102" s="1486"/>
      <c r="Q102" s="1419"/>
      <c r="R102" s="1486"/>
      <c r="S102" s="1419"/>
    </row>
    <row r="103" spans="1:35">
      <c r="A103" s="1412"/>
      <c r="B103" s="1495" t="s">
        <v>1379</v>
      </c>
      <c r="C103" s="415"/>
      <c r="D103" s="1414">
        <v>12</v>
      </c>
      <c r="E103" s="1415" t="s">
        <v>468</v>
      </c>
      <c r="F103" s="431">
        <v>150</v>
      </c>
      <c r="G103" s="1402">
        <f t="shared" si="20"/>
        <v>1800</v>
      </c>
      <c r="H103" s="1486"/>
      <c r="I103" s="1419"/>
      <c r="J103" s="1486"/>
      <c r="K103" s="1419"/>
      <c r="L103" s="1486"/>
      <c r="M103" s="1430">
        <f>$G103</f>
        <v>1800</v>
      </c>
      <c r="N103" s="1486"/>
      <c r="O103" s="1430">
        <f>$G103</f>
        <v>1800</v>
      </c>
      <c r="P103" s="1486"/>
      <c r="Q103" s="1419"/>
      <c r="R103" s="1486"/>
      <c r="S103" s="1419"/>
    </row>
    <row r="104" spans="1:35">
      <c r="A104" s="1412"/>
      <c r="B104" s="1495" t="s">
        <v>1380</v>
      </c>
      <c r="C104" s="415"/>
      <c r="D104" s="1414">
        <f>2*2</f>
        <v>4</v>
      </c>
      <c r="E104" s="1415" t="s">
        <v>468</v>
      </c>
      <c r="F104" s="431">
        <v>150</v>
      </c>
      <c r="G104" s="1402">
        <f t="shared" si="20"/>
        <v>600</v>
      </c>
      <c r="H104" s="1486"/>
      <c r="I104" s="1419"/>
      <c r="J104" s="1486"/>
      <c r="K104" s="1419"/>
      <c r="L104" s="1486"/>
      <c r="M104" s="1430">
        <f t="shared" ref="M104:O105" si="76">$G104</f>
        <v>600</v>
      </c>
      <c r="N104" s="1486"/>
      <c r="O104" s="1430">
        <f t="shared" si="76"/>
        <v>600</v>
      </c>
      <c r="P104" s="1486"/>
      <c r="Q104" s="1419"/>
      <c r="R104" s="1486"/>
      <c r="S104" s="1419"/>
    </row>
    <row r="105" spans="1:35">
      <c r="A105" s="1412"/>
      <c r="B105" s="1495" t="s">
        <v>1381</v>
      </c>
      <c r="C105" s="415"/>
      <c r="D105" s="1414">
        <f>11*2</f>
        <v>22</v>
      </c>
      <c r="E105" s="1415" t="s">
        <v>468</v>
      </c>
      <c r="F105" s="431">
        <v>150</v>
      </c>
      <c r="G105" s="1402">
        <f t="shared" si="20"/>
        <v>3300</v>
      </c>
      <c r="H105" s="1486"/>
      <c r="I105" s="1419"/>
      <c r="J105" s="1486"/>
      <c r="K105" s="1419"/>
      <c r="L105" s="1486"/>
      <c r="M105" s="1430">
        <f t="shared" si="76"/>
        <v>3300</v>
      </c>
      <c r="N105" s="1486"/>
      <c r="O105" s="1430">
        <f t="shared" si="76"/>
        <v>3300</v>
      </c>
      <c r="P105" s="1486"/>
      <c r="Q105" s="1419"/>
      <c r="R105" s="1486"/>
      <c r="S105" s="1419"/>
    </row>
    <row r="106" spans="1:35">
      <c r="A106" s="1412"/>
      <c r="B106" s="1113"/>
      <c r="C106" s="23"/>
      <c r="D106" s="345"/>
      <c r="E106" s="266"/>
      <c r="F106" s="431"/>
      <c r="G106" s="1402">
        <f t="shared" si="20"/>
        <v>0</v>
      </c>
      <c r="H106" s="1486"/>
      <c r="I106" s="1419"/>
      <c r="J106" s="1486"/>
      <c r="K106" s="1419"/>
      <c r="L106" s="1486"/>
      <c r="M106" s="1419"/>
      <c r="N106" s="1486"/>
      <c r="O106" s="1419"/>
      <c r="P106" s="1486"/>
      <c r="Q106" s="1419"/>
      <c r="R106" s="1486"/>
      <c r="S106" s="1419"/>
    </row>
    <row r="107" spans="1:35">
      <c r="A107" s="1412"/>
      <c r="B107" s="1113" t="s">
        <v>1614</v>
      </c>
      <c r="C107" s="23"/>
      <c r="D107" s="345">
        <v>1</v>
      </c>
      <c r="E107" s="266" t="s">
        <v>462</v>
      </c>
      <c r="F107" s="431">
        <v>50000</v>
      </c>
      <c r="G107" s="1402">
        <f t="shared" si="20"/>
        <v>50000</v>
      </c>
      <c r="H107" s="1486" t="s">
        <v>682</v>
      </c>
      <c r="I107" s="1419"/>
      <c r="J107" s="1486"/>
      <c r="K107" s="1450">
        <v>52500</v>
      </c>
      <c r="L107" s="1486"/>
      <c r="M107" s="1419"/>
      <c r="N107" s="1486"/>
      <c r="O107" s="1430">
        <v>53000</v>
      </c>
      <c r="P107" s="1486"/>
      <c r="Q107" s="1419"/>
      <c r="R107" s="1486"/>
      <c r="S107" s="1419"/>
    </row>
    <row r="108" spans="1:35">
      <c r="A108" s="1412"/>
      <c r="B108" s="1113"/>
      <c r="C108" s="23"/>
      <c r="D108" s="345"/>
      <c r="E108" s="266"/>
      <c r="F108" s="431"/>
      <c r="G108" s="1402">
        <f t="shared" si="20"/>
        <v>0</v>
      </c>
      <c r="H108" s="1486"/>
      <c r="I108" s="1419"/>
      <c r="J108" s="1486"/>
      <c r="K108" s="1419"/>
      <c r="L108" s="1486"/>
      <c r="M108" s="1419"/>
      <c r="N108" s="1486"/>
      <c r="O108" s="1419"/>
      <c r="P108" s="1486"/>
      <c r="Q108" s="1419"/>
      <c r="R108" s="1486"/>
      <c r="S108" s="1419"/>
    </row>
    <row r="109" spans="1:35">
      <c r="A109" s="1412"/>
      <c r="B109" s="1113" t="s">
        <v>1615</v>
      </c>
      <c r="C109" s="23"/>
      <c r="D109" s="345"/>
      <c r="E109" s="266"/>
      <c r="F109" s="431"/>
      <c r="G109" s="1402">
        <f t="shared" si="20"/>
        <v>0</v>
      </c>
      <c r="H109" s="1486" t="s">
        <v>682</v>
      </c>
      <c r="I109" s="1419"/>
      <c r="J109" s="1486"/>
      <c r="K109" s="1419"/>
      <c r="L109" s="1486"/>
      <c r="M109" s="1430"/>
      <c r="N109" s="1486" t="s">
        <v>682</v>
      </c>
      <c r="O109" s="1419">
        <f>2350928.27-2282454.63</f>
        <v>68473.64000000013</v>
      </c>
      <c r="P109" s="1486"/>
      <c r="Q109" s="1419"/>
      <c r="R109" s="1486"/>
      <c r="S109" s="1419"/>
    </row>
    <row r="110" spans="1:35">
      <c r="A110" s="1412"/>
      <c r="B110" s="1113" t="s">
        <v>1616</v>
      </c>
      <c r="C110" s="23"/>
      <c r="D110" s="345"/>
      <c r="E110" s="266"/>
      <c r="F110" s="431"/>
      <c r="G110" s="1402">
        <f t="shared" si="20"/>
        <v>0</v>
      </c>
      <c r="H110" s="1486" t="s">
        <v>682</v>
      </c>
      <c r="I110" s="1419"/>
      <c r="J110" s="1486"/>
      <c r="K110" s="1419"/>
      <c r="L110" s="1486" t="s">
        <v>682</v>
      </c>
      <c r="M110" s="1419"/>
      <c r="N110" s="1486" t="s">
        <v>682</v>
      </c>
      <c r="O110" s="1419">
        <v>1161.29</v>
      </c>
      <c r="P110" s="1486"/>
      <c r="Q110" s="1419"/>
      <c r="R110" s="1486"/>
      <c r="S110" s="1419"/>
    </row>
    <row r="111" spans="1:35">
      <c r="A111" s="1412"/>
      <c r="B111" s="1113" t="s">
        <v>1617</v>
      </c>
      <c r="C111" s="23"/>
      <c r="D111" s="345"/>
      <c r="E111" s="266"/>
      <c r="F111" s="431"/>
      <c r="G111" s="1402">
        <f t="shared" si="20"/>
        <v>0</v>
      </c>
      <c r="H111" s="1486" t="s">
        <v>682</v>
      </c>
      <c r="I111" s="1419"/>
      <c r="J111" s="1486"/>
      <c r="K111" s="1419"/>
      <c r="L111" s="1486" t="s">
        <v>682</v>
      </c>
      <c r="M111" s="1419"/>
      <c r="N111" s="1486" t="s">
        <v>682</v>
      </c>
      <c r="O111" s="1419">
        <f>45200.44+4515</f>
        <v>49715.44</v>
      </c>
      <c r="P111" s="1486"/>
      <c r="Q111" s="1419"/>
      <c r="R111" s="1486"/>
      <c r="S111" s="1419"/>
    </row>
    <row r="112" spans="1:35">
      <c r="A112" s="1412"/>
      <c r="B112" s="1113" t="s">
        <v>1618</v>
      </c>
      <c r="C112" s="23"/>
      <c r="D112" s="345"/>
      <c r="E112" s="266"/>
      <c r="F112" s="431"/>
      <c r="G112" s="1402">
        <f t="shared" si="20"/>
        <v>0</v>
      </c>
      <c r="H112" s="1486"/>
      <c r="I112" s="1488"/>
      <c r="J112" s="1553"/>
      <c r="K112" s="1488"/>
      <c r="L112" s="1486" t="s">
        <v>682</v>
      </c>
      <c r="M112" s="1488"/>
      <c r="N112" s="1553"/>
      <c r="O112" s="1488"/>
      <c r="P112" s="1486"/>
      <c r="Q112" s="1419"/>
      <c r="R112" s="1486"/>
      <c r="S112" s="1419"/>
    </row>
    <row r="113" spans="1:19">
      <c r="A113" s="1412"/>
      <c r="B113" s="1113" t="s">
        <v>1619</v>
      </c>
      <c r="C113" s="23"/>
      <c r="D113" s="345"/>
      <c r="E113" s="266"/>
      <c r="F113" s="431"/>
      <c r="G113" s="1402">
        <f t="shared" si="20"/>
        <v>0</v>
      </c>
      <c r="H113" s="1486"/>
      <c r="I113" s="1419"/>
      <c r="J113" s="1486"/>
      <c r="K113" s="1419"/>
      <c r="L113" s="1486"/>
      <c r="M113" s="1419"/>
      <c r="N113" s="1486"/>
      <c r="O113" s="1419"/>
      <c r="P113" s="1486"/>
      <c r="Q113" s="1419"/>
      <c r="R113" s="1486"/>
      <c r="S113" s="1419"/>
    </row>
    <row r="114" spans="1:19">
      <c r="A114" s="1412"/>
      <c r="B114" s="1113"/>
      <c r="C114" s="23"/>
      <c r="D114" s="345"/>
      <c r="E114" s="266"/>
      <c r="F114" s="431"/>
      <c r="G114" s="1402">
        <f t="shared" si="20"/>
        <v>0</v>
      </c>
      <c r="H114" s="1486"/>
      <c r="I114" s="1419"/>
      <c r="J114" s="1486"/>
      <c r="K114" s="1419"/>
      <c r="L114" s="1486"/>
      <c r="M114" s="1419"/>
      <c r="N114" s="1486"/>
      <c r="O114" s="1419"/>
      <c r="P114" s="1486"/>
      <c r="Q114" s="1419"/>
      <c r="R114" s="1486"/>
      <c r="S114" s="1419"/>
    </row>
    <row r="115" spans="1:19">
      <c r="A115" s="1412"/>
      <c r="B115" s="1113"/>
      <c r="C115" s="23"/>
      <c r="D115" s="345"/>
      <c r="E115" s="266"/>
      <c r="F115" s="431"/>
      <c r="G115" s="1402">
        <f t="shared" si="20"/>
        <v>0</v>
      </c>
      <c r="H115" s="1486"/>
      <c r="I115" s="1419"/>
      <c r="J115" s="1486"/>
      <c r="K115" s="1419"/>
      <c r="L115" s="1486"/>
      <c r="M115" s="1419"/>
      <c r="N115" s="1486"/>
      <c r="O115" s="1419"/>
      <c r="P115" s="1486"/>
      <c r="Q115" s="1419"/>
      <c r="R115" s="1486"/>
      <c r="S115" s="1419"/>
    </row>
    <row r="116" spans="1:19">
      <c r="A116" s="1412"/>
      <c r="B116" s="1113"/>
      <c r="C116" s="23"/>
      <c r="D116" s="345"/>
      <c r="E116" s="266"/>
      <c r="F116" s="431"/>
      <c r="G116" s="1402">
        <f t="shared" si="20"/>
        <v>0</v>
      </c>
      <c r="H116" s="1486"/>
      <c r="I116" s="1419"/>
      <c r="J116" s="1486"/>
      <c r="K116" s="1419"/>
      <c r="L116" s="1486"/>
      <c r="M116" s="1419"/>
      <c r="N116" s="1486"/>
      <c r="O116" s="1419"/>
      <c r="P116" s="1486"/>
      <c r="Q116" s="1419"/>
      <c r="R116" s="1486"/>
      <c r="S116" s="1419"/>
    </row>
    <row r="117" spans="1:19">
      <c r="A117" s="1412"/>
      <c r="B117" s="1113"/>
      <c r="C117" s="23"/>
      <c r="D117" s="345"/>
      <c r="E117" s="266"/>
      <c r="F117" s="431"/>
      <c r="G117" s="1402">
        <f t="shared" si="20"/>
        <v>0</v>
      </c>
      <c r="H117" s="1486"/>
      <c r="I117" s="1419"/>
      <c r="J117" s="1486"/>
      <c r="K117" s="1419"/>
      <c r="L117" s="1486"/>
      <c r="M117" s="1419"/>
      <c r="N117" s="1486"/>
      <c r="O117" s="1419"/>
      <c r="P117" s="1486"/>
      <c r="Q117" s="1419"/>
      <c r="R117" s="1486"/>
      <c r="S117" s="1419"/>
    </row>
    <row r="118" spans="1:19">
      <c r="A118" s="1412"/>
      <c r="B118" s="1113"/>
      <c r="C118" s="23"/>
      <c r="D118" s="345"/>
      <c r="E118" s="266"/>
      <c r="F118" s="431"/>
      <c r="G118" s="1402">
        <f t="shared" si="20"/>
        <v>0</v>
      </c>
      <c r="H118" s="1486"/>
      <c r="I118" s="1419"/>
      <c r="J118" s="1486"/>
      <c r="K118" s="1419"/>
      <c r="L118" s="1486"/>
      <c r="M118" s="1419"/>
      <c r="N118" s="1486"/>
      <c r="O118" s="1419"/>
      <c r="P118" s="1486"/>
      <c r="Q118" s="1419"/>
      <c r="R118" s="1486"/>
      <c r="S118" s="1419"/>
    </row>
    <row r="119" spans="1:19">
      <c r="A119" s="1412"/>
      <c r="B119" s="1113"/>
      <c r="C119" s="23"/>
      <c r="D119" s="345"/>
      <c r="E119" s="266"/>
      <c r="F119" s="431"/>
      <c r="G119" s="1402">
        <f t="shared" si="20"/>
        <v>0</v>
      </c>
      <c r="H119" s="1486"/>
      <c r="I119" s="1419"/>
      <c r="J119" s="1486"/>
      <c r="K119" s="1419"/>
      <c r="L119" s="1486"/>
      <c r="M119" s="1419"/>
      <c r="N119" s="1486"/>
      <c r="O119" s="1419"/>
      <c r="P119" s="1486"/>
      <c r="Q119" s="1419"/>
      <c r="R119" s="1486"/>
      <c r="S119" s="1419"/>
    </row>
    <row r="120" spans="1:19" ht="15.75" thickBot="1">
      <c r="A120" s="1412"/>
      <c r="B120" s="1113"/>
      <c r="C120" s="23"/>
      <c r="D120" s="345"/>
      <c r="E120" s="266"/>
      <c r="F120" s="431"/>
      <c r="G120" s="830"/>
      <c r="H120" s="1486"/>
      <c r="I120" s="1419"/>
      <c r="J120" s="1486"/>
      <c r="K120" s="1419"/>
      <c r="L120" s="1486"/>
      <c r="M120" s="1419"/>
      <c r="N120" s="1486"/>
      <c r="O120" s="1419"/>
      <c r="P120" s="1486"/>
      <c r="Q120" s="1419"/>
      <c r="R120" s="1486"/>
      <c r="S120" s="1419"/>
    </row>
    <row r="121" spans="1:19" ht="15.75" thickTop="1">
      <c r="A121" s="296"/>
      <c r="B121" s="301"/>
      <c r="C121" s="297"/>
      <c r="D121" s="346"/>
      <c r="E121" s="349"/>
      <c r="F121" s="282" t="s">
        <v>753</v>
      </c>
      <c r="G121" s="272">
        <f>SUM(G12:G120)</f>
        <v>4164517.4980000001</v>
      </c>
      <c r="H121" s="273"/>
      <c r="I121" s="273">
        <f>SUM(I20:I120)</f>
        <v>5009000</v>
      </c>
      <c r="J121" s="273"/>
      <c r="K121" s="273">
        <f>SUM(K20:K120)</f>
        <v>5198500</v>
      </c>
      <c r="L121" s="273"/>
      <c r="M121" s="273">
        <f>SUM(M20:M120)</f>
        <v>4454215</v>
      </c>
      <c r="N121" s="273"/>
      <c r="O121" s="273">
        <f>SUM(O20:O120)</f>
        <v>2774629.27</v>
      </c>
      <c r="P121" s="273"/>
      <c r="Q121" s="273">
        <f>SUM(Q20:Q120)</f>
        <v>2350928.6612357353</v>
      </c>
      <c r="R121" s="273"/>
      <c r="S121" s="273">
        <f>SUM(S20:S120)</f>
        <v>0</v>
      </c>
    </row>
    <row r="122" spans="1:19">
      <c r="A122" s="1114"/>
      <c r="B122" s="1164"/>
      <c r="C122" s="432"/>
      <c r="D122" s="452"/>
      <c r="E122" s="453"/>
      <c r="F122" s="435" t="s">
        <v>754</v>
      </c>
      <c r="G122" s="436"/>
      <c r="H122" s="1165">
        <v>0</v>
      </c>
      <c r="I122" s="1166"/>
      <c r="J122" s="1165">
        <v>0</v>
      </c>
      <c r="K122" s="1166"/>
      <c r="L122" s="1165">
        <v>0</v>
      </c>
      <c r="M122" s="1166"/>
      <c r="N122" s="1165">
        <v>0</v>
      </c>
      <c r="O122" s="1166"/>
      <c r="P122" s="1165">
        <v>0</v>
      </c>
      <c r="Q122" s="1166"/>
      <c r="R122" s="1165">
        <v>0</v>
      </c>
      <c r="S122" s="1166"/>
    </row>
    <row r="123" spans="1:19">
      <c r="A123" s="1114"/>
      <c r="B123" s="1164"/>
      <c r="C123" s="432"/>
      <c r="D123" s="452"/>
      <c r="E123" s="453"/>
      <c r="F123" s="435" t="s">
        <v>755</v>
      </c>
      <c r="G123" s="436"/>
      <c r="H123" s="1166"/>
      <c r="I123" s="1166">
        <f>H122*I121</f>
        <v>0</v>
      </c>
      <c r="J123" s="1166"/>
      <c r="K123" s="1166">
        <f>J122*K121</f>
        <v>0</v>
      </c>
      <c r="L123" s="1166"/>
      <c r="M123" s="1166">
        <f>L122*M121</f>
        <v>0</v>
      </c>
      <c r="N123" s="1166"/>
      <c r="O123" s="1166">
        <f>N122*O121</f>
        <v>0</v>
      </c>
      <c r="P123" s="1166"/>
      <c r="Q123" s="1166">
        <f>P122*Q121</f>
        <v>0</v>
      </c>
      <c r="R123" s="1166"/>
      <c r="S123" s="1166">
        <f>R122*S121</f>
        <v>0</v>
      </c>
    </row>
    <row r="124" spans="1:19">
      <c r="A124" s="1114"/>
      <c r="B124" s="1164"/>
      <c r="C124" s="432"/>
      <c r="D124" s="452"/>
      <c r="E124" s="453"/>
      <c r="F124" s="435"/>
      <c r="G124" s="436"/>
      <c r="H124" s="1166"/>
      <c r="I124" s="1166"/>
      <c r="J124" s="1166"/>
      <c r="K124" s="1166"/>
      <c r="L124" s="1166"/>
      <c r="M124" s="1166"/>
      <c r="N124" s="1166"/>
      <c r="O124" s="1166"/>
      <c r="P124" s="1166"/>
      <c r="Q124" s="1166"/>
      <c r="R124" s="1166"/>
      <c r="S124" s="1166"/>
    </row>
    <row r="125" spans="1:19">
      <c r="A125" s="1114"/>
      <c r="B125" s="1164"/>
      <c r="C125" s="432"/>
      <c r="D125" s="452"/>
      <c r="E125" s="453"/>
      <c r="F125" s="435" t="s">
        <v>756</v>
      </c>
      <c r="G125" s="436"/>
      <c r="H125" s="1166"/>
      <c r="I125" s="1166">
        <f>SUM(I121:I123)</f>
        <v>5009000</v>
      </c>
      <c r="J125" s="1166"/>
      <c r="K125" s="1166">
        <f>SUM(K121:K123)</f>
        <v>5198500</v>
      </c>
      <c r="L125" s="1166"/>
      <c r="M125" s="1166">
        <f>SUM(M121:M123)</f>
        <v>4454215</v>
      </c>
      <c r="N125" s="1166"/>
      <c r="O125" s="1166">
        <f>SUM(O121:O123)</f>
        <v>2774629.27</v>
      </c>
      <c r="P125" s="1166"/>
      <c r="Q125" s="1166">
        <f>SUM(Q121:Q123)</f>
        <v>2350928.6612357353</v>
      </c>
      <c r="R125" s="1166"/>
      <c r="S125" s="1166">
        <f>SUM(S121:S123)</f>
        <v>0</v>
      </c>
    </row>
    <row r="126" spans="1:19">
      <c r="A126" s="1114"/>
      <c r="B126" s="1164"/>
      <c r="C126" s="432"/>
      <c r="D126" s="452"/>
      <c r="E126" s="453"/>
      <c r="F126" s="437" t="s">
        <v>757</v>
      </c>
      <c r="G126" s="438"/>
      <c r="H126" s="1167"/>
      <c r="I126" s="1167">
        <f>I125/'Area Calculations'!$G$4</f>
        <v>8.6561608397288232</v>
      </c>
      <c r="J126" s="1167"/>
      <c r="K126" s="1167">
        <f>K125/'Area Calculations'!$G$4</f>
        <v>8.9836398732941287</v>
      </c>
      <c r="L126" s="1167"/>
      <c r="M126" s="1167">
        <f>M125/'Area Calculations'!$G$4</f>
        <v>7.6974249260796004</v>
      </c>
      <c r="N126" s="1167"/>
      <c r="O126" s="1167">
        <f>O125/'Area Calculations'!$G$4</f>
        <v>4.7948966324095368</v>
      </c>
      <c r="P126" s="1167"/>
      <c r="Q126" s="1167">
        <f>Q125/'Area Calculations'!$G$4</f>
        <v>4.0626904800129529</v>
      </c>
      <c r="R126" s="1167"/>
      <c r="S126" s="1167">
        <f>S125/'Area Calculations'!$G$4</f>
        <v>0</v>
      </c>
    </row>
    <row r="127" spans="1:19">
      <c r="A127" s="1114"/>
      <c r="B127" s="1164"/>
      <c r="C127" s="432"/>
      <c r="D127" s="452"/>
      <c r="E127" s="453"/>
      <c r="F127" s="437" t="s">
        <v>758</v>
      </c>
      <c r="G127" s="438"/>
      <c r="H127" s="1167"/>
      <c r="I127" s="1167">
        <f>I125/'Area Calculations'!$G$9</f>
        <v>46813.084112149532</v>
      </c>
      <c r="J127" s="1167"/>
      <c r="K127" s="1167">
        <f>K125/'Area Calculations'!$G$9</f>
        <v>48584.11214953271</v>
      </c>
      <c r="L127" s="1167"/>
      <c r="M127" s="1167">
        <f>M125/'Area Calculations'!$G$9</f>
        <v>41628.17757009346</v>
      </c>
      <c r="N127" s="1167"/>
      <c r="O127" s="1167">
        <f>O125/'Area Calculations'!$G$9</f>
        <v>25931.114672897198</v>
      </c>
      <c r="P127" s="1167"/>
      <c r="Q127" s="1167">
        <f>Q125/'Area Calculations'!$G$9</f>
        <v>21971.295899399396</v>
      </c>
      <c r="R127" s="1167"/>
      <c r="S127" s="1167">
        <f>S125/'Area Calculations'!$G$9</f>
        <v>0</v>
      </c>
    </row>
    <row r="128" spans="1:19" ht="15.75" thickBot="1">
      <c r="A128" s="1114"/>
      <c r="B128" s="1164"/>
      <c r="C128" s="432"/>
      <c r="D128" s="452"/>
      <c r="E128" s="453"/>
      <c r="F128" s="439"/>
      <c r="G128" s="436"/>
      <c r="H128" s="1168"/>
      <c r="I128" s="1168"/>
      <c r="J128" s="1168"/>
      <c r="K128" s="1168"/>
      <c r="L128" s="1168"/>
      <c r="M128" s="1168"/>
      <c r="N128" s="1168"/>
      <c r="O128" s="1168"/>
      <c r="P128" s="1168"/>
      <c r="Q128" s="1168"/>
      <c r="R128" s="1168"/>
      <c r="S128" s="1168"/>
    </row>
    <row r="129" spans="1:32" ht="16.5" thickTop="1" thickBot="1">
      <c r="A129" s="2331" t="s">
        <v>759</v>
      </c>
      <c r="B129" s="2332"/>
      <c r="C129" s="298"/>
      <c r="D129" s="347"/>
      <c r="E129" s="350"/>
      <c r="F129" s="12"/>
      <c r="G129" s="26"/>
      <c r="H129" s="20"/>
      <c r="I129" s="20"/>
      <c r="J129" s="20"/>
      <c r="K129" s="20"/>
      <c r="L129" s="24"/>
      <c r="M129" s="20"/>
      <c r="N129" s="20"/>
      <c r="O129" s="20"/>
      <c r="P129" s="20"/>
      <c r="Q129" s="20"/>
      <c r="R129" s="20"/>
      <c r="S129" s="20"/>
    </row>
    <row r="130" spans="1:32" ht="15.75" thickTop="1">
      <c r="A130" s="1403"/>
      <c r="B130" s="1105"/>
      <c r="C130" s="1548"/>
      <c r="D130" s="1414"/>
      <c r="E130" s="1415"/>
      <c r="F130" s="1435"/>
      <c r="G130" s="1404"/>
      <c r="H130" s="1223"/>
      <c r="I130" s="1223"/>
      <c r="J130" s="1223"/>
      <c r="K130" s="1223"/>
      <c r="L130" s="1405"/>
      <c r="M130" s="1223"/>
      <c r="N130" s="1223"/>
      <c r="O130" s="1223"/>
      <c r="P130" s="1223"/>
      <c r="Q130" s="1223"/>
      <c r="R130" s="1223"/>
      <c r="S130" s="1223"/>
    </row>
    <row r="131" spans="1:32">
      <c r="A131" s="1403"/>
      <c r="B131" s="1105"/>
      <c r="C131" s="1548"/>
      <c r="D131" s="1414"/>
      <c r="E131" s="1415"/>
      <c r="F131" s="1435"/>
      <c r="G131" s="1404"/>
      <c r="H131" s="1223"/>
      <c r="I131" s="1223"/>
      <c r="J131" s="1223"/>
      <c r="K131" s="1223"/>
      <c r="L131" s="1405"/>
      <c r="M131" s="1223"/>
      <c r="N131" s="1223"/>
      <c r="O131" s="1223"/>
      <c r="P131" s="1223"/>
      <c r="Q131" s="1223"/>
      <c r="R131" s="1223"/>
      <c r="S131" s="1223"/>
    </row>
    <row r="132" spans="1:32" ht="15.75" thickBot="1">
      <c r="A132" s="1403"/>
      <c r="B132" s="1105"/>
      <c r="C132" s="1548"/>
      <c r="D132" s="1414"/>
      <c r="E132" s="1415"/>
      <c r="F132" s="1435"/>
      <c r="G132" s="1404"/>
      <c r="H132" s="1223"/>
      <c r="I132" s="1223"/>
      <c r="J132" s="1223"/>
      <c r="K132" s="1223"/>
      <c r="L132" s="1405"/>
      <c r="M132" s="1223"/>
      <c r="N132" s="1223"/>
      <c r="O132" s="1223"/>
      <c r="P132" s="1223"/>
      <c r="Q132" s="1223"/>
      <c r="R132" s="1223"/>
      <c r="S132" s="1223"/>
    </row>
    <row r="133" spans="1:32" s="2" customFormat="1" ht="16.5" thickTop="1" thickBot="1">
      <c r="A133" s="2331" t="s">
        <v>760</v>
      </c>
      <c r="B133" s="2332"/>
      <c r="C133" s="298"/>
      <c r="D133" s="347"/>
      <c r="E133" s="350"/>
      <c r="F133" s="12"/>
      <c r="G133" s="26"/>
      <c r="H133" s="20"/>
      <c r="I133" s="20"/>
      <c r="J133" s="20"/>
      <c r="K133" s="20"/>
      <c r="L133" s="24"/>
      <c r="M133" s="20"/>
      <c r="N133" s="20"/>
      <c r="O133" s="20"/>
      <c r="P133" s="20"/>
      <c r="Q133" s="20"/>
      <c r="R133" s="20"/>
      <c r="S133" s="20"/>
      <c r="T133"/>
      <c r="U133"/>
      <c r="V133"/>
      <c r="W133"/>
      <c r="X133"/>
      <c r="Y133"/>
      <c r="Z133"/>
      <c r="AA133"/>
      <c r="AB133"/>
      <c r="AC133"/>
      <c r="AD133"/>
      <c r="AE133"/>
      <c r="AF133"/>
    </row>
    <row r="134" spans="1:32" s="2" customFormat="1" ht="45.75" thickTop="1">
      <c r="A134" s="1403"/>
      <c r="B134" s="1105" t="s">
        <v>1620</v>
      </c>
      <c r="C134" s="1548"/>
      <c r="D134" s="1414"/>
      <c r="E134" s="1415"/>
      <c r="F134" s="1435"/>
      <c r="G134" s="1404"/>
      <c r="H134" s="1223"/>
      <c r="I134" s="1223"/>
      <c r="J134" s="1223"/>
      <c r="K134" s="1223"/>
      <c r="L134" s="1405"/>
      <c r="M134" s="1223"/>
      <c r="N134" s="1223"/>
      <c r="O134" s="1223"/>
      <c r="P134" s="1223"/>
      <c r="Q134" s="1223"/>
      <c r="R134" s="1223"/>
      <c r="S134" s="1223"/>
      <c r="T134"/>
      <c r="U134"/>
      <c r="V134"/>
      <c r="W134"/>
      <c r="X134"/>
      <c r="Y134"/>
      <c r="Z134"/>
      <c r="AA134"/>
      <c r="AB134"/>
      <c r="AC134"/>
      <c r="AD134"/>
      <c r="AE134"/>
      <c r="AF134"/>
    </row>
    <row r="135" spans="1:32" s="2" customFormat="1">
      <c r="A135" s="1403"/>
      <c r="B135" s="1105"/>
      <c r="C135" s="1548"/>
      <c r="D135" s="1414"/>
      <c r="E135" s="1415"/>
      <c r="F135" s="1435"/>
      <c r="G135" s="1404"/>
      <c r="H135" s="1223"/>
      <c r="I135" s="1223"/>
      <c r="J135" s="1223"/>
      <c r="K135" s="1223"/>
      <c r="L135" s="1405"/>
      <c r="M135" s="1223"/>
      <c r="N135" s="1223"/>
      <c r="O135" s="1223"/>
      <c r="P135" s="1223"/>
      <c r="Q135" s="1223"/>
      <c r="R135" s="1223"/>
      <c r="S135" s="1223"/>
      <c r="T135"/>
      <c r="U135"/>
      <c r="V135"/>
      <c r="W135"/>
      <c r="X135"/>
      <c r="Y135"/>
      <c r="Z135"/>
      <c r="AA135"/>
      <c r="AB135"/>
      <c r="AC135"/>
      <c r="AD135"/>
      <c r="AE135"/>
      <c r="AF135"/>
    </row>
    <row r="136" spans="1:32" ht="15.75" thickBot="1">
      <c r="A136" s="1403"/>
      <c r="B136" s="1105"/>
      <c r="C136" s="1548"/>
      <c r="D136" s="1414"/>
      <c r="E136" s="1415"/>
      <c r="F136" s="1435"/>
      <c r="G136" s="1404"/>
      <c r="H136" s="1223"/>
      <c r="I136" s="1223"/>
      <c r="J136" s="1223"/>
      <c r="K136" s="1223"/>
      <c r="L136" s="1405"/>
      <c r="M136" s="1223"/>
      <c r="N136" s="1223"/>
      <c r="O136" s="1223"/>
      <c r="P136" s="1223"/>
      <c r="Q136" s="1223"/>
      <c r="R136" s="1223"/>
      <c r="S136" s="1223"/>
    </row>
    <row r="137" spans="1:32" s="2" customFormat="1" ht="16.5" thickTop="1" thickBot="1">
      <c r="A137" s="2331" t="s">
        <v>761</v>
      </c>
      <c r="B137" s="2332"/>
      <c r="C137" s="298"/>
      <c r="D137" s="347"/>
      <c r="E137" s="350"/>
      <c r="F137" s="12"/>
      <c r="G137" s="26"/>
      <c r="H137" s="20"/>
      <c r="I137" s="20"/>
      <c r="J137" s="20"/>
      <c r="K137" s="20"/>
      <c r="L137" s="24"/>
      <c r="M137" s="20"/>
      <c r="N137" s="20"/>
      <c r="O137" s="20"/>
      <c r="P137" s="20"/>
      <c r="Q137" s="20"/>
      <c r="R137" s="20"/>
      <c r="S137" s="20"/>
      <c r="T137"/>
      <c r="U137"/>
      <c r="V137"/>
      <c r="W137"/>
      <c r="X137"/>
      <c r="Y137"/>
      <c r="Z137"/>
      <c r="AA137"/>
      <c r="AB137"/>
      <c r="AC137"/>
      <c r="AD137"/>
      <c r="AE137"/>
      <c r="AF137"/>
    </row>
    <row r="138" spans="1:32" s="2" customFormat="1" ht="15.75" thickTop="1">
      <c r="A138" s="1403"/>
      <c r="B138" s="1105"/>
      <c r="C138" s="1548"/>
      <c r="D138" s="1414"/>
      <c r="E138" s="1415"/>
      <c r="F138" s="1435"/>
      <c r="G138" s="1404"/>
      <c r="H138" s="1223"/>
      <c r="I138" s="1223"/>
      <c r="J138" s="1223"/>
      <c r="K138" s="1223"/>
      <c r="L138" s="1405"/>
      <c r="M138" s="1223"/>
      <c r="N138" s="1223"/>
      <c r="O138" s="1223"/>
      <c r="P138" s="1223"/>
      <c r="Q138" s="1223"/>
      <c r="R138" s="1223"/>
      <c r="S138" s="1223"/>
      <c r="T138"/>
      <c r="U138"/>
      <c r="V138"/>
      <c r="W138"/>
      <c r="X138"/>
      <c r="Y138"/>
      <c r="Z138"/>
      <c r="AA138"/>
      <c r="AB138"/>
      <c r="AC138"/>
      <c r="AD138"/>
      <c r="AE138"/>
      <c r="AF138"/>
    </row>
    <row r="139" spans="1:32" s="2" customFormat="1">
      <c r="A139" s="1124"/>
      <c r="B139" s="1105"/>
      <c r="C139" s="415"/>
      <c r="D139" s="416"/>
      <c r="E139" s="417"/>
      <c r="F139" s="422"/>
      <c r="G139" s="831"/>
      <c r="H139" s="1173"/>
      <c r="I139" s="1173"/>
      <c r="J139" s="1173"/>
      <c r="K139" s="1173"/>
      <c r="L139" s="440"/>
      <c r="M139" s="1173"/>
      <c r="N139" s="1173"/>
      <c r="O139" s="1173"/>
      <c r="P139" s="1173"/>
      <c r="Q139" s="1173"/>
      <c r="R139" s="1173"/>
      <c r="S139" s="1173"/>
      <c r="T139"/>
      <c r="U139"/>
      <c r="V139"/>
      <c r="W139"/>
      <c r="X139"/>
      <c r="Y139"/>
      <c r="Z139"/>
      <c r="AA139"/>
      <c r="AB139"/>
      <c r="AC139"/>
      <c r="AD139"/>
      <c r="AE139"/>
      <c r="AF139"/>
    </row>
    <row r="140" spans="1:32" s="2" customFormat="1" ht="15.75" thickBot="1">
      <c r="A140" s="1126"/>
      <c r="B140" s="1174"/>
      <c r="C140" s="415"/>
      <c r="D140" s="416"/>
      <c r="E140" s="417"/>
      <c r="F140" s="422"/>
      <c r="G140" s="831"/>
      <c r="H140" s="1175"/>
      <c r="I140" s="1175"/>
      <c r="J140" s="1175"/>
      <c r="K140" s="1175"/>
      <c r="L140" s="441"/>
      <c r="M140" s="1175"/>
      <c r="N140" s="1175"/>
      <c r="O140" s="1175"/>
      <c r="P140" s="1175"/>
      <c r="Q140" s="1175"/>
      <c r="R140" s="1175"/>
      <c r="S140" s="1175"/>
    </row>
    <row r="141" spans="1:32" s="2" customFormat="1" ht="16.5" thickTop="1" thickBot="1">
      <c r="A141" s="2331" t="s">
        <v>762</v>
      </c>
      <c r="B141" s="2332"/>
      <c r="C141" s="298"/>
      <c r="D141" s="347"/>
      <c r="E141" s="350"/>
      <c r="F141" s="12"/>
      <c r="G141" s="26"/>
      <c r="H141" s="20"/>
      <c r="I141" s="20"/>
      <c r="J141" s="20"/>
      <c r="K141" s="20"/>
      <c r="L141" s="24"/>
      <c r="M141" s="20"/>
      <c r="N141" s="20"/>
      <c r="O141" s="20"/>
      <c r="P141" s="20"/>
      <c r="Q141" s="20"/>
      <c r="R141" s="20"/>
      <c r="S141" s="20"/>
      <c r="T141"/>
      <c r="U141"/>
      <c r="V141"/>
      <c r="W141"/>
      <c r="X141"/>
      <c r="Y141"/>
      <c r="Z141"/>
      <c r="AA141"/>
      <c r="AB141"/>
      <c r="AC141"/>
      <c r="AD141"/>
      <c r="AE141"/>
      <c r="AF141"/>
    </row>
    <row r="142" spans="1:32" ht="15.75" thickTop="1">
      <c r="A142" s="1407"/>
      <c r="B142" s="1225"/>
      <c r="C142" s="1548"/>
      <c r="D142" s="1414"/>
      <c r="E142" s="1415"/>
      <c r="F142" s="1435"/>
      <c r="G142" s="1404"/>
      <c r="H142" s="1223"/>
      <c r="I142" s="1223"/>
      <c r="J142" s="1223"/>
      <c r="K142" s="1223"/>
      <c r="L142" s="1405"/>
      <c r="M142" s="1223"/>
      <c r="N142" s="1223"/>
      <c r="O142" s="1223"/>
      <c r="P142" s="1223"/>
      <c r="Q142" s="1223"/>
      <c r="R142" s="1223"/>
      <c r="S142" s="1223"/>
      <c r="T142" s="2"/>
      <c r="U142" s="2"/>
      <c r="V142" s="2"/>
      <c r="W142" s="2"/>
      <c r="X142" s="2"/>
      <c r="Y142" s="2"/>
      <c r="Z142" s="2"/>
      <c r="AA142" s="2"/>
      <c r="AB142" s="2"/>
      <c r="AC142" s="2"/>
      <c r="AD142" s="2"/>
      <c r="AE142" s="2"/>
      <c r="AF142" s="2"/>
    </row>
    <row r="143" spans="1:32">
      <c r="A143" s="1126"/>
      <c r="B143" s="1174"/>
      <c r="C143" s="415"/>
      <c r="D143" s="416"/>
      <c r="E143" s="417"/>
      <c r="F143" s="422"/>
      <c r="G143" s="831"/>
      <c r="H143" s="1178"/>
      <c r="I143" s="1178"/>
      <c r="J143" s="1178"/>
      <c r="K143" s="1178"/>
      <c r="L143" s="442"/>
      <c r="M143" s="1178"/>
      <c r="N143" s="1178"/>
      <c r="O143" s="1178"/>
      <c r="P143" s="1178"/>
      <c r="Q143" s="1178"/>
      <c r="R143" s="1178"/>
      <c r="S143" s="1178"/>
      <c r="T143" s="2"/>
      <c r="U143" s="2"/>
      <c r="V143" s="2"/>
      <c r="W143" s="2"/>
      <c r="X143" s="2"/>
      <c r="Y143" s="2"/>
      <c r="Z143" s="2"/>
      <c r="AA143" s="2"/>
      <c r="AB143" s="2"/>
      <c r="AC143" s="2"/>
      <c r="AD143" s="2"/>
      <c r="AE143" s="2"/>
      <c r="AF143" s="2"/>
    </row>
    <row r="144" spans="1:32" ht="15.75" thickBot="1">
      <c r="A144" s="1126"/>
      <c r="B144" s="1174"/>
      <c r="C144" s="415"/>
      <c r="D144" s="416"/>
      <c r="E144" s="417"/>
      <c r="F144" s="422"/>
      <c r="G144" s="831"/>
      <c r="H144" s="1178"/>
      <c r="I144" s="1178"/>
      <c r="J144" s="1178"/>
      <c r="K144" s="1178"/>
      <c r="L144" s="442"/>
      <c r="M144" s="1178"/>
      <c r="N144" s="1178"/>
      <c r="O144" s="1178"/>
      <c r="P144" s="1178"/>
      <c r="Q144" s="1178"/>
      <c r="R144" s="1178"/>
      <c r="S144" s="1178"/>
      <c r="T144" s="2"/>
      <c r="U144" s="2"/>
      <c r="V144" s="2"/>
      <c r="W144" s="2"/>
      <c r="X144" s="2"/>
      <c r="Y144" s="2"/>
      <c r="Z144" s="2"/>
      <c r="AA144" s="2"/>
      <c r="AB144" s="2"/>
      <c r="AC144" s="2"/>
      <c r="AD144" s="2"/>
      <c r="AE144" s="2"/>
      <c r="AF144" s="2"/>
    </row>
    <row r="145" spans="1:19" ht="16.5" thickTop="1" thickBot="1">
      <c r="A145" s="2331" t="s">
        <v>763</v>
      </c>
      <c r="B145" s="2332"/>
      <c r="C145" s="298"/>
      <c r="D145" s="347"/>
      <c r="E145" s="350"/>
      <c r="F145" s="12"/>
      <c r="G145" s="26"/>
      <c r="H145" s="20"/>
      <c r="I145" s="20"/>
      <c r="J145" s="20"/>
      <c r="K145" s="20"/>
      <c r="L145" s="24"/>
      <c r="M145" s="20"/>
      <c r="N145" s="20"/>
      <c r="O145" s="20"/>
      <c r="P145" s="20"/>
      <c r="Q145" s="20"/>
      <c r="R145" s="20"/>
      <c r="S145" s="20"/>
    </row>
    <row r="146" spans="1:19" ht="15.75" thickTop="1">
      <c r="A146" s="1124"/>
      <c r="B146" s="1105" t="s">
        <v>764</v>
      </c>
      <c r="C146" s="415"/>
      <c r="D146" s="416"/>
      <c r="E146" s="417"/>
      <c r="F146" s="422"/>
      <c r="G146" s="831"/>
      <c r="H146" s="1178"/>
      <c r="I146" s="1178"/>
      <c r="J146" s="1178"/>
      <c r="K146" s="1178"/>
      <c r="L146" s="442"/>
      <c r="M146" s="1178"/>
      <c r="N146" s="1178"/>
      <c r="O146" s="1178"/>
      <c r="P146" s="1178"/>
      <c r="Q146" s="1178"/>
      <c r="R146" s="1178"/>
      <c r="S146" s="1178"/>
    </row>
    <row r="147" spans="1:19">
      <c r="A147" s="1124"/>
      <c r="B147" s="1105" t="s">
        <v>765</v>
      </c>
      <c r="C147" s="415"/>
      <c r="D147" s="416"/>
      <c r="E147" s="417"/>
      <c r="F147" s="422"/>
      <c r="G147" s="831"/>
      <c r="H147" s="1178"/>
      <c r="I147" s="1178"/>
      <c r="J147" s="1178"/>
      <c r="K147" s="1178"/>
      <c r="L147" s="442"/>
      <c r="M147" s="1178"/>
      <c r="N147" s="1178"/>
      <c r="O147" s="1178"/>
      <c r="P147" s="1178"/>
      <c r="Q147" s="1178"/>
      <c r="R147" s="1178"/>
      <c r="S147" s="1178"/>
    </row>
    <row r="148" spans="1:19">
      <c r="A148" s="1124"/>
      <c r="B148" s="1105" t="s">
        <v>766</v>
      </c>
      <c r="C148" s="415"/>
      <c r="D148" s="416"/>
      <c r="E148" s="417"/>
      <c r="F148" s="422"/>
      <c r="G148" s="831"/>
      <c r="H148" s="1178"/>
      <c r="I148" s="1178"/>
      <c r="J148" s="1178"/>
      <c r="K148" s="1178"/>
      <c r="L148" s="442"/>
      <c r="M148" s="1178"/>
      <c r="N148" s="1178"/>
      <c r="O148" s="1178"/>
      <c r="P148" s="1178"/>
      <c r="Q148" s="1178"/>
      <c r="R148" s="1178"/>
      <c r="S148" s="1178"/>
    </row>
    <row r="149" spans="1:19">
      <c r="A149" s="1124"/>
      <c r="B149" s="1105" t="s">
        <v>767</v>
      </c>
      <c r="C149" s="415"/>
      <c r="D149" s="416"/>
      <c r="E149" s="417"/>
      <c r="F149" s="422"/>
      <c r="G149" s="831"/>
      <c r="H149" s="1178"/>
      <c r="I149" s="1178"/>
      <c r="J149" s="1178"/>
      <c r="K149" s="1178"/>
      <c r="L149" s="442"/>
      <c r="M149" s="1178"/>
      <c r="N149" s="1178"/>
      <c r="O149" s="1178"/>
      <c r="P149" s="1178"/>
      <c r="Q149" s="1178"/>
      <c r="R149" s="1178"/>
      <c r="S149" s="1178"/>
    </row>
    <row r="150" spans="1:19" ht="15.75" thickBot="1">
      <c r="A150" s="443"/>
      <c r="B150" s="421"/>
      <c r="C150" s="23"/>
      <c r="D150" s="265"/>
      <c r="E150" s="266"/>
      <c r="F150" s="86"/>
      <c r="G150" s="27"/>
      <c r="H150" s="444"/>
      <c r="I150" s="444"/>
      <c r="J150" s="444"/>
      <c r="K150" s="444"/>
      <c r="L150" s="25"/>
      <c r="M150" s="444"/>
      <c r="N150" s="444"/>
      <c r="O150" s="444"/>
      <c r="P150" s="444"/>
      <c r="Q150" s="444"/>
      <c r="R150" s="444"/>
      <c r="S150" s="444"/>
    </row>
    <row r="151" spans="1:19" ht="16.5" thickTop="1" thickBot="1">
      <c r="A151" s="72" t="s">
        <v>768</v>
      </c>
      <c r="B151" s="73"/>
      <c r="C151" s="298"/>
      <c r="D151" s="347"/>
      <c r="E151" s="350"/>
      <c r="F151" s="12"/>
      <c r="G151" s="26"/>
      <c r="H151" s="20"/>
      <c r="I151" s="20"/>
      <c r="J151" s="20"/>
      <c r="K151" s="20"/>
      <c r="L151" s="24"/>
      <c r="M151" s="20"/>
      <c r="N151" s="20"/>
      <c r="O151" s="20"/>
      <c r="P151" s="20"/>
      <c r="Q151" s="20"/>
      <c r="R151" s="20"/>
      <c r="S151" s="20"/>
    </row>
    <row r="152" spans="1:19" ht="15.75" thickTop="1">
      <c r="A152" s="1403"/>
      <c r="B152" s="1226" t="s">
        <v>769</v>
      </c>
      <c r="C152" s="1548"/>
      <c r="D152" s="1414"/>
      <c r="E152" s="1415"/>
      <c r="F152" s="1435"/>
      <c r="G152" s="1404"/>
      <c r="H152" s="1228"/>
      <c r="I152" s="1228"/>
      <c r="J152" s="1228"/>
      <c r="K152" s="1228"/>
      <c r="L152" s="1410"/>
      <c r="M152" s="1228"/>
      <c r="N152" s="1228"/>
      <c r="O152" s="1228"/>
      <c r="P152" s="1228"/>
      <c r="Q152" s="1228"/>
      <c r="R152" s="1228"/>
      <c r="S152" s="1228"/>
    </row>
    <row r="153" spans="1:19">
      <c r="A153" s="1124"/>
      <c r="B153" s="1105" t="s">
        <v>770</v>
      </c>
      <c r="C153" s="415"/>
      <c r="D153" s="416"/>
      <c r="E153" s="417"/>
      <c r="F153" s="422"/>
      <c r="G153" s="831"/>
      <c r="H153" s="1182"/>
      <c r="I153" s="1182"/>
      <c r="J153" s="1182"/>
      <c r="K153" s="1182"/>
      <c r="L153" s="445"/>
      <c r="M153" s="1182"/>
      <c r="N153" s="1182"/>
      <c r="O153" s="1182"/>
      <c r="P153" s="1182"/>
      <c r="Q153" s="1182"/>
      <c r="R153" s="1182"/>
      <c r="S153" s="1182"/>
    </row>
    <row r="154" spans="1:19" ht="15.75" thickBot="1">
      <c r="A154" s="1376"/>
      <c r="B154" s="1377" t="s">
        <v>771</v>
      </c>
      <c r="C154" s="1378"/>
      <c r="D154" s="1436"/>
      <c r="E154" s="1437"/>
      <c r="F154" s="1379"/>
      <c r="G154" s="1380"/>
      <c r="H154" s="1382"/>
      <c r="I154" s="1382"/>
      <c r="J154" s="1382"/>
      <c r="K154" s="1382"/>
      <c r="L154" s="1381"/>
      <c r="M154" s="1382"/>
      <c r="N154" s="1382"/>
      <c r="O154" s="1382"/>
      <c r="P154" s="1382"/>
      <c r="Q154" s="1382"/>
      <c r="R154" s="1382"/>
      <c r="S154" s="1382"/>
    </row>
    <row r="155" spans="1:19" ht="16.5" thickTop="1" thickBot="1">
      <c r="F155" s="2"/>
      <c r="G155" s="2"/>
      <c r="H155" s="2"/>
      <c r="I155" s="2"/>
      <c r="J155" s="2"/>
      <c r="K155" s="2"/>
      <c r="L155" s="2"/>
      <c r="M155" s="2"/>
      <c r="N155" s="2"/>
      <c r="O155" s="2"/>
      <c r="P155" s="2"/>
      <c r="Q155" s="2"/>
      <c r="R155" s="2"/>
      <c r="S155" s="2"/>
    </row>
    <row r="156" spans="1:19" ht="16.5" thickTop="1" thickBot="1">
      <c r="A156" s="37" t="s">
        <v>772</v>
      </c>
      <c r="B156" s="39"/>
      <c r="F156" s="2"/>
      <c r="G156" s="2"/>
      <c r="H156" s="2"/>
      <c r="I156" s="2"/>
      <c r="J156" s="2"/>
      <c r="K156" s="2"/>
      <c r="L156" s="2"/>
      <c r="M156" s="2"/>
      <c r="N156" s="2"/>
      <c r="O156" s="2"/>
      <c r="P156" s="2"/>
      <c r="Q156" s="2"/>
      <c r="R156" s="2"/>
      <c r="S156" s="2"/>
    </row>
    <row r="157" spans="1:19" ht="15.75" thickTop="1">
      <c r="A157" s="38" t="s">
        <v>693</v>
      </c>
      <c r="B157" s="1277" t="str">
        <f>H5</f>
        <v>Sunryse Construction</v>
      </c>
      <c r="F157" s="2"/>
      <c r="G157" s="2"/>
      <c r="H157" s="2"/>
      <c r="I157" s="2"/>
      <c r="J157" s="2"/>
      <c r="K157" s="2"/>
      <c r="L157" s="2"/>
      <c r="M157" s="2"/>
      <c r="N157" s="2"/>
      <c r="O157" s="2"/>
      <c r="P157" s="2"/>
      <c r="Q157" s="2"/>
      <c r="R157" s="2"/>
      <c r="S157" s="2"/>
    </row>
    <row r="158" spans="1:19">
      <c r="A158" s="1142" t="s">
        <v>702</v>
      </c>
      <c r="B158" s="1277" t="str">
        <f t="shared" ref="B158:B160" si="77">H6</f>
        <v>Jorge Salcedo</v>
      </c>
      <c r="F158" s="2"/>
      <c r="G158" s="2"/>
      <c r="H158" s="2"/>
      <c r="I158" s="2"/>
      <c r="J158" s="2"/>
      <c r="K158" s="2"/>
      <c r="L158" s="2"/>
      <c r="M158" s="2"/>
      <c r="N158" s="2"/>
      <c r="O158" s="2"/>
      <c r="P158" s="2"/>
      <c r="Q158" s="2"/>
      <c r="R158" s="2"/>
      <c r="S158" s="2"/>
    </row>
    <row r="159" spans="1:19">
      <c r="A159" s="1191" t="s">
        <v>708</v>
      </c>
      <c r="B159" s="1277" t="str">
        <f t="shared" si="77"/>
        <v xml:space="preserve">(772) 219-3506 </v>
      </c>
      <c r="F159" s="2"/>
      <c r="G159" s="2"/>
      <c r="H159" s="2"/>
      <c r="I159" s="2"/>
      <c r="J159" s="2"/>
      <c r="K159" s="2"/>
      <c r="L159" s="2"/>
      <c r="M159" s="2"/>
      <c r="N159" s="2"/>
      <c r="O159" s="2"/>
      <c r="P159" s="2"/>
      <c r="Q159" s="2"/>
      <c r="R159" s="2"/>
      <c r="S159" s="2"/>
    </row>
    <row r="160" spans="1:19">
      <c r="A160" s="1191" t="s">
        <v>713</v>
      </c>
      <c r="B160" s="1277" t="str">
        <f t="shared" si="77"/>
        <v>jorge_scsi@bellsouth.ne</v>
      </c>
      <c r="F160" s="2"/>
      <c r="G160" s="2"/>
      <c r="H160" s="2"/>
      <c r="I160" s="2"/>
      <c r="J160" s="2"/>
      <c r="K160" s="2"/>
      <c r="L160" s="2"/>
      <c r="M160" s="2"/>
      <c r="N160" s="2"/>
      <c r="O160" s="2"/>
      <c r="P160" s="2"/>
      <c r="Q160" s="2"/>
      <c r="R160" s="2"/>
      <c r="S160" s="2"/>
    </row>
    <row r="161" spans="1:19" ht="15.75" thickBot="1">
      <c r="A161" s="1383" t="s">
        <v>69</v>
      </c>
      <c r="B161" s="1397">
        <f>I125</f>
        <v>5009000</v>
      </c>
      <c r="F161" s="2"/>
      <c r="G161" s="2"/>
      <c r="H161" s="2"/>
      <c r="I161" s="2"/>
      <c r="J161" s="2"/>
      <c r="K161" s="2"/>
      <c r="L161" s="2"/>
      <c r="M161" s="2"/>
      <c r="N161" s="2"/>
      <c r="O161" s="2"/>
      <c r="P161" s="2"/>
      <c r="Q161" s="2"/>
      <c r="R161" s="2"/>
      <c r="S161" s="2"/>
    </row>
    <row r="162" spans="1:19" ht="15.75" thickTop="1"/>
  </sheetData>
  <mergeCells count="41">
    <mergeCell ref="A129:B129"/>
    <mergeCell ref="A133:B133"/>
    <mergeCell ref="A137:B137"/>
    <mergeCell ref="A141:B141"/>
    <mergeCell ref="A145:B145"/>
    <mergeCell ref="L5:M5"/>
    <mergeCell ref="J9:K9"/>
    <mergeCell ref="P5:Q5"/>
    <mergeCell ref="L6:M6"/>
    <mergeCell ref="L7:M7"/>
    <mergeCell ref="L8:M8"/>
    <mergeCell ref="J5:K5"/>
    <mergeCell ref="J6:K6"/>
    <mergeCell ref="J7:K7"/>
    <mergeCell ref="J8:K8"/>
    <mergeCell ref="P6:Q6"/>
    <mergeCell ref="P7:Q7"/>
    <mergeCell ref="P8:Q8"/>
    <mergeCell ref="P9:Q9"/>
    <mergeCell ref="L4:M4"/>
    <mergeCell ref="J4:K4"/>
    <mergeCell ref="P4:Q4"/>
    <mergeCell ref="H9:I9"/>
    <mergeCell ref="N5:O5"/>
    <mergeCell ref="N6:O6"/>
    <mergeCell ref="N7:O7"/>
    <mergeCell ref="N8:O8"/>
    <mergeCell ref="N9:O9"/>
    <mergeCell ref="H5:I5"/>
    <mergeCell ref="H6:I6"/>
    <mergeCell ref="H7:I7"/>
    <mergeCell ref="H8:I8"/>
    <mergeCell ref="H4:I4"/>
    <mergeCell ref="N4:O4"/>
    <mergeCell ref="L9:M9"/>
    <mergeCell ref="R8:S8"/>
    <mergeCell ref="R9:S9"/>
    <mergeCell ref="R4:S4"/>
    <mergeCell ref="R5:S5"/>
    <mergeCell ref="R6:S6"/>
    <mergeCell ref="R7:S7"/>
  </mergeCells>
  <conditionalFormatting sqref="H11:H19">
    <cfRule type="cellIs" dxfId="429" priority="1" operator="equal">
      <formula>"X"</formula>
    </cfRule>
    <cfRule type="cellIs" dxfId="428" priority="2" operator="equal">
      <formula>"I"</formula>
    </cfRule>
  </conditionalFormatting>
  <conditionalFormatting sqref="J11:J19 L11:L19 N11:N19 P11:P19 R11:R19 H21:H120 J21:J120 L21:L120 N21:N120 P21:P120 R21:R120">
    <cfRule type="cellIs" dxfId="427" priority="15" operator="equal">
      <formula>"X"</formula>
    </cfRule>
    <cfRule type="cellIs" dxfId="426" priority="16" operator="equal">
      <formula>"I"</formula>
    </cfRule>
  </conditionalFormatting>
  <hyperlinks>
    <hyperlink ref="B4" location="'Cost Summary'!A1" display="BACK TO SUMMARY SHEET" xr:uid="{545AC3D9-4AF1-45E0-A6E5-8244F1AA43B6}"/>
    <hyperlink ref="H8" r:id="rId1" xr:uid="{98663CF8-2FD9-4EC7-BF71-DC12F2069D90}"/>
    <hyperlink ref="N8" r:id="rId2" xr:uid="{21EC23C6-E03C-4AC3-AFD2-355563222D0D}"/>
    <hyperlink ref="L8" r:id="rId3" xr:uid="{5DC6B854-6B8A-460F-8042-ACD989534CEF}"/>
    <hyperlink ref="J8" r:id="rId4" xr:uid="{93B7ADA0-3225-40C0-991E-2F6E59F408E2}"/>
  </hyperlinks>
  <pageMargins left="0.7" right="0.7" top="0.75" bottom="0.75" header="0.3" footer="0.3"/>
  <pageSetup scale="71" orientation="portrait" horizontalDpi="1200" verticalDpi="1200"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3F9C2-0396-4F38-825D-79D85131EE63}">
  <sheetPr>
    <tabColor theme="9" tint="0.39997558519241921"/>
  </sheetPr>
  <dimension ref="A1:AS95"/>
  <sheetViews>
    <sheetView zoomScale="90" zoomScaleNormal="90" workbookViewId="0">
      <pane xSplit="2" ySplit="10" topLeftCell="G23" activePane="bottomRight" state="frozen"/>
      <selection pane="topRight" activeCell="C1" sqref="C1"/>
      <selection pane="bottomLeft" activeCell="A11" sqref="A11"/>
      <selection pane="bottomRight" activeCell="S20" sqref="S20"/>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 min="20" max="20" width="7.7109375" style="270" customWidth="1"/>
    <col min="21" max="21" width="15.7109375" style="270" customWidth="1"/>
    <col min="22" max="22" width="7.7109375" style="270" customWidth="1"/>
    <col min="23" max="23" width="15.7109375" style="270" customWidth="1"/>
  </cols>
  <sheetData>
    <row r="1" spans="1:28">
      <c r="D1" s="260"/>
      <c r="E1" s="68"/>
      <c r="F1" s="275"/>
      <c r="G1" s="269" t="s">
        <v>679</v>
      </c>
      <c r="AB1" s="261"/>
    </row>
    <row r="2" spans="1:28">
      <c r="D2" s="260"/>
      <c r="E2" s="68"/>
      <c r="F2" s="276" t="s">
        <v>680</v>
      </c>
      <c r="G2" s="269" t="s">
        <v>681</v>
      </c>
      <c r="AB2" s="261"/>
    </row>
    <row r="3" spans="1:28" ht="15.75" thickBot="1">
      <c r="D3" s="260"/>
      <c r="E3" s="68"/>
      <c r="F3" s="277" t="s">
        <v>682</v>
      </c>
      <c r="G3" s="269" t="s">
        <v>683</v>
      </c>
      <c r="N3" s="694"/>
      <c r="O3" s="694"/>
      <c r="AB3" s="261"/>
    </row>
    <row r="4" spans="1:28" ht="15.75" thickBot="1">
      <c r="B4" s="262" t="s">
        <v>684</v>
      </c>
      <c r="D4" s="260"/>
      <c r="E4" s="68"/>
      <c r="F4" s="278"/>
      <c r="G4" s="270" t="s">
        <v>685</v>
      </c>
      <c r="H4" s="2323" t="s">
        <v>686</v>
      </c>
      <c r="I4" s="2324"/>
      <c r="J4" s="2319" t="s">
        <v>687</v>
      </c>
      <c r="K4" s="2320"/>
      <c r="L4" s="2319" t="s">
        <v>688</v>
      </c>
      <c r="M4" s="2320"/>
      <c r="N4" s="2319" t="s">
        <v>689</v>
      </c>
      <c r="O4" s="2320"/>
      <c r="P4" s="2319" t="s">
        <v>690</v>
      </c>
      <c r="Q4" s="2320"/>
      <c r="R4" s="2319" t="s">
        <v>691</v>
      </c>
      <c r="S4" s="2320"/>
      <c r="T4" s="2319" t="s">
        <v>806</v>
      </c>
      <c r="U4" s="2320"/>
      <c r="V4" s="2319" t="s">
        <v>808</v>
      </c>
      <c r="W4" s="2320"/>
      <c r="AB4" s="261"/>
    </row>
    <row r="5" spans="1:28" ht="15.75" thickTop="1">
      <c r="A5" s="292" t="s">
        <v>692</v>
      </c>
      <c r="B5" s="299" t="str">
        <f>'Area Calculations'!B4</f>
        <v>ERAU Residential Hall &amp; Garage Building</v>
      </c>
      <c r="C5" s="294"/>
      <c r="D5" s="263"/>
      <c r="E5" s="264"/>
      <c r="F5" s="279"/>
      <c r="G5" s="271" t="s">
        <v>693</v>
      </c>
      <c r="H5" s="2333" t="s">
        <v>1621</v>
      </c>
      <c r="I5" s="2334"/>
      <c r="J5" s="2333" t="s">
        <v>1622</v>
      </c>
      <c r="K5" s="2334"/>
      <c r="L5" s="2333" t="s">
        <v>1623</v>
      </c>
      <c r="M5" s="2334"/>
      <c r="N5" s="2321" t="s">
        <v>1624</v>
      </c>
      <c r="O5" s="2322"/>
      <c r="P5" s="2366" t="s">
        <v>1625</v>
      </c>
      <c r="Q5" s="2367"/>
      <c r="R5" s="2366" t="s">
        <v>1626</v>
      </c>
      <c r="S5" s="2367"/>
      <c r="T5" s="2333" t="s">
        <v>1627</v>
      </c>
      <c r="U5" s="2334"/>
      <c r="V5" s="2333" t="s">
        <v>1628</v>
      </c>
      <c r="W5" s="2334"/>
      <c r="AB5" s="261"/>
    </row>
    <row r="6" spans="1:28">
      <c r="A6" s="1082" t="s">
        <v>700</v>
      </c>
      <c r="B6" s="1196" t="s">
        <v>326</v>
      </c>
      <c r="C6" s="415"/>
      <c r="D6" s="416"/>
      <c r="E6" s="417"/>
      <c r="F6" s="418"/>
      <c r="G6" s="419" t="s">
        <v>702</v>
      </c>
      <c r="H6" s="2313" t="s">
        <v>1629</v>
      </c>
      <c r="I6" s="2314"/>
      <c r="J6" s="2313" t="s">
        <v>1630</v>
      </c>
      <c r="K6" s="2314"/>
      <c r="L6" s="2313" t="s">
        <v>1631</v>
      </c>
      <c r="M6" s="2314"/>
      <c r="N6" s="2313" t="s">
        <v>1632</v>
      </c>
      <c r="O6" s="2314"/>
      <c r="P6" s="2368" t="s">
        <v>1633</v>
      </c>
      <c r="Q6" s="2369"/>
      <c r="R6" s="2368" t="s">
        <v>1634</v>
      </c>
      <c r="S6" s="2369"/>
      <c r="T6" s="2313" t="s">
        <v>1635</v>
      </c>
      <c r="U6" s="2314"/>
      <c r="V6" s="2313" t="s">
        <v>1636</v>
      </c>
      <c r="W6" s="2314"/>
      <c r="AB6" s="261"/>
    </row>
    <row r="7" spans="1:28">
      <c r="A7" s="1082" t="s">
        <v>706</v>
      </c>
      <c r="B7" s="1197" t="s">
        <v>1637</v>
      </c>
      <c r="C7" s="415"/>
      <c r="D7" s="416"/>
      <c r="E7" s="417"/>
      <c r="F7" s="418"/>
      <c r="G7" s="829" t="s">
        <v>708</v>
      </c>
      <c r="H7" s="2313" t="s">
        <v>1638</v>
      </c>
      <c r="I7" s="2314"/>
      <c r="J7" s="2313" t="s">
        <v>1639</v>
      </c>
      <c r="K7" s="2314"/>
      <c r="L7" s="2313" t="s">
        <v>1640</v>
      </c>
      <c r="M7" s="2314"/>
      <c r="N7" s="2313" t="s">
        <v>1641</v>
      </c>
      <c r="O7" s="2314"/>
      <c r="P7" s="2368" t="s">
        <v>1642</v>
      </c>
      <c r="Q7" s="2369"/>
      <c r="R7" s="2368" t="s">
        <v>1643</v>
      </c>
      <c r="S7" s="2369"/>
      <c r="T7" s="2313" t="s">
        <v>1644</v>
      </c>
      <c r="U7" s="2314"/>
      <c r="V7" s="2313" t="s">
        <v>1645</v>
      </c>
      <c r="W7" s="2314"/>
      <c r="AB7" s="261"/>
    </row>
    <row r="8" spans="1:28">
      <c r="A8" s="1082" t="s">
        <v>712</v>
      </c>
      <c r="B8" s="1198"/>
      <c r="C8" s="415"/>
      <c r="D8" s="416"/>
      <c r="E8" s="417"/>
      <c r="F8" s="418"/>
      <c r="G8" s="829" t="s">
        <v>713</v>
      </c>
      <c r="H8" s="2343" t="s">
        <v>1646</v>
      </c>
      <c r="I8" s="2344"/>
      <c r="J8" s="2343" t="s">
        <v>1647</v>
      </c>
      <c r="K8" s="2344"/>
      <c r="L8" s="2343" t="s">
        <v>1648</v>
      </c>
      <c r="M8" s="2344"/>
      <c r="N8" s="2343" t="s">
        <v>1649</v>
      </c>
      <c r="O8" s="2344"/>
      <c r="P8" s="2343" t="s">
        <v>1650</v>
      </c>
      <c r="Q8" s="2344"/>
      <c r="R8" s="2343" t="s">
        <v>1651</v>
      </c>
      <c r="S8" s="2344"/>
      <c r="T8" s="2343" t="s">
        <v>1652</v>
      </c>
      <c r="U8" s="2344"/>
      <c r="V8" s="2315" t="s">
        <v>1653</v>
      </c>
      <c r="W8" s="2316"/>
      <c r="AB8" s="261"/>
    </row>
    <row r="9" spans="1:28" ht="15.75" thickBot="1">
      <c r="A9" s="420"/>
      <c r="B9" s="421"/>
      <c r="C9" s="23"/>
      <c r="D9" s="265"/>
      <c r="E9" s="266"/>
      <c r="F9" s="283"/>
      <c r="G9" s="284" t="s">
        <v>717</v>
      </c>
      <c r="H9" s="2317">
        <f>I58</f>
        <v>4568679.75</v>
      </c>
      <c r="I9" s="2318"/>
      <c r="J9" s="2317">
        <f>K58</f>
        <v>4555195</v>
      </c>
      <c r="K9" s="2318"/>
      <c r="L9" s="2317">
        <f>M58</f>
        <v>5071591</v>
      </c>
      <c r="M9" s="2318"/>
      <c r="N9" s="2317">
        <f>O58</f>
        <v>5852500</v>
      </c>
      <c r="O9" s="2318"/>
      <c r="P9" s="2317">
        <f>Q58</f>
        <v>6496420</v>
      </c>
      <c r="Q9" s="2318"/>
      <c r="R9" s="2317">
        <f>S58</f>
        <v>7115841</v>
      </c>
      <c r="S9" s="2318"/>
      <c r="T9" s="2317">
        <f>U58</f>
        <v>7918638</v>
      </c>
      <c r="U9" s="2318"/>
      <c r="V9" s="2317">
        <f>W58</f>
        <v>7969235</v>
      </c>
      <c r="W9" s="2318"/>
      <c r="AB9" s="261"/>
    </row>
    <row r="10" spans="1:28" s="267" customFormat="1" ht="32.1" customHeight="1" thickBot="1">
      <c r="A10" s="293"/>
      <c r="B10" s="300"/>
      <c r="C10" s="295" t="s">
        <v>718</v>
      </c>
      <c r="D10" s="287" t="s">
        <v>719</v>
      </c>
      <c r="E10" s="286" t="s">
        <v>720</v>
      </c>
      <c r="F10" s="288" t="s">
        <v>721</v>
      </c>
      <c r="G10" s="289" t="s">
        <v>722</v>
      </c>
      <c r="H10" s="290" t="s">
        <v>723</v>
      </c>
      <c r="I10" s="291" t="s">
        <v>724</v>
      </c>
      <c r="J10" s="290" t="s">
        <v>723</v>
      </c>
      <c r="K10" s="291" t="s">
        <v>724</v>
      </c>
      <c r="L10" s="290" t="s">
        <v>723</v>
      </c>
      <c r="M10" s="290" t="s">
        <v>724</v>
      </c>
      <c r="N10" s="290" t="s">
        <v>723</v>
      </c>
      <c r="O10" s="290" t="s">
        <v>724</v>
      </c>
      <c r="P10" s="290" t="s">
        <v>723</v>
      </c>
      <c r="Q10" s="290" t="s">
        <v>724</v>
      </c>
      <c r="R10" s="290" t="s">
        <v>723</v>
      </c>
      <c r="S10" s="290" t="s">
        <v>724</v>
      </c>
      <c r="T10" s="290" t="s">
        <v>723</v>
      </c>
      <c r="U10" s="291" t="s">
        <v>724</v>
      </c>
      <c r="V10" s="290" t="s">
        <v>723</v>
      </c>
      <c r="W10" s="290" t="s">
        <v>724</v>
      </c>
      <c r="AB10" s="268"/>
    </row>
    <row r="11" spans="1:28" ht="15.75">
      <c r="A11" s="1412"/>
      <c r="B11" s="1283" t="s">
        <v>725</v>
      </c>
      <c r="C11" s="1554"/>
      <c r="D11" s="1435"/>
      <c r="E11" s="1435"/>
      <c r="F11" s="1416"/>
      <c r="G11" s="1417"/>
      <c r="H11" s="1286"/>
      <c r="I11" s="1419"/>
      <c r="J11" s="1286"/>
      <c r="K11" s="1419"/>
      <c r="L11" s="1286"/>
      <c r="M11" s="1419"/>
      <c r="N11" s="1286"/>
      <c r="O11" s="1420"/>
      <c r="P11" s="1286"/>
      <c r="Q11" s="285"/>
      <c r="R11" s="1286"/>
      <c r="S11" s="1419"/>
      <c r="T11" s="1286"/>
      <c r="U11" s="1419"/>
      <c r="V11" s="1286"/>
      <c r="W11" s="1419"/>
    </row>
    <row r="12" spans="1:28">
      <c r="A12" s="1412"/>
      <c r="B12" s="1263" t="s">
        <v>726</v>
      </c>
      <c r="C12" s="446"/>
      <c r="D12" s="422"/>
      <c r="E12" s="422"/>
      <c r="F12" s="418"/>
      <c r="G12" s="423"/>
      <c r="H12" s="1264" t="s">
        <v>727</v>
      </c>
      <c r="I12" s="1419"/>
      <c r="J12" s="1264" t="s">
        <v>727</v>
      </c>
      <c r="K12" s="1419"/>
      <c r="L12" s="1264" t="s">
        <v>727</v>
      </c>
      <c r="M12" s="1419"/>
      <c r="N12" s="1264" t="s">
        <v>727</v>
      </c>
      <c r="O12" s="1420"/>
      <c r="P12" s="1264" t="s">
        <v>727</v>
      </c>
      <c r="Q12" s="1419"/>
      <c r="R12" s="1264" t="s">
        <v>727</v>
      </c>
      <c r="S12" s="1419"/>
      <c r="T12" s="1264" t="s">
        <v>727</v>
      </c>
      <c r="U12" s="1419"/>
      <c r="V12" s="1264" t="s">
        <v>727</v>
      </c>
      <c r="W12" s="1419"/>
    </row>
    <row r="13" spans="1:28">
      <c r="A13" s="1097"/>
      <c r="B13" s="1263" t="s">
        <v>728</v>
      </c>
      <c r="C13" s="446"/>
      <c r="D13" s="422"/>
      <c r="E13" s="422"/>
      <c r="F13" s="418"/>
      <c r="G13" s="423"/>
      <c r="H13" s="1264" t="s">
        <v>727</v>
      </c>
      <c r="I13" s="1419"/>
      <c r="J13" s="1264" t="s">
        <v>727</v>
      </c>
      <c r="K13" s="1419"/>
      <c r="L13" s="1264" t="s">
        <v>727</v>
      </c>
      <c r="M13" s="1419"/>
      <c r="N13" s="1264" t="s">
        <v>727</v>
      </c>
      <c r="O13" s="1420"/>
      <c r="P13" s="1264" t="s">
        <v>727</v>
      </c>
      <c r="Q13" s="1419"/>
      <c r="R13" s="1264" t="s">
        <v>727</v>
      </c>
      <c r="S13" s="1419"/>
      <c r="T13" s="1264" t="s">
        <v>727</v>
      </c>
      <c r="U13" s="1419"/>
      <c r="V13" s="1264" t="s">
        <v>727</v>
      </c>
      <c r="W13" s="1419"/>
    </row>
    <row r="14" spans="1:28">
      <c r="A14" s="1412"/>
      <c r="B14" s="1265" t="s">
        <v>729</v>
      </c>
      <c r="C14" s="446"/>
      <c r="D14" s="422"/>
      <c r="E14" s="422"/>
      <c r="F14" s="418"/>
      <c r="G14" s="423"/>
      <c r="H14" s="1264" t="s">
        <v>730</v>
      </c>
      <c r="I14" s="1440" t="s">
        <v>837</v>
      </c>
      <c r="J14" s="1264" t="s">
        <v>730</v>
      </c>
      <c r="K14" s="1419"/>
      <c r="L14" s="1264" t="s">
        <v>730</v>
      </c>
      <c r="M14" s="1419"/>
      <c r="N14" s="1264" t="s">
        <v>730</v>
      </c>
      <c r="O14" s="1420"/>
      <c r="P14" s="1264" t="s">
        <v>730</v>
      </c>
      <c r="Q14" s="1419"/>
      <c r="R14" s="1264" t="s">
        <v>730</v>
      </c>
      <c r="S14" s="1419"/>
      <c r="T14" s="1264" t="s">
        <v>730</v>
      </c>
      <c r="U14" s="1419"/>
      <c r="V14" s="1264" t="s">
        <v>730</v>
      </c>
      <c r="W14" s="1419"/>
    </row>
    <row r="15" spans="1:28">
      <c r="A15" s="1097"/>
      <c r="B15" s="1265" t="s">
        <v>731</v>
      </c>
      <c r="C15" s="446"/>
      <c r="D15" s="422"/>
      <c r="E15" s="422"/>
      <c r="F15" s="418"/>
      <c r="G15" s="423"/>
      <c r="H15" s="1264" t="s">
        <v>727</v>
      </c>
      <c r="I15" s="1420"/>
      <c r="J15" s="1264" t="s">
        <v>727</v>
      </c>
      <c r="K15" s="1420"/>
      <c r="L15" s="1264" t="s">
        <v>727</v>
      </c>
      <c r="M15" s="1420"/>
      <c r="N15" s="1264" t="s">
        <v>727</v>
      </c>
      <c r="O15" s="1420"/>
      <c r="P15" s="1264" t="s">
        <v>727</v>
      </c>
      <c r="Q15" s="1420"/>
      <c r="R15" s="1264" t="s">
        <v>727</v>
      </c>
      <c r="S15" s="1420"/>
      <c r="T15" s="1264" t="s">
        <v>727</v>
      </c>
      <c r="U15" s="1420"/>
      <c r="V15" s="1264" t="s">
        <v>727</v>
      </c>
      <c r="W15" s="1420"/>
    </row>
    <row r="16" spans="1:28">
      <c r="A16" s="1412"/>
      <c r="B16" s="1265" t="s">
        <v>732</v>
      </c>
      <c r="C16" s="446"/>
      <c r="D16" s="422"/>
      <c r="E16" s="422"/>
      <c r="F16" s="418"/>
      <c r="G16" s="423"/>
      <c r="H16" s="1264" t="s">
        <v>727</v>
      </c>
      <c r="I16" s="1419"/>
      <c r="J16" s="1264" t="s">
        <v>727</v>
      </c>
      <c r="K16" s="1419"/>
      <c r="L16" s="1264" t="s">
        <v>727</v>
      </c>
      <c r="M16" s="1419"/>
      <c r="N16" s="1264" t="s">
        <v>727</v>
      </c>
      <c r="O16" s="1420"/>
      <c r="P16" s="1264" t="s">
        <v>727</v>
      </c>
      <c r="Q16" s="1419"/>
      <c r="R16" s="1264" t="s">
        <v>727</v>
      </c>
      <c r="S16" s="1419"/>
      <c r="T16" s="1264" t="s">
        <v>727</v>
      </c>
      <c r="U16" s="1419"/>
      <c r="V16" s="1264" t="s">
        <v>727</v>
      </c>
      <c r="W16" s="1419"/>
    </row>
    <row r="17" spans="1:45">
      <c r="A17" s="1097"/>
      <c r="B17" s="1265" t="s">
        <v>733</v>
      </c>
      <c r="C17" s="446"/>
      <c r="D17" s="422"/>
      <c r="E17" s="422"/>
      <c r="F17" s="418"/>
      <c r="G17" s="423"/>
      <c r="H17" s="1264" t="s">
        <v>727</v>
      </c>
      <c r="I17" s="1419"/>
      <c r="J17" s="1264" t="s">
        <v>727</v>
      </c>
      <c r="K17" s="1419"/>
      <c r="L17" s="1264" t="s">
        <v>727</v>
      </c>
      <c r="M17" s="1419"/>
      <c r="N17" s="1264" t="s">
        <v>727</v>
      </c>
      <c r="O17" s="1420"/>
      <c r="P17" s="1264" t="s">
        <v>727</v>
      </c>
      <c r="Q17" s="1419"/>
      <c r="R17" s="1264" t="s">
        <v>727</v>
      </c>
      <c r="S17" s="1419"/>
      <c r="T17" s="1264" t="s">
        <v>730</v>
      </c>
      <c r="U17" s="1419"/>
      <c r="V17" s="1264" t="s">
        <v>727</v>
      </c>
      <c r="W17" s="1419"/>
    </row>
    <row r="18" spans="1:45">
      <c r="A18" s="1412"/>
      <c r="B18" s="534" t="s">
        <v>734</v>
      </c>
      <c r="C18" s="446"/>
      <c r="D18" s="422"/>
      <c r="E18" s="422"/>
      <c r="F18" s="418"/>
      <c r="G18" s="423"/>
      <c r="H18" s="1264" t="s">
        <v>730</v>
      </c>
      <c r="I18" s="1419"/>
      <c r="J18" s="1264" t="s">
        <v>730</v>
      </c>
      <c r="K18" s="1419"/>
      <c r="L18" s="1264"/>
      <c r="M18" s="1419"/>
      <c r="N18" s="1264"/>
      <c r="O18" s="1420"/>
      <c r="P18" s="1264"/>
      <c r="Q18" s="1419"/>
      <c r="R18" s="1264" t="s">
        <v>682</v>
      </c>
      <c r="S18" s="1419" t="s">
        <v>917</v>
      </c>
      <c r="T18" s="1264"/>
      <c r="U18" s="1419"/>
      <c r="V18" s="1264"/>
      <c r="W18" s="1419"/>
    </row>
    <row r="19" spans="1:45">
      <c r="A19" s="1412"/>
      <c r="B19" s="1154" t="s">
        <v>736</v>
      </c>
      <c r="C19" s="446"/>
      <c r="D19" s="422"/>
      <c r="E19" s="422"/>
      <c r="F19" s="418"/>
      <c r="G19" s="423"/>
      <c r="H19" s="1264"/>
      <c r="I19" s="1419"/>
      <c r="J19" s="1264"/>
      <c r="K19" s="1419"/>
      <c r="L19" s="1264"/>
      <c r="M19" s="1419"/>
      <c r="N19" s="1264"/>
      <c r="O19" s="1420"/>
      <c r="P19" s="1264"/>
      <c r="Q19" s="1419"/>
      <c r="R19" s="1264"/>
      <c r="S19" s="1419"/>
      <c r="T19" s="1264"/>
      <c r="U19" s="1419"/>
      <c r="V19" s="1264"/>
      <c r="W19" s="1419"/>
    </row>
    <row r="20" spans="1:45">
      <c r="A20" s="1097"/>
      <c r="B20" s="1555" t="s">
        <v>737</v>
      </c>
      <c r="C20" s="447"/>
      <c r="D20" s="425"/>
      <c r="E20" s="425"/>
      <c r="F20" s="426"/>
      <c r="G20" s="427"/>
      <c r="H20" s="1156"/>
      <c r="I20" s="1422"/>
      <c r="J20" s="1156"/>
      <c r="K20" s="1422">
        <v>4535195</v>
      </c>
      <c r="L20" s="1156"/>
      <c r="M20" s="1422">
        <v>5051591</v>
      </c>
      <c r="N20" s="1156"/>
      <c r="O20" s="1423">
        <v>5832500</v>
      </c>
      <c r="P20" s="1156"/>
      <c r="Q20" s="1422">
        <v>6476420</v>
      </c>
      <c r="R20" s="1156"/>
      <c r="S20" s="1422">
        <v>7095841</v>
      </c>
      <c r="T20" s="1156"/>
      <c r="U20" s="1422">
        <v>7898638</v>
      </c>
      <c r="V20" s="1156"/>
      <c r="W20" s="1422">
        <v>7949235</v>
      </c>
    </row>
    <row r="21" spans="1:45" ht="25.5">
      <c r="A21" s="1412"/>
      <c r="B21" s="1556" t="s">
        <v>1654</v>
      </c>
      <c r="C21" s="70"/>
      <c r="D21" s="86"/>
      <c r="E21" s="86"/>
      <c r="F21" s="280"/>
      <c r="G21" s="274"/>
      <c r="H21" s="1264" t="s">
        <v>682</v>
      </c>
      <c r="I21" s="428"/>
      <c r="J21" s="1264" t="s">
        <v>682</v>
      </c>
      <c r="K21" s="428"/>
      <c r="L21" s="1264" t="s">
        <v>727</v>
      </c>
      <c r="M21" s="428"/>
      <c r="N21" s="1264" t="s">
        <v>727</v>
      </c>
      <c r="O21" s="428"/>
      <c r="P21" s="1264" t="s">
        <v>727</v>
      </c>
      <c r="Q21" s="428"/>
      <c r="R21" s="1264" t="s">
        <v>727</v>
      </c>
      <c r="S21" s="428"/>
      <c r="T21" s="1264" t="s">
        <v>727</v>
      </c>
      <c r="U21" s="428"/>
      <c r="V21" s="1264" t="s">
        <v>727</v>
      </c>
      <c r="W21" s="428"/>
    </row>
    <row r="22" spans="1:45" s="69" customFormat="1">
      <c r="A22" s="1097"/>
      <c r="B22" s="1556" t="s">
        <v>1655</v>
      </c>
      <c r="C22" s="415"/>
      <c r="D22" s="422"/>
      <c r="E22" s="422"/>
      <c r="F22" s="429"/>
      <c r="G22" s="423"/>
      <c r="H22" s="1264" t="s">
        <v>682</v>
      </c>
      <c r="I22" s="1106">
        <v>3965000</v>
      </c>
      <c r="J22" s="1264" t="s">
        <v>682</v>
      </c>
      <c r="K22" s="1106"/>
      <c r="L22" s="1264" t="s">
        <v>727</v>
      </c>
      <c r="M22" s="1107"/>
      <c r="N22" s="1264" t="s">
        <v>727</v>
      </c>
      <c r="O22" s="1107"/>
      <c r="P22" s="1264" t="s">
        <v>727</v>
      </c>
      <c r="Q22" s="1107"/>
      <c r="R22" s="1264" t="s">
        <v>727</v>
      </c>
      <c r="S22" s="1107"/>
      <c r="T22" s="1264" t="s">
        <v>727</v>
      </c>
      <c r="U22" s="1106"/>
      <c r="V22" s="1264" t="s">
        <v>727</v>
      </c>
      <c r="W22" s="1107"/>
      <c r="X22"/>
      <c r="Y22"/>
      <c r="Z22"/>
      <c r="AA22"/>
      <c r="AB22"/>
      <c r="AC22"/>
      <c r="AD22"/>
      <c r="AE22"/>
      <c r="AF22"/>
      <c r="AG22"/>
      <c r="AH22"/>
      <c r="AI22"/>
      <c r="AJ22"/>
      <c r="AK22"/>
      <c r="AL22"/>
      <c r="AM22"/>
      <c r="AN22"/>
      <c r="AO22"/>
      <c r="AP22"/>
      <c r="AQ22"/>
      <c r="AR22"/>
      <c r="AS22"/>
    </row>
    <row r="23" spans="1:45">
      <c r="A23" s="1412"/>
      <c r="B23" s="1557" t="s">
        <v>1656</v>
      </c>
      <c r="C23" s="1548"/>
      <c r="D23" s="1400"/>
      <c r="E23" s="1435"/>
      <c r="F23" s="1401"/>
      <c r="G23" s="1402"/>
      <c r="H23" s="1264" t="s">
        <v>682</v>
      </c>
      <c r="I23" s="1419"/>
      <c r="J23" s="1264" t="s">
        <v>682</v>
      </c>
      <c r="K23" s="1419"/>
      <c r="L23" s="1264" t="s">
        <v>727</v>
      </c>
      <c r="M23" s="1419"/>
      <c r="N23" s="1264" t="s">
        <v>727</v>
      </c>
      <c r="O23" s="1419"/>
      <c r="P23" s="1264" t="s">
        <v>727</v>
      </c>
      <c r="Q23" s="1419"/>
      <c r="R23" s="1264" t="s">
        <v>727</v>
      </c>
      <c r="S23" s="1419"/>
      <c r="T23" s="1264" t="s">
        <v>727</v>
      </c>
      <c r="U23" s="1419"/>
      <c r="V23" s="1264" t="s">
        <v>727</v>
      </c>
      <c r="W23" s="1419"/>
    </row>
    <row r="24" spans="1:45" ht="25.5">
      <c r="A24" s="1097"/>
      <c r="B24" s="1556" t="s">
        <v>1657</v>
      </c>
      <c r="C24" s="415"/>
      <c r="D24" s="430"/>
      <c r="E24" s="422"/>
      <c r="F24" s="431"/>
      <c r="G24" s="1402"/>
      <c r="H24" s="1264" t="s">
        <v>682</v>
      </c>
      <c r="I24" s="1419"/>
      <c r="J24" s="1264" t="s">
        <v>682</v>
      </c>
      <c r="K24" s="1419"/>
      <c r="L24" s="1264" t="s">
        <v>727</v>
      </c>
      <c r="M24" s="1419"/>
      <c r="N24" s="1264" t="s">
        <v>727</v>
      </c>
      <c r="O24" s="1419"/>
      <c r="P24" s="1264" t="s">
        <v>727</v>
      </c>
      <c r="Q24" s="1419"/>
      <c r="R24" s="1264" t="s">
        <v>727</v>
      </c>
      <c r="S24" s="1419"/>
      <c r="T24" s="1264" t="s">
        <v>727</v>
      </c>
      <c r="U24" s="1419"/>
      <c r="V24" s="1264" t="s">
        <v>727</v>
      </c>
      <c r="W24" s="1419"/>
    </row>
    <row r="25" spans="1:45">
      <c r="A25" s="1412"/>
      <c r="B25" s="1556" t="s">
        <v>1658</v>
      </c>
      <c r="C25" s="415"/>
      <c r="D25" s="430"/>
      <c r="E25" s="422"/>
      <c r="F25" s="431"/>
      <c r="G25" s="1402"/>
      <c r="H25" s="1264" t="s">
        <v>682</v>
      </c>
      <c r="I25" s="1419"/>
      <c r="J25" s="1264" t="s">
        <v>682</v>
      </c>
      <c r="K25" s="1419"/>
      <c r="L25" s="1264" t="s">
        <v>727</v>
      </c>
      <c r="M25" s="1419"/>
      <c r="N25" s="1264" t="s">
        <v>727</v>
      </c>
      <c r="O25" s="1419"/>
      <c r="P25" s="1264" t="s">
        <v>727</v>
      </c>
      <c r="Q25" s="1419"/>
      <c r="R25" s="1264" t="s">
        <v>727</v>
      </c>
      <c r="S25" s="1419"/>
      <c r="T25" s="1264" t="s">
        <v>727</v>
      </c>
      <c r="U25" s="1419"/>
      <c r="V25" s="1264" t="s">
        <v>727</v>
      </c>
      <c r="W25" s="1419"/>
    </row>
    <row r="26" spans="1:45" ht="25.5">
      <c r="A26" s="1097"/>
      <c r="B26" s="1556" t="s">
        <v>1659</v>
      </c>
      <c r="C26" s="415"/>
      <c r="D26" s="430"/>
      <c r="E26" s="422"/>
      <c r="F26" s="431"/>
      <c r="G26" s="1402"/>
      <c r="H26" s="1264" t="s">
        <v>682</v>
      </c>
      <c r="I26" s="1419"/>
      <c r="J26" s="1264" t="s">
        <v>682</v>
      </c>
      <c r="K26" s="1419"/>
      <c r="L26" s="1264" t="s">
        <v>727</v>
      </c>
      <c r="M26" s="1419"/>
      <c r="N26" s="1264" t="s">
        <v>727</v>
      </c>
      <c r="O26" s="1419"/>
      <c r="P26" s="1264" t="s">
        <v>727</v>
      </c>
      <c r="Q26" s="1419"/>
      <c r="R26" s="1264" t="s">
        <v>727</v>
      </c>
      <c r="S26" s="1419"/>
      <c r="T26" s="1264" t="s">
        <v>727</v>
      </c>
      <c r="U26" s="1419"/>
      <c r="V26" s="1264" t="s">
        <v>727</v>
      </c>
      <c r="W26" s="1419"/>
    </row>
    <row r="27" spans="1:45">
      <c r="A27" s="1412"/>
      <c r="B27" s="1556" t="s">
        <v>1660</v>
      </c>
      <c r="C27" s="415"/>
      <c r="D27" s="430"/>
      <c r="E27" s="422"/>
      <c r="F27" s="431"/>
      <c r="G27" s="1402"/>
      <c r="H27" s="1264" t="s">
        <v>682</v>
      </c>
      <c r="I27" s="1419"/>
      <c r="J27" s="1264" t="s">
        <v>682</v>
      </c>
      <c r="K27" s="1419"/>
      <c r="L27" s="1264" t="s">
        <v>727</v>
      </c>
      <c r="M27" s="1419"/>
      <c r="N27" s="1264" t="s">
        <v>727</v>
      </c>
      <c r="O27" s="1419"/>
      <c r="P27" s="1264" t="s">
        <v>727</v>
      </c>
      <c r="Q27" s="1419"/>
      <c r="R27" s="1264" t="s">
        <v>727</v>
      </c>
      <c r="S27" s="1419"/>
      <c r="T27" s="1264" t="s">
        <v>727</v>
      </c>
      <c r="U27" s="1419"/>
      <c r="V27" s="1264" t="s">
        <v>727</v>
      </c>
      <c r="W27" s="1419"/>
    </row>
    <row r="28" spans="1:45" ht="14.25" customHeight="1">
      <c r="A28" s="1097"/>
      <c r="B28" s="1556" t="s">
        <v>1661</v>
      </c>
      <c r="C28" s="415"/>
      <c r="D28" s="430"/>
      <c r="E28" s="422"/>
      <c r="F28" s="431"/>
      <c r="G28" s="1402"/>
      <c r="H28" s="1264" t="s">
        <v>682</v>
      </c>
      <c r="I28" s="1419"/>
      <c r="J28" s="1264" t="s">
        <v>682</v>
      </c>
      <c r="K28" s="1419"/>
      <c r="L28" s="1264" t="s">
        <v>727</v>
      </c>
      <c r="M28" s="1419"/>
      <c r="N28" s="1264" t="s">
        <v>727</v>
      </c>
      <c r="O28" s="1419"/>
      <c r="P28" s="1264" t="s">
        <v>727</v>
      </c>
      <c r="Q28" s="1419"/>
      <c r="R28" s="1264" t="s">
        <v>727</v>
      </c>
      <c r="S28" s="1419"/>
      <c r="T28" s="1264" t="s">
        <v>727</v>
      </c>
      <c r="U28" s="1419"/>
      <c r="V28" s="1264" t="s">
        <v>727</v>
      </c>
      <c r="W28" s="1419"/>
    </row>
    <row r="29" spans="1:45" ht="14.25" customHeight="1">
      <c r="A29" s="1412"/>
      <c r="B29" s="1558" t="s">
        <v>1662</v>
      </c>
      <c r="C29" s="415" t="s">
        <v>1663</v>
      </c>
      <c r="D29" s="430"/>
      <c r="E29" s="422"/>
      <c r="F29" s="431"/>
      <c r="G29" s="1402"/>
      <c r="H29" s="1264" t="s">
        <v>682</v>
      </c>
      <c r="I29" s="1419"/>
      <c r="J29" s="1264" t="s">
        <v>682</v>
      </c>
      <c r="K29" s="1419"/>
      <c r="L29" s="1264" t="s">
        <v>727</v>
      </c>
      <c r="M29" s="1419"/>
      <c r="N29" s="1264" t="s">
        <v>727</v>
      </c>
      <c r="O29" s="1419"/>
      <c r="P29" s="1264" t="s">
        <v>727</v>
      </c>
      <c r="Q29" s="1419"/>
      <c r="R29" s="1264" t="s">
        <v>727</v>
      </c>
      <c r="S29" s="1419"/>
      <c r="T29" s="1264" t="s">
        <v>727</v>
      </c>
      <c r="U29" s="1419"/>
      <c r="V29" s="1264" t="s">
        <v>727</v>
      </c>
      <c r="W29" s="1419"/>
    </row>
    <row r="30" spans="1:45" ht="14.25" customHeight="1">
      <c r="A30" s="1412"/>
      <c r="B30" s="1558" t="s">
        <v>1664</v>
      </c>
      <c r="C30" s="415" t="s">
        <v>1663</v>
      </c>
      <c r="D30" s="430"/>
      <c r="E30" s="422"/>
      <c r="F30" s="431"/>
      <c r="G30" s="1402"/>
      <c r="H30" s="1264" t="s">
        <v>682</v>
      </c>
      <c r="I30" s="1419"/>
      <c r="J30" s="1264" t="s">
        <v>682</v>
      </c>
      <c r="K30" s="1419"/>
      <c r="L30" s="1264" t="s">
        <v>727</v>
      </c>
      <c r="M30" s="1419"/>
      <c r="N30" s="1264" t="s">
        <v>727</v>
      </c>
      <c r="O30" s="1419"/>
      <c r="P30" s="1264" t="s">
        <v>727</v>
      </c>
      <c r="Q30" s="1419"/>
      <c r="R30" s="1264" t="s">
        <v>727</v>
      </c>
      <c r="S30" s="1419"/>
      <c r="T30" s="1264" t="s">
        <v>727</v>
      </c>
      <c r="U30" s="1419"/>
      <c r="V30" s="1264" t="s">
        <v>727</v>
      </c>
      <c r="W30" s="1419"/>
    </row>
    <row r="31" spans="1:45" ht="14.25" customHeight="1">
      <c r="A31" s="1412"/>
      <c r="B31" s="1558" t="s">
        <v>1665</v>
      </c>
      <c r="C31" s="415" t="s">
        <v>1663</v>
      </c>
      <c r="D31" s="430"/>
      <c r="E31" s="422"/>
      <c r="F31" s="431"/>
      <c r="G31" s="1402"/>
      <c r="H31" s="1264" t="s">
        <v>682</v>
      </c>
      <c r="I31" s="1419"/>
      <c r="J31" s="1264" t="s">
        <v>682</v>
      </c>
      <c r="K31" s="1419"/>
      <c r="L31" s="1264" t="s">
        <v>727</v>
      </c>
      <c r="M31" s="1419"/>
      <c r="N31" s="1264" t="s">
        <v>727</v>
      </c>
      <c r="O31" s="1419"/>
      <c r="P31" s="1264" t="s">
        <v>727</v>
      </c>
      <c r="Q31" s="1419"/>
      <c r="R31" s="1264" t="s">
        <v>727</v>
      </c>
      <c r="S31" s="1419"/>
      <c r="T31" s="1264" t="s">
        <v>727</v>
      </c>
      <c r="U31" s="1419"/>
      <c r="V31" s="1264" t="s">
        <v>727</v>
      </c>
      <c r="W31" s="1419"/>
    </row>
    <row r="32" spans="1:45" ht="14.25" customHeight="1">
      <c r="A32" s="1412"/>
      <c r="B32" s="1558" t="s">
        <v>1666</v>
      </c>
      <c r="C32" s="415" t="s">
        <v>1663</v>
      </c>
      <c r="D32" s="430"/>
      <c r="E32" s="422"/>
      <c r="F32" s="431"/>
      <c r="G32" s="1402"/>
      <c r="H32" s="1264" t="s">
        <v>682</v>
      </c>
      <c r="I32" s="1419"/>
      <c r="J32" s="1264" t="s">
        <v>682</v>
      </c>
      <c r="K32" s="1419"/>
      <c r="L32" s="1264" t="s">
        <v>727</v>
      </c>
      <c r="M32" s="1419"/>
      <c r="N32" s="1264" t="s">
        <v>727</v>
      </c>
      <c r="O32" s="1419"/>
      <c r="P32" s="1264" t="s">
        <v>727</v>
      </c>
      <c r="Q32" s="1419"/>
      <c r="R32" s="1264" t="s">
        <v>727</v>
      </c>
      <c r="S32" s="1419"/>
      <c r="T32" s="1264" t="s">
        <v>727</v>
      </c>
      <c r="U32" s="1419"/>
      <c r="V32" s="1264" t="s">
        <v>727</v>
      </c>
      <c r="W32" s="1419"/>
    </row>
    <row r="33" spans="1:23" ht="14.25" customHeight="1">
      <c r="A33" s="1412"/>
      <c r="B33" s="1558" t="s">
        <v>1667</v>
      </c>
      <c r="C33" s="415" t="s">
        <v>1663</v>
      </c>
      <c r="D33" s="430"/>
      <c r="E33" s="422"/>
      <c r="F33" s="431"/>
      <c r="G33" s="1402"/>
      <c r="H33" s="1264" t="s">
        <v>682</v>
      </c>
      <c r="I33" s="1419"/>
      <c r="J33" s="1264" t="s">
        <v>682</v>
      </c>
      <c r="K33" s="1419"/>
      <c r="L33" s="1264" t="s">
        <v>727</v>
      </c>
      <c r="M33" s="1419"/>
      <c r="N33" s="1264" t="s">
        <v>727</v>
      </c>
      <c r="O33" s="1419"/>
      <c r="P33" s="1264" t="s">
        <v>727</v>
      </c>
      <c r="Q33" s="1419"/>
      <c r="R33" s="1264" t="s">
        <v>727</v>
      </c>
      <c r="S33" s="1419"/>
      <c r="T33" s="1264" t="s">
        <v>727</v>
      </c>
      <c r="U33" s="1419"/>
      <c r="V33" s="1264" t="s">
        <v>727</v>
      </c>
      <c r="W33" s="1419"/>
    </row>
    <row r="34" spans="1:23" ht="14.25" customHeight="1">
      <c r="A34" s="1412"/>
      <c r="B34" s="1558" t="s">
        <v>1668</v>
      </c>
      <c r="C34" s="415"/>
      <c r="D34" s="430"/>
      <c r="E34" s="422"/>
      <c r="F34" s="431"/>
      <c r="G34" s="1402"/>
      <c r="H34" s="1264" t="s">
        <v>682</v>
      </c>
      <c r="I34" s="1419"/>
      <c r="J34" s="1264" t="s">
        <v>682</v>
      </c>
      <c r="K34" s="1419"/>
      <c r="L34" s="1264" t="s">
        <v>727</v>
      </c>
      <c r="M34" s="1419"/>
      <c r="N34" s="1264" t="s">
        <v>727</v>
      </c>
      <c r="O34" s="1419"/>
      <c r="P34" s="1264" t="s">
        <v>727</v>
      </c>
      <c r="Q34" s="1419"/>
      <c r="R34" s="1264" t="s">
        <v>727</v>
      </c>
      <c r="S34" s="1419"/>
      <c r="T34" s="1264" t="s">
        <v>727</v>
      </c>
      <c r="U34" s="1419"/>
      <c r="V34" s="1264"/>
      <c r="W34" s="1419"/>
    </row>
    <row r="35" spans="1:23">
      <c r="A35" s="1412"/>
      <c r="B35" s="1556"/>
      <c r="C35" s="415"/>
      <c r="D35" s="430"/>
      <c r="E35" s="422"/>
      <c r="F35" s="431"/>
      <c r="G35" s="1402"/>
      <c r="H35" s="1264"/>
      <c r="I35" s="1419"/>
      <c r="J35" s="1264"/>
      <c r="K35" s="1419"/>
      <c r="L35" s="1264"/>
      <c r="M35" s="1419"/>
      <c r="N35" s="1264"/>
      <c r="O35" s="1419"/>
      <c r="P35" s="1264"/>
      <c r="Q35" s="1419"/>
      <c r="R35" s="1264"/>
      <c r="S35" s="1419"/>
      <c r="T35" s="1264"/>
      <c r="U35" s="1419"/>
      <c r="V35" s="1264"/>
      <c r="W35" s="1419"/>
    </row>
    <row r="36" spans="1:23">
      <c r="A36" s="1412"/>
      <c r="B36" s="1559" t="s">
        <v>1669</v>
      </c>
      <c r="C36" s="415"/>
      <c r="D36" s="430"/>
      <c r="E36" s="422"/>
      <c r="F36" s="431"/>
      <c r="G36" s="1402"/>
      <c r="H36" s="1264"/>
      <c r="I36" s="1419"/>
      <c r="J36" s="1264"/>
      <c r="K36" s="1419"/>
      <c r="L36" s="1264"/>
      <c r="M36" s="1419"/>
      <c r="N36" s="1264"/>
      <c r="O36" s="1419"/>
      <c r="P36" s="1264" t="s">
        <v>727</v>
      </c>
      <c r="Q36" s="1419"/>
      <c r="R36" s="1264" t="s">
        <v>727</v>
      </c>
      <c r="S36" s="1419"/>
      <c r="T36" s="1264" t="s">
        <v>727</v>
      </c>
      <c r="U36" s="1419"/>
      <c r="V36" s="1264" t="s">
        <v>727</v>
      </c>
      <c r="W36" s="1419"/>
    </row>
    <row r="37" spans="1:23">
      <c r="A37" s="1412"/>
      <c r="B37" s="1556" t="s">
        <v>1670</v>
      </c>
      <c r="C37" s="415" t="s">
        <v>1671</v>
      </c>
      <c r="D37" s="430"/>
      <c r="E37" s="422"/>
      <c r="F37" s="431"/>
      <c r="G37" s="1402"/>
      <c r="H37" s="1264" t="s">
        <v>682</v>
      </c>
      <c r="I37" s="1419"/>
      <c r="J37" s="1264" t="s">
        <v>682</v>
      </c>
      <c r="K37" s="1419"/>
      <c r="L37" s="1264" t="s">
        <v>727</v>
      </c>
      <c r="M37" s="1419"/>
      <c r="N37" s="1264" t="s">
        <v>727</v>
      </c>
      <c r="O37" s="1419"/>
      <c r="P37" s="1264" t="s">
        <v>727</v>
      </c>
      <c r="Q37" s="1419"/>
      <c r="R37" s="1264" t="s">
        <v>727</v>
      </c>
      <c r="S37" s="1419"/>
      <c r="T37" s="1264" t="s">
        <v>727</v>
      </c>
      <c r="U37" s="1419"/>
      <c r="V37" s="1264" t="s">
        <v>727</v>
      </c>
      <c r="W37" s="1419"/>
    </row>
    <row r="38" spans="1:23">
      <c r="A38" s="1412"/>
      <c r="B38" s="1556" t="s">
        <v>1672</v>
      </c>
      <c r="C38" s="415"/>
      <c r="D38" s="430"/>
      <c r="E38" s="422"/>
      <c r="F38" s="431"/>
      <c r="G38" s="1402"/>
      <c r="H38" s="1264" t="s">
        <v>682</v>
      </c>
      <c r="I38" s="1419"/>
      <c r="J38" s="1264" t="s">
        <v>682</v>
      </c>
      <c r="K38" s="1419"/>
      <c r="L38" s="1264" t="s">
        <v>727</v>
      </c>
      <c r="M38" s="1419"/>
      <c r="N38" s="1264" t="s">
        <v>727</v>
      </c>
      <c r="O38" s="1419"/>
      <c r="P38" s="1264" t="s">
        <v>727</v>
      </c>
      <c r="Q38" s="1419"/>
      <c r="R38" s="1264" t="s">
        <v>727</v>
      </c>
      <c r="S38" s="1419"/>
      <c r="T38" s="1264" t="s">
        <v>727</v>
      </c>
      <c r="U38" s="1419"/>
      <c r="V38" s="1264" t="s">
        <v>727</v>
      </c>
      <c r="W38" s="1419"/>
    </row>
    <row r="39" spans="1:23">
      <c r="A39" s="1412"/>
      <c r="B39" s="1556" t="s">
        <v>1673</v>
      </c>
      <c r="C39" s="415"/>
      <c r="D39" s="430"/>
      <c r="E39" s="422"/>
      <c r="F39" s="431"/>
      <c r="G39" s="1402"/>
      <c r="H39" s="1264" t="s">
        <v>682</v>
      </c>
      <c r="I39" s="1419"/>
      <c r="J39" s="1264" t="s">
        <v>682</v>
      </c>
      <c r="K39" s="1419"/>
      <c r="L39" s="1264" t="s">
        <v>727</v>
      </c>
      <c r="M39" s="1419"/>
      <c r="N39" s="1264" t="s">
        <v>727</v>
      </c>
      <c r="O39" s="1419"/>
      <c r="P39" s="1264" t="s">
        <v>727</v>
      </c>
      <c r="Q39" s="1419"/>
      <c r="R39" s="1264" t="s">
        <v>727</v>
      </c>
      <c r="S39" s="1419"/>
      <c r="T39" s="1264" t="s">
        <v>727</v>
      </c>
      <c r="U39" s="1419"/>
      <c r="V39" s="1264" t="s">
        <v>727</v>
      </c>
      <c r="W39" s="1419" t="s">
        <v>1674</v>
      </c>
    </row>
    <row r="40" spans="1:23">
      <c r="A40" s="1412"/>
      <c r="B40" s="1556" t="s">
        <v>1675</v>
      </c>
      <c r="C40" s="415"/>
      <c r="D40" s="430"/>
      <c r="E40" s="422"/>
      <c r="F40" s="431"/>
      <c r="G40" s="1402"/>
      <c r="H40" s="1264" t="s">
        <v>682</v>
      </c>
      <c r="I40" s="1419"/>
      <c r="J40" s="1264" t="s">
        <v>682</v>
      </c>
      <c r="K40" s="1419"/>
      <c r="L40" s="1264" t="s">
        <v>727</v>
      </c>
      <c r="M40" s="1419"/>
      <c r="N40" s="1264" t="s">
        <v>727</v>
      </c>
      <c r="O40" s="1419"/>
      <c r="P40" s="1264" t="s">
        <v>727</v>
      </c>
      <c r="Q40" s="1419"/>
      <c r="R40" s="1264" t="s">
        <v>727</v>
      </c>
      <c r="S40" s="1419"/>
      <c r="T40" s="1264" t="s">
        <v>727</v>
      </c>
      <c r="U40" s="1419"/>
      <c r="V40" s="1264" t="s">
        <v>727</v>
      </c>
      <c r="W40" s="1419"/>
    </row>
    <row r="41" spans="1:23">
      <c r="A41" s="1412"/>
      <c r="B41" s="1558" t="s">
        <v>1676</v>
      </c>
      <c r="C41" s="415"/>
      <c r="D41" s="430"/>
      <c r="E41" s="422"/>
      <c r="F41" s="431"/>
      <c r="G41" s="1402"/>
      <c r="H41" s="1264" t="s">
        <v>682</v>
      </c>
      <c r="I41" s="1419"/>
      <c r="J41" s="1264" t="s">
        <v>682</v>
      </c>
      <c r="K41" s="1419"/>
      <c r="L41" s="1264" t="s">
        <v>727</v>
      </c>
      <c r="M41" s="1419"/>
      <c r="N41" s="1264" t="s">
        <v>727</v>
      </c>
      <c r="O41" s="1419"/>
      <c r="P41" s="1264" t="s">
        <v>730</v>
      </c>
      <c r="Q41" s="1419" t="s">
        <v>1674</v>
      </c>
      <c r="R41" s="1264" t="s">
        <v>727</v>
      </c>
      <c r="S41" s="1419"/>
      <c r="T41" s="1264" t="s">
        <v>727</v>
      </c>
      <c r="U41" s="1419"/>
      <c r="V41" s="1264" t="s">
        <v>727</v>
      </c>
      <c r="W41" s="1419" t="s">
        <v>1674</v>
      </c>
    </row>
    <row r="42" spans="1:23">
      <c r="A42" s="1412"/>
      <c r="B42" s="1556" t="s">
        <v>1677</v>
      </c>
      <c r="C42" s="415"/>
      <c r="D42" s="430"/>
      <c r="E42" s="422"/>
      <c r="F42" s="431"/>
      <c r="G42" s="1402"/>
      <c r="H42" s="1264" t="s">
        <v>727</v>
      </c>
      <c r="I42" s="1419">
        <f>355000+35000</f>
        <v>390000</v>
      </c>
      <c r="J42" s="1264" t="s">
        <v>682</v>
      </c>
      <c r="K42" s="1419"/>
      <c r="L42" s="1264" t="s">
        <v>727</v>
      </c>
      <c r="M42" s="1419"/>
      <c r="N42" s="1264" t="s">
        <v>727</v>
      </c>
      <c r="O42" s="1419"/>
      <c r="P42" s="1264" t="s">
        <v>730</v>
      </c>
      <c r="Q42" s="1419" t="s">
        <v>1674</v>
      </c>
      <c r="R42" s="1264" t="s">
        <v>727</v>
      </c>
      <c r="S42" s="1419"/>
      <c r="T42" s="1264" t="s">
        <v>727</v>
      </c>
      <c r="U42" s="1419"/>
      <c r="V42" s="1264" t="s">
        <v>727</v>
      </c>
      <c r="W42" s="1419" t="s">
        <v>1674</v>
      </c>
    </row>
    <row r="43" spans="1:23">
      <c r="A43" s="1412"/>
      <c r="B43" s="1556" t="s">
        <v>1678</v>
      </c>
      <c r="C43" s="415"/>
      <c r="D43" s="430"/>
      <c r="E43" s="422"/>
      <c r="F43" s="431"/>
      <c r="G43" s="1402"/>
      <c r="H43" s="1264" t="s">
        <v>682</v>
      </c>
      <c r="I43" s="1419"/>
      <c r="J43" s="1264" t="s">
        <v>682</v>
      </c>
      <c r="K43" s="1419"/>
      <c r="L43" s="1264" t="s">
        <v>727</v>
      </c>
      <c r="M43" s="1419"/>
      <c r="N43" s="1264" t="s">
        <v>727</v>
      </c>
      <c r="O43" s="1419"/>
      <c r="P43" s="1264" t="s">
        <v>727</v>
      </c>
      <c r="Q43" s="1419"/>
      <c r="R43" s="1264" t="s">
        <v>727</v>
      </c>
      <c r="S43" s="1419"/>
      <c r="T43" s="1264" t="s">
        <v>727</v>
      </c>
      <c r="U43" s="1419"/>
      <c r="V43" s="1264" t="s">
        <v>727</v>
      </c>
      <c r="W43" s="1419"/>
    </row>
    <row r="44" spans="1:23">
      <c r="A44" s="1412"/>
      <c r="B44" s="1556" t="s">
        <v>1679</v>
      </c>
      <c r="C44" s="415"/>
      <c r="D44" s="430"/>
      <c r="E44" s="422"/>
      <c r="F44" s="431"/>
      <c r="G44" s="1402"/>
      <c r="H44" s="1264" t="s">
        <v>682</v>
      </c>
      <c r="I44" s="1419"/>
      <c r="J44" s="1264" t="s">
        <v>682</v>
      </c>
      <c r="K44" s="1419"/>
      <c r="L44" s="1264" t="s">
        <v>727</v>
      </c>
      <c r="M44" s="1419"/>
      <c r="N44" s="1264" t="s">
        <v>727</v>
      </c>
      <c r="O44" s="1419"/>
      <c r="P44" s="1264" t="s">
        <v>730</v>
      </c>
      <c r="Q44" s="1419" t="s">
        <v>1674</v>
      </c>
      <c r="R44" s="1264" t="s">
        <v>727</v>
      </c>
      <c r="S44" s="1419"/>
      <c r="T44" s="1264" t="s">
        <v>727</v>
      </c>
      <c r="U44" s="1419"/>
      <c r="V44" s="1264" t="s">
        <v>727</v>
      </c>
      <c r="W44" s="1419"/>
    </row>
    <row r="45" spans="1:23">
      <c r="A45" s="1412"/>
      <c r="B45" s="1556" t="s">
        <v>1680</v>
      </c>
      <c r="C45" s="415"/>
      <c r="D45" s="430"/>
      <c r="E45" s="422"/>
      <c r="F45" s="431"/>
      <c r="G45" s="1402"/>
      <c r="H45" s="1264" t="s">
        <v>682</v>
      </c>
      <c r="I45" s="1419"/>
      <c r="J45" s="1264" t="s">
        <v>682</v>
      </c>
      <c r="K45" s="1419"/>
      <c r="L45" s="1264" t="s">
        <v>727</v>
      </c>
      <c r="M45" s="1419"/>
      <c r="N45" s="1264" t="s">
        <v>727</v>
      </c>
      <c r="O45" s="1419"/>
      <c r="P45" s="1264" t="s">
        <v>727</v>
      </c>
      <c r="Q45" s="1419"/>
      <c r="R45" s="1264" t="s">
        <v>727</v>
      </c>
      <c r="S45" s="1419"/>
      <c r="T45" s="1264" t="s">
        <v>727</v>
      </c>
      <c r="U45" s="1419"/>
      <c r="V45" s="1264" t="s">
        <v>727</v>
      </c>
      <c r="W45" s="1419"/>
    </row>
    <row r="46" spans="1:23">
      <c r="A46" s="1412"/>
      <c r="B46" s="1556" t="s">
        <v>1681</v>
      </c>
      <c r="C46" s="415" t="s">
        <v>1682</v>
      </c>
      <c r="D46" s="430"/>
      <c r="E46" s="422"/>
      <c r="F46" s="431"/>
      <c r="G46" s="1402"/>
      <c r="H46" s="1264" t="s">
        <v>682</v>
      </c>
      <c r="I46" s="1419"/>
      <c r="J46" s="1264" t="s">
        <v>682</v>
      </c>
      <c r="K46" s="1419"/>
      <c r="L46" s="1264" t="s">
        <v>680</v>
      </c>
      <c r="M46" s="1419"/>
      <c r="N46" s="1264" t="s">
        <v>730</v>
      </c>
      <c r="O46" s="1419"/>
      <c r="P46" s="1264" t="s">
        <v>730</v>
      </c>
      <c r="Q46" s="1419" t="s">
        <v>1674</v>
      </c>
      <c r="R46" s="1264" t="s">
        <v>727</v>
      </c>
      <c r="S46" s="1419"/>
      <c r="T46" s="1264" t="s">
        <v>727</v>
      </c>
      <c r="U46" s="1419"/>
      <c r="V46" s="1264" t="s">
        <v>727</v>
      </c>
      <c r="W46" s="1419"/>
    </row>
    <row r="47" spans="1:23">
      <c r="A47" s="1412"/>
      <c r="B47" s="1556" t="s">
        <v>1683</v>
      </c>
      <c r="C47" s="415"/>
      <c r="D47" s="430"/>
      <c r="E47" s="422"/>
      <c r="F47" s="431"/>
      <c r="G47" s="1402"/>
      <c r="H47" s="1264" t="s">
        <v>727</v>
      </c>
      <c r="I47" s="1419"/>
      <c r="J47" s="1264" t="s">
        <v>682</v>
      </c>
      <c r="K47" s="1419"/>
      <c r="L47" s="1264" t="s">
        <v>727</v>
      </c>
      <c r="M47" s="1419"/>
      <c r="N47" s="1264" t="s">
        <v>727</v>
      </c>
      <c r="O47" s="1419"/>
      <c r="P47" s="1264"/>
      <c r="Q47" s="1419"/>
      <c r="R47" s="1264" t="s">
        <v>727</v>
      </c>
      <c r="S47" s="1419"/>
      <c r="T47" s="1264" t="s">
        <v>727</v>
      </c>
      <c r="U47" s="1419"/>
      <c r="V47" s="1264"/>
      <c r="W47" s="1419"/>
    </row>
    <row r="48" spans="1:23">
      <c r="A48" s="1412"/>
      <c r="B48" s="1556" t="s">
        <v>1684</v>
      </c>
      <c r="C48" s="415"/>
      <c r="D48" s="430"/>
      <c r="E48" s="422"/>
      <c r="F48" s="431"/>
      <c r="G48" s="1402"/>
      <c r="H48" s="1273" t="s">
        <v>1035</v>
      </c>
      <c r="I48" s="1430">
        <v>20000</v>
      </c>
      <c r="J48" s="1273" t="s">
        <v>1035</v>
      </c>
      <c r="K48" s="1430">
        <v>20000</v>
      </c>
      <c r="L48" s="1273" t="s">
        <v>1035</v>
      </c>
      <c r="M48" s="1430">
        <v>20000</v>
      </c>
      <c r="N48" s="1273" t="s">
        <v>1035</v>
      </c>
      <c r="O48" s="1430">
        <v>20000</v>
      </c>
      <c r="P48" s="1273" t="s">
        <v>1035</v>
      </c>
      <c r="Q48" s="1430">
        <v>20000</v>
      </c>
      <c r="R48" s="1264" t="s">
        <v>727</v>
      </c>
      <c r="S48" s="1430">
        <v>20000</v>
      </c>
      <c r="T48" s="1273" t="s">
        <v>1035</v>
      </c>
      <c r="U48" s="1430">
        <v>20000</v>
      </c>
      <c r="V48" s="1273" t="s">
        <v>1035</v>
      </c>
      <c r="W48" s="1430">
        <v>20000</v>
      </c>
    </row>
    <row r="49" spans="1:23">
      <c r="A49" s="1412"/>
      <c r="B49" s="1559" t="s">
        <v>1685</v>
      </c>
      <c r="C49" s="415" t="s">
        <v>1686</v>
      </c>
      <c r="D49" s="430"/>
      <c r="E49" s="422"/>
      <c r="F49" s="431"/>
      <c r="G49" s="1402"/>
      <c r="H49" s="1264"/>
      <c r="I49" s="1419"/>
      <c r="J49" s="1264"/>
      <c r="K49" s="1419"/>
      <c r="L49" s="1264"/>
      <c r="M49" s="1419"/>
      <c r="N49" s="1264"/>
      <c r="O49" s="1419"/>
      <c r="P49" s="1264"/>
      <c r="Q49" s="1419"/>
      <c r="R49" s="1264" t="s">
        <v>727</v>
      </c>
      <c r="S49" s="1419"/>
      <c r="T49" s="1264"/>
      <c r="U49" s="1419"/>
      <c r="V49" s="1264"/>
      <c r="W49" s="1419"/>
    </row>
    <row r="50" spans="1:23">
      <c r="A50" s="1412"/>
      <c r="B50" s="1556" t="s">
        <v>1687</v>
      </c>
      <c r="C50" s="415" t="s">
        <v>1688</v>
      </c>
      <c r="D50" s="430"/>
      <c r="E50" s="422"/>
      <c r="F50" s="431"/>
      <c r="G50" s="1402"/>
      <c r="H50" s="1264" t="s">
        <v>727</v>
      </c>
      <c r="I50" s="1419">
        <v>95950</v>
      </c>
      <c r="J50" s="1264" t="s">
        <v>727</v>
      </c>
      <c r="K50" s="1419"/>
      <c r="L50" s="1264" t="s">
        <v>727</v>
      </c>
      <c r="M50" s="1419"/>
      <c r="N50" s="1264" t="s">
        <v>727</v>
      </c>
      <c r="O50" s="1419"/>
      <c r="P50" s="1264" t="s">
        <v>727</v>
      </c>
      <c r="Q50" s="1419"/>
      <c r="R50" s="1264" t="s">
        <v>727</v>
      </c>
      <c r="S50" s="1419"/>
      <c r="T50" s="1264"/>
      <c r="U50" s="1419"/>
      <c r="V50" s="1264" t="s">
        <v>727</v>
      </c>
      <c r="W50" s="1419"/>
    </row>
    <row r="51" spans="1:23">
      <c r="A51" s="1412"/>
      <c r="B51" s="1556"/>
      <c r="C51" s="415"/>
      <c r="D51" s="430"/>
      <c r="E51" s="422"/>
      <c r="F51" s="431"/>
      <c r="G51" s="1402"/>
      <c r="H51" s="1264" t="s">
        <v>727</v>
      </c>
      <c r="I51" s="1419">
        <v>75000</v>
      </c>
      <c r="J51" s="1264"/>
      <c r="K51" s="1419"/>
      <c r="L51" s="1264"/>
      <c r="M51" s="1419"/>
      <c r="N51" s="1264"/>
      <c r="O51" s="1419"/>
      <c r="P51" s="1264"/>
      <c r="Q51" s="1419"/>
      <c r="R51" s="1264"/>
      <c r="S51" s="1419"/>
      <c r="T51" s="1264"/>
      <c r="U51" s="1419"/>
      <c r="V51" s="1264"/>
      <c r="W51" s="1419"/>
    </row>
    <row r="52" spans="1:23">
      <c r="A52" s="1412"/>
      <c r="B52" s="1163" t="s">
        <v>901</v>
      </c>
      <c r="C52" s="23"/>
      <c r="D52" s="87"/>
      <c r="E52" s="86"/>
      <c r="F52" s="431"/>
      <c r="G52" s="830"/>
      <c r="H52" s="1264" t="s">
        <v>727</v>
      </c>
      <c r="I52" s="1419"/>
      <c r="J52" s="1264" t="s">
        <v>727</v>
      </c>
      <c r="K52" s="1419"/>
      <c r="L52" s="1264" t="s">
        <v>727</v>
      </c>
      <c r="M52" s="1419"/>
      <c r="N52" s="1264" t="s">
        <v>727</v>
      </c>
      <c r="O52" s="1419"/>
      <c r="P52" s="1264" t="s">
        <v>727</v>
      </c>
      <c r="Q52" s="1419"/>
      <c r="R52" s="1264" t="s">
        <v>727</v>
      </c>
      <c r="S52" s="1419"/>
      <c r="T52" s="1264"/>
      <c r="U52" s="1419"/>
      <c r="V52" s="1264" t="s">
        <v>727</v>
      </c>
      <c r="W52" s="1419"/>
    </row>
    <row r="53" spans="1:23" ht="15.75" thickBot="1">
      <c r="A53" s="1412"/>
      <c r="B53" s="1163"/>
      <c r="C53" s="23"/>
      <c r="D53" s="87"/>
      <c r="E53" s="86"/>
      <c r="F53" s="431"/>
      <c r="G53" s="830"/>
      <c r="H53" s="1264"/>
      <c r="I53" s="1419"/>
      <c r="J53" s="1264"/>
      <c r="K53" s="1419"/>
      <c r="L53" s="1264"/>
      <c r="M53" s="1419"/>
      <c r="N53" s="1264"/>
      <c r="O53" s="1419"/>
      <c r="P53" s="1264"/>
      <c r="Q53" s="1419"/>
      <c r="R53" s="1264"/>
      <c r="S53" s="1419"/>
      <c r="T53" s="1264"/>
      <c r="U53" s="1419"/>
      <c r="V53" s="1264"/>
      <c r="W53" s="1419"/>
    </row>
    <row r="54" spans="1:23" ht="15.75" thickTop="1">
      <c r="A54" s="296"/>
      <c r="B54" s="301"/>
      <c r="C54" s="297"/>
      <c r="D54" s="15"/>
      <c r="E54" s="16"/>
      <c r="F54" s="282" t="s">
        <v>753</v>
      </c>
      <c r="G54" s="272"/>
      <c r="H54" s="273"/>
      <c r="I54" s="273">
        <f>SUM(I12:I53)</f>
        <v>4545950</v>
      </c>
      <c r="J54" s="273"/>
      <c r="K54" s="273">
        <f>SUM(K12:K53)</f>
        <v>4555195</v>
      </c>
      <c r="L54" s="273"/>
      <c r="M54" s="273">
        <f>SUM(M12:M53)</f>
        <v>5071591</v>
      </c>
      <c r="N54" s="273"/>
      <c r="O54" s="273">
        <f>SUM(O12:O53)</f>
        <v>5852500</v>
      </c>
      <c r="P54" s="273"/>
      <c r="Q54" s="273">
        <f>SUM(Q12:Q53)</f>
        <v>6496420</v>
      </c>
      <c r="R54" s="273"/>
      <c r="S54" s="273">
        <f>SUM(S12:S53)</f>
        <v>7115841</v>
      </c>
      <c r="T54" s="273"/>
      <c r="U54" s="273">
        <f>SUM(U12:U53)</f>
        <v>7918638</v>
      </c>
      <c r="V54" s="273"/>
      <c r="W54" s="273">
        <f>SUM(W12:W53)</f>
        <v>7969235</v>
      </c>
    </row>
    <row r="55" spans="1:23">
      <c r="A55" s="1114"/>
      <c r="B55" s="1164"/>
      <c r="C55" s="432"/>
      <c r="D55" s="433"/>
      <c r="E55" s="434"/>
      <c r="F55" s="435" t="s">
        <v>754</v>
      </c>
      <c r="G55" s="436"/>
      <c r="H55" s="1395">
        <v>5.0000000000000001E-3</v>
      </c>
      <c r="I55" s="1166"/>
      <c r="J55" s="1165">
        <v>0</v>
      </c>
      <c r="K55" s="1166"/>
      <c r="L55" s="1165">
        <v>0</v>
      </c>
      <c r="M55" s="1166"/>
      <c r="N55" s="1165">
        <v>0</v>
      </c>
      <c r="O55" s="1166"/>
      <c r="P55" s="1165">
        <v>0</v>
      </c>
      <c r="Q55" s="1166"/>
      <c r="R55" s="1165">
        <v>0</v>
      </c>
      <c r="S55" s="1166"/>
      <c r="T55" s="1165">
        <v>0</v>
      </c>
      <c r="U55" s="1166"/>
      <c r="V55" s="1165">
        <v>0</v>
      </c>
      <c r="W55" s="1166"/>
    </row>
    <row r="56" spans="1:23">
      <c r="A56" s="1114"/>
      <c r="B56" s="1164"/>
      <c r="C56" s="432"/>
      <c r="D56" s="433"/>
      <c r="E56" s="434"/>
      <c r="F56" s="435" t="s">
        <v>755</v>
      </c>
      <c r="G56" s="436"/>
      <c r="H56" s="1166"/>
      <c r="I56" s="1166">
        <f>I54*H55</f>
        <v>22729.75</v>
      </c>
      <c r="J56" s="1166"/>
      <c r="K56" s="1166">
        <f>K54*J55</f>
        <v>0</v>
      </c>
      <c r="L56" s="1166"/>
      <c r="M56" s="1166">
        <f>M54*L55</f>
        <v>0</v>
      </c>
      <c r="N56" s="1166"/>
      <c r="O56" s="1166">
        <f>O54*N55</f>
        <v>0</v>
      </c>
      <c r="P56" s="1166"/>
      <c r="Q56" s="1166">
        <f>Q54*P55</f>
        <v>0</v>
      </c>
      <c r="R56" s="1166"/>
      <c r="S56" s="1166">
        <f>S54*R55</f>
        <v>0</v>
      </c>
      <c r="T56" s="1166"/>
      <c r="U56" s="1166">
        <f>U54*T55</f>
        <v>0</v>
      </c>
      <c r="V56" s="1166"/>
      <c r="W56" s="1166">
        <f>W54*V55</f>
        <v>0</v>
      </c>
    </row>
    <row r="57" spans="1:23">
      <c r="A57" s="1114"/>
      <c r="B57" s="1164"/>
      <c r="C57" s="432"/>
      <c r="D57" s="433"/>
      <c r="E57" s="434"/>
      <c r="F57" s="435"/>
      <c r="G57" s="436"/>
      <c r="H57" s="1166"/>
      <c r="I57" s="1166"/>
      <c r="J57" s="1166"/>
      <c r="K57" s="1166"/>
      <c r="L57" s="1166"/>
      <c r="M57" s="1166"/>
      <c r="N57" s="1166"/>
      <c r="O57" s="1166"/>
      <c r="P57" s="1166"/>
      <c r="Q57" s="1166"/>
      <c r="R57" s="1166"/>
      <c r="S57" s="1166"/>
      <c r="T57" s="1166"/>
      <c r="U57" s="1166"/>
      <c r="V57" s="1166"/>
      <c r="W57" s="1166"/>
    </row>
    <row r="58" spans="1:23">
      <c r="A58" s="1114"/>
      <c r="B58" s="1164"/>
      <c r="C58" s="432"/>
      <c r="D58" s="433"/>
      <c r="E58" s="434"/>
      <c r="F58" s="435" t="s">
        <v>756</v>
      </c>
      <c r="G58" s="436"/>
      <c r="H58" s="1166"/>
      <c r="I58" s="1166">
        <f>SUM(I54:I56)</f>
        <v>4568679.75</v>
      </c>
      <c r="J58" s="1166"/>
      <c r="K58" s="1166">
        <f>SUM(K54:K56)</f>
        <v>4555195</v>
      </c>
      <c r="L58" s="1166"/>
      <c r="M58" s="1166">
        <f>SUM(M54:M56)</f>
        <v>5071591</v>
      </c>
      <c r="N58" s="1166"/>
      <c r="O58" s="1166">
        <f>SUM(O54:O56)</f>
        <v>5852500</v>
      </c>
      <c r="P58" s="1166"/>
      <c r="Q58" s="1166">
        <f>SUM(Q54:Q56)</f>
        <v>6496420</v>
      </c>
      <c r="R58" s="1166"/>
      <c r="S58" s="1166">
        <f>SUM(S54:S56)</f>
        <v>7115841</v>
      </c>
      <c r="T58" s="1166"/>
      <c r="U58" s="1166">
        <f>SUM(U54:U56)</f>
        <v>7918638</v>
      </c>
      <c r="V58" s="1166"/>
      <c r="W58" s="1166">
        <f>SUM(W54:W56)</f>
        <v>7969235</v>
      </c>
    </row>
    <row r="59" spans="1:23">
      <c r="A59" s="1114"/>
      <c r="B59" s="1164"/>
      <c r="C59" s="432"/>
      <c r="D59" s="433"/>
      <c r="E59" s="434"/>
      <c r="F59" s="437" t="s">
        <v>757</v>
      </c>
      <c r="G59" s="438"/>
      <c r="H59" s="1167"/>
      <c r="I59" s="1167">
        <f>I58/'Area Calculations'!$G$4</f>
        <v>7.8952339271735017</v>
      </c>
      <c r="J59" s="1167"/>
      <c r="K59" s="1167">
        <f>K58/'Area Calculations'!$G$4</f>
        <v>7.8719306401135034</v>
      </c>
      <c r="L59" s="1167"/>
      <c r="M59" s="1167">
        <f>M58/'Area Calculations'!$G$4</f>
        <v>8.7643256956121274</v>
      </c>
      <c r="N59" s="1167"/>
      <c r="O59" s="1167">
        <f>O58/'Area Calculations'!$G$4</f>
        <v>10.113831366442991</v>
      </c>
      <c r="P59" s="1167"/>
      <c r="Q59" s="1167">
        <f>Q58/'Area Calculations'!$G$4</f>
        <v>11.226603394376347</v>
      </c>
      <c r="R59" s="1167"/>
      <c r="S59" s="1167">
        <f>S58/'Area Calculations'!$G$4</f>
        <v>12.297038172476899</v>
      </c>
      <c r="T59" s="1167"/>
      <c r="U59" s="1167">
        <f>U58/'Area Calculations'!$G$4</f>
        <v>13.684368967775718</v>
      </c>
      <c r="V59" s="1167"/>
      <c r="W59" s="1167">
        <f>W58/'Area Calculations'!$G$4</f>
        <v>13.771806733798428</v>
      </c>
    </row>
    <row r="60" spans="1:23">
      <c r="A60" s="1114"/>
      <c r="B60" s="1164"/>
      <c r="C60" s="432"/>
      <c r="D60" s="433"/>
      <c r="E60" s="434"/>
      <c r="F60" s="437" t="s">
        <v>758</v>
      </c>
      <c r="G60" s="438"/>
      <c r="H60" s="1167"/>
      <c r="I60" s="1167">
        <f>I58/'Area Calculations'!$G$9</f>
        <v>42697.941588785048</v>
      </c>
      <c r="J60" s="1167"/>
      <c r="K60" s="1167">
        <f>K58/'Area Calculations'!$G$9</f>
        <v>42571.915887850468</v>
      </c>
      <c r="L60" s="1167"/>
      <c r="M60" s="1167">
        <f>M58/'Area Calculations'!$G$9</f>
        <v>47398.04672897196</v>
      </c>
      <c r="N60" s="1167"/>
      <c r="O60" s="1167">
        <f>O58/'Area Calculations'!$G$9</f>
        <v>54696.261682242992</v>
      </c>
      <c r="P60" s="1167"/>
      <c r="Q60" s="1167">
        <f>Q58/'Area Calculations'!$G$9</f>
        <v>60714.205607476637</v>
      </c>
      <c r="R60" s="1167"/>
      <c r="S60" s="1167">
        <f>S58/'Area Calculations'!$G$9</f>
        <v>66503.186915887854</v>
      </c>
      <c r="T60" s="1167"/>
      <c r="U60" s="1167">
        <f>U58/'Area Calculations'!$G$9</f>
        <v>74005.962616822435</v>
      </c>
      <c r="V60" s="1167"/>
      <c r="W60" s="1167">
        <f>W58/'Area Calculations'!$G$9</f>
        <v>74478.831775700935</v>
      </c>
    </row>
    <row r="61" spans="1:23" ht="15.75" thickBot="1">
      <c r="A61" s="1114"/>
      <c r="B61" s="1164"/>
      <c r="C61" s="432"/>
      <c r="D61" s="433"/>
      <c r="E61" s="434"/>
      <c r="F61" s="439"/>
      <c r="G61" s="436"/>
      <c r="H61" s="1168"/>
      <c r="I61" s="1168"/>
      <c r="J61" s="1168"/>
      <c r="K61" s="1168"/>
      <c r="L61" s="1168"/>
      <c r="M61" s="1168"/>
      <c r="N61" s="1168"/>
      <c r="O61" s="1168"/>
      <c r="P61" s="1168"/>
      <c r="Q61" s="1168"/>
      <c r="R61" s="1168"/>
      <c r="S61" s="1168"/>
      <c r="T61" s="1168"/>
      <c r="U61" s="1168"/>
      <c r="V61" s="1168"/>
      <c r="W61" s="1168"/>
    </row>
    <row r="62" spans="1:23" ht="16.5" thickTop="1" thickBot="1">
      <c r="A62" s="2331" t="s">
        <v>759</v>
      </c>
      <c r="B62" s="2332"/>
      <c r="C62" s="298"/>
      <c r="D62" s="12"/>
      <c r="E62" s="12"/>
      <c r="F62" s="12"/>
      <c r="G62" s="26"/>
      <c r="H62" s="20"/>
      <c r="I62" s="20"/>
      <c r="J62" s="20"/>
      <c r="K62" s="20"/>
      <c r="L62" s="20"/>
      <c r="M62" s="20"/>
      <c r="N62" s="24"/>
      <c r="O62" s="20"/>
      <c r="P62" s="20"/>
      <c r="Q62" s="20"/>
      <c r="R62" s="20"/>
      <c r="S62" s="20"/>
      <c r="T62" s="20"/>
      <c r="U62" s="20"/>
      <c r="V62" s="20"/>
      <c r="W62" s="20"/>
    </row>
    <row r="63" spans="1:23" ht="15.75" thickTop="1">
      <c r="A63" s="1403"/>
      <c r="B63" s="1105"/>
      <c r="C63" s="1548"/>
      <c r="D63" s="1435"/>
      <c r="E63" s="1435"/>
      <c r="F63" s="1435"/>
      <c r="G63" s="1404"/>
      <c r="H63" s="1223"/>
      <c r="I63" s="1223"/>
      <c r="J63" s="1223"/>
      <c r="K63" s="1223"/>
      <c r="L63" s="1223"/>
      <c r="M63" s="1223"/>
      <c r="N63" s="1405"/>
      <c r="O63" s="1223"/>
      <c r="P63" s="1223"/>
      <c r="Q63" s="1223"/>
      <c r="R63" s="1223"/>
      <c r="S63" s="1223"/>
      <c r="T63" s="1223"/>
      <c r="U63" s="1223"/>
      <c r="V63" s="1223"/>
      <c r="W63" s="1223"/>
    </row>
    <row r="64" spans="1:23">
      <c r="A64" s="1403"/>
      <c r="B64" s="1105"/>
      <c r="C64" s="1548"/>
      <c r="D64" s="1435"/>
      <c r="E64" s="1435"/>
      <c r="F64" s="1435"/>
      <c r="G64" s="1404"/>
      <c r="H64" s="1223"/>
      <c r="I64" s="1223"/>
      <c r="J64" s="1223"/>
      <c r="K64" s="1223"/>
      <c r="L64" s="1223"/>
      <c r="M64" s="1223"/>
      <c r="N64" s="1405"/>
      <c r="O64" s="1223"/>
      <c r="P64" s="1223"/>
      <c r="Q64" s="1223"/>
      <c r="R64" s="1223"/>
      <c r="S64" s="1223"/>
      <c r="T64" s="1223"/>
      <c r="U64" s="1223"/>
      <c r="V64" s="1223"/>
      <c r="W64" s="1223"/>
    </row>
    <row r="65" spans="1:38" ht="15.75" thickBot="1">
      <c r="A65" s="1403"/>
      <c r="B65" s="1105"/>
      <c r="C65" s="1548"/>
      <c r="D65" s="1435"/>
      <c r="E65" s="1435"/>
      <c r="F65" s="1435"/>
      <c r="G65" s="1404"/>
      <c r="H65" s="1223"/>
      <c r="I65" s="1223"/>
      <c r="J65" s="1223"/>
      <c r="K65" s="1223"/>
      <c r="L65" s="1223"/>
      <c r="M65" s="1223"/>
      <c r="N65" s="1405"/>
      <c r="O65" s="1223"/>
      <c r="P65" s="1223"/>
      <c r="Q65" s="1223"/>
      <c r="R65" s="1223"/>
      <c r="S65" s="1223"/>
      <c r="T65" s="1223"/>
      <c r="U65" s="1223"/>
      <c r="V65" s="1223"/>
      <c r="W65" s="1223"/>
    </row>
    <row r="66" spans="1:38" s="2" customFormat="1" ht="16.5" thickTop="1" thickBot="1">
      <c r="A66" s="2331" t="s">
        <v>760</v>
      </c>
      <c r="B66" s="2332"/>
      <c r="C66" s="298"/>
      <c r="D66" s="12"/>
      <c r="E66" s="12"/>
      <c r="F66" s="12"/>
      <c r="G66" s="26"/>
      <c r="H66" s="20"/>
      <c r="I66" s="20"/>
      <c r="J66" s="20"/>
      <c r="K66" s="20"/>
      <c r="L66" s="20"/>
      <c r="M66" s="20"/>
      <c r="N66" s="24"/>
      <c r="O66" s="20"/>
      <c r="P66" s="20"/>
      <c r="Q66" s="20"/>
      <c r="R66" s="20"/>
      <c r="S66" s="20"/>
      <c r="T66" s="20"/>
      <c r="U66" s="20"/>
      <c r="V66" s="20"/>
      <c r="W66" s="20"/>
      <c r="X66"/>
      <c r="Y66"/>
      <c r="Z66"/>
      <c r="AA66"/>
      <c r="AB66"/>
      <c r="AC66"/>
      <c r="AD66"/>
      <c r="AE66"/>
      <c r="AF66"/>
      <c r="AG66"/>
      <c r="AH66"/>
      <c r="AI66"/>
      <c r="AJ66"/>
      <c r="AK66"/>
      <c r="AL66"/>
    </row>
    <row r="67" spans="1:38" s="2" customFormat="1" ht="15.75" thickTop="1">
      <c r="A67" s="1403"/>
      <c r="B67" s="1105"/>
      <c r="C67" s="1548"/>
      <c r="D67" s="1435"/>
      <c r="E67" s="1435"/>
      <c r="F67" s="1435"/>
      <c r="G67" s="1404"/>
      <c r="H67" s="1223"/>
      <c r="I67" s="1223"/>
      <c r="J67" s="1223"/>
      <c r="K67" s="1223"/>
      <c r="L67" s="1223"/>
      <c r="M67" s="1223"/>
      <c r="N67" s="1405"/>
      <c r="O67" s="1223"/>
      <c r="P67" s="1223"/>
      <c r="Q67" s="1223"/>
      <c r="R67" s="1223"/>
      <c r="S67" s="1223"/>
      <c r="T67" s="1223"/>
      <c r="U67" s="1223"/>
      <c r="V67" s="1223"/>
      <c r="W67" s="1223"/>
      <c r="X67"/>
      <c r="Y67"/>
      <c r="Z67"/>
      <c r="AA67"/>
      <c r="AB67"/>
      <c r="AC67"/>
      <c r="AD67"/>
      <c r="AE67"/>
      <c r="AF67"/>
      <c r="AG67"/>
      <c r="AH67"/>
      <c r="AI67"/>
      <c r="AJ67"/>
      <c r="AK67"/>
      <c r="AL67"/>
    </row>
    <row r="68" spans="1:38" s="2" customFormat="1">
      <c r="A68" s="1403"/>
      <c r="B68" s="1105"/>
      <c r="C68" s="1548"/>
      <c r="D68" s="1435"/>
      <c r="E68" s="1435"/>
      <c r="F68" s="1435"/>
      <c r="G68" s="1404"/>
      <c r="H68" s="1223"/>
      <c r="I68" s="1223"/>
      <c r="J68" s="1223"/>
      <c r="K68" s="1223"/>
      <c r="L68" s="1223"/>
      <c r="M68" s="1223"/>
      <c r="N68" s="1405"/>
      <c r="O68" s="1223"/>
      <c r="P68" s="1223"/>
      <c r="Q68" s="1223"/>
      <c r="R68" s="1223"/>
      <c r="S68" s="1223"/>
      <c r="T68" s="1223"/>
      <c r="U68" s="1223"/>
      <c r="V68" s="1223"/>
      <c r="W68" s="1223"/>
      <c r="X68"/>
      <c r="Y68"/>
      <c r="Z68"/>
      <c r="AA68"/>
      <c r="AB68"/>
      <c r="AC68"/>
      <c r="AD68"/>
      <c r="AE68"/>
      <c r="AF68"/>
      <c r="AG68"/>
      <c r="AH68"/>
      <c r="AI68"/>
      <c r="AJ68"/>
      <c r="AK68"/>
      <c r="AL68"/>
    </row>
    <row r="69" spans="1:38" ht="15.75" thickBot="1">
      <c r="A69" s="1403"/>
      <c r="B69" s="1105"/>
      <c r="C69" s="1548"/>
      <c r="D69" s="1435"/>
      <c r="E69" s="1435"/>
      <c r="F69" s="1435"/>
      <c r="G69" s="1404"/>
      <c r="H69" s="1223"/>
      <c r="I69" s="1223"/>
      <c r="J69" s="1223"/>
      <c r="K69" s="1223"/>
      <c r="L69" s="1223"/>
      <c r="M69" s="1223"/>
      <c r="N69" s="1405"/>
      <c r="O69" s="1223"/>
      <c r="P69" s="1223"/>
      <c r="Q69" s="1223"/>
      <c r="R69" s="1223"/>
      <c r="S69" s="1223"/>
      <c r="T69" s="1223"/>
      <c r="U69" s="1223"/>
      <c r="V69" s="1223"/>
      <c r="W69" s="1223"/>
    </row>
    <row r="70" spans="1:38" s="2" customFormat="1" ht="16.5" thickTop="1" thickBot="1">
      <c r="A70" s="2331" t="s">
        <v>761</v>
      </c>
      <c r="B70" s="2332"/>
      <c r="C70" s="298"/>
      <c r="D70" s="12"/>
      <c r="E70" s="12"/>
      <c r="F70" s="12"/>
      <c r="G70" s="26"/>
      <c r="H70" s="20"/>
      <c r="I70" s="20"/>
      <c r="J70" s="20"/>
      <c r="K70" s="20"/>
      <c r="L70" s="20"/>
      <c r="M70" s="20"/>
      <c r="N70" s="24"/>
      <c r="O70" s="20"/>
      <c r="P70" s="20"/>
      <c r="Q70" s="20"/>
      <c r="R70" s="20"/>
      <c r="S70" s="20"/>
      <c r="T70" s="20"/>
      <c r="U70" s="20"/>
      <c r="V70" s="20"/>
      <c r="W70" s="20"/>
      <c r="X70"/>
      <c r="Y70"/>
      <c r="Z70"/>
      <c r="AA70"/>
      <c r="AB70"/>
      <c r="AC70"/>
      <c r="AD70"/>
      <c r="AE70"/>
      <c r="AF70"/>
      <c r="AG70"/>
      <c r="AH70"/>
      <c r="AI70"/>
      <c r="AJ70"/>
      <c r="AK70"/>
      <c r="AL70"/>
    </row>
    <row r="71" spans="1:38" s="2" customFormat="1" ht="15.75" thickTop="1">
      <c r="A71" s="1403"/>
      <c r="B71" s="1105"/>
      <c r="C71" s="1548"/>
      <c r="D71" s="1435"/>
      <c r="E71" s="1435"/>
      <c r="F71" s="1435"/>
      <c r="G71" s="1404"/>
      <c r="H71" s="1223"/>
      <c r="I71" s="1223"/>
      <c r="J71" s="1223"/>
      <c r="K71" s="1223"/>
      <c r="L71" s="1223"/>
      <c r="M71" s="1223"/>
      <c r="N71" s="1405"/>
      <c r="O71" s="1223"/>
      <c r="P71" s="1223"/>
      <c r="Q71" s="1223"/>
      <c r="R71" s="1223"/>
      <c r="S71" s="1223"/>
      <c r="T71" s="1223"/>
      <c r="U71" s="1223"/>
      <c r="V71" s="1223"/>
      <c r="W71" s="1223"/>
      <c r="X71"/>
      <c r="Y71"/>
      <c r="Z71"/>
      <c r="AA71"/>
      <c r="AB71"/>
      <c r="AC71"/>
      <c r="AD71"/>
      <c r="AE71"/>
      <c r="AF71"/>
      <c r="AG71"/>
      <c r="AH71"/>
      <c r="AI71"/>
      <c r="AJ71"/>
      <c r="AK71"/>
      <c r="AL71"/>
    </row>
    <row r="72" spans="1:38" s="2" customFormat="1">
      <c r="A72" s="1124"/>
      <c r="B72" s="1105"/>
      <c r="C72" s="415"/>
      <c r="D72" s="422"/>
      <c r="E72" s="422"/>
      <c r="F72" s="422"/>
      <c r="G72" s="831"/>
      <c r="H72" s="1173"/>
      <c r="I72" s="1173"/>
      <c r="J72" s="1173"/>
      <c r="K72" s="1173"/>
      <c r="L72" s="1173"/>
      <c r="M72" s="1173"/>
      <c r="N72" s="440"/>
      <c r="O72" s="1173"/>
      <c r="P72" s="1173"/>
      <c r="Q72" s="1173"/>
      <c r="R72" s="1173"/>
      <c r="S72" s="1173"/>
      <c r="T72" s="1173"/>
      <c r="U72" s="1173"/>
      <c r="V72" s="1173"/>
      <c r="W72" s="1173"/>
      <c r="X72"/>
      <c r="Y72"/>
      <c r="Z72"/>
      <c r="AA72"/>
      <c r="AB72"/>
      <c r="AC72"/>
      <c r="AD72"/>
      <c r="AE72"/>
      <c r="AF72"/>
      <c r="AG72"/>
      <c r="AH72"/>
      <c r="AI72"/>
      <c r="AJ72"/>
      <c r="AK72"/>
      <c r="AL72"/>
    </row>
    <row r="73" spans="1:38" s="2" customFormat="1" ht="15.75" thickBot="1">
      <c r="A73" s="1126"/>
      <c r="B73" s="1174"/>
      <c r="C73" s="415"/>
      <c r="D73" s="422"/>
      <c r="E73" s="422"/>
      <c r="F73" s="422"/>
      <c r="G73" s="831"/>
      <c r="H73" s="1175"/>
      <c r="I73" s="1175"/>
      <c r="J73" s="1175"/>
      <c r="K73" s="1175"/>
      <c r="L73" s="1175"/>
      <c r="M73" s="1175"/>
      <c r="N73" s="441"/>
      <c r="O73" s="1175"/>
      <c r="P73" s="1175"/>
      <c r="Q73" s="1175"/>
      <c r="R73" s="1175"/>
      <c r="S73" s="1175"/>
      <c r="T73" s="1175"/>
      <c r="U73" s="1175"/>
      <c r="V73" s="1175"/>
      <c r="W73" s="1175"/>
    </row>
    <row r="74" spans="1:38" s="2" customFormat="1" ht="16.5" thickTop="1" thickBot="1">
      <c r="A74" s="2331" t="s">
        <v>762</v>
      </c>
      <c r="B74" s="2332"/>
      <c r="C74" s="298"/>
      <c r="D74" s="12"/>
      <c r="E74" s="12"/>
      <c r="F74" s="12"/>
      <c r="G74" s="26"/>
      <c r="H74" s="20"/>
      <c r="I74" s="20"/>
      <c r="J74" s="20"/>
      <c r="K74" s="20"/>
      <c r="L74" s="20"/>
      <c r="M74" s="20"/>
      <c r="N74" s="24"/>
      <c r="O74" s="20"/>
      <c r="P74" s="20"/>
      <c r="Q74" s="20"/>
      <c r="R74" s="20"/>
      <c r="S74" s="20"/>
      <c r="T74" s="20"/>
      <c r="U74" s="20"/>
      <c r="V74" s="20"/>
      <c r="W74" s="20"/>
      <c r="X74"/>
      <c r="Y74"/>
      <c r="Z74"/>
      <c r="AA74"/>
      <c r="AB74"/>
      <c r="AC74"/>
      <c r="AD74"/>
      <c r="AE74"/>
      <c r="AF74"/>
      <c r="AG74"/>
      <c r="AH74"/>
      <c r="AI74"/>
      <c r="AJ74"/>
      <c r="AK74"/>
      <c r="AL74"/>
    </row>
    <row r="75" spans="1:38" ht="15.75" thickTop="1">
      <c r="A75" s="1407"/>
      <c r="B75" s="1225"/>
      <c r="C75" s="1548"/>
      <c r="D75" s="1435"/>
      <c r="E75" s="1435"/>
      <c r="F75" s="1435"/>
      <c r="G75" s="1404"/>
      <c r="H75" s="1223"/>
      <c r="I75" s="1223"/>
      <c r="J75" s="1223"/>
      <c r="K75" s="1223"/>
      <c r="L75" s="1223"/>
      <c r="M75" s="1223"/>
      <c r="N75" s="1405"/>
      <c r="O75" s="1223"/>
      <c r="P75" s="1223"/>
      <c r="Q75" s="1223"/>
      <c r="R75" s="1223"/>
      <c r="S75" s="1223"/>
      <c r="T75" s="1223"/>
      <c r="U75" s="1223"/>
      <c r="V75" s="1223"/>
      <c r="W75" s="1223"/>
      <c r="X75" s="2"/>
      <c r="Y75" s="2"/>
      <c r="Z75" s="2"/>
      <c r="AA75" s="2"/>
      <c r="AB75" s="2"/>
      <c r="AC75" s="2"/>
      <c r="AD75" s="2"/>
      <c r="AE75" s="2"/>
      <c r="AF75" s="2"/>
      <c r="AG75" s="2"/>
      <c r="AH75" s="2"/>
      <c r="AI75" s="2"/>
      <c r="AJ75" s="2"/>
      <c r="AK75" s="2"/>
      <c r="AL75" s="2"/>
    </row>
    <row r="76" spans="1:38">
      <c r="A76" s="1126"/>
      <c r="B76" s="1174"/>
      <c r="C76" s="415"/>
      <c r="D76" s="422"/>
      <c r="E76" s="422"/>
      <c r="F76" s="422"/>
      <c r="G76" s="831"/>
      <c r="H76" s="1178"/>
      <c r="I76" s="1178"/>
      <c r="J76" s="1178"/>
      <c r="K76" s="1178"/>
      <c r="L76" s="1178"/>
      <c r="M76" s="1178"/>
      <c r="N76" s="442"/>
      <c r="O76" s="1178"/>
      <c r="P76" s="1178"/>
      <c r="Q76" s="1178"/>
      <c r="R76" s="1178"/>
      <c r="S76" s="1178"/>
      <c r="T76" s="1178"/>
      <c r="U76" s="1178"/>
      <c r="V76" s="1178"/>
      <c r="W76" s="1178"/>
      <c r="X76" s="2"/>
      <c r="Y76" s="2"/>
      <c r="Z76" s="2"/>
      <c r="AA76" s="2"/>
      <c r="AB76" s="2"/>
      <c r="AC76" s="2"/>
      <c r="AD76" s="2"/>
      <c r="AE76" s="2"/>
      <c r="AF76" s="2"/>
      <c r="AG76" s="2"/>
      <c r="AH76" s="2"/>
      <c r="AI76" s="2"/>
      <c r="AJ76" s="2"/>
      <c r="AK76" s="2"/>
      <c r="AL76" s="2"/>
    </row>
    <row r="77" spans="1:38" ht="15.75" thickBot="1">
      <c r="A77" s="1126"/>
      <c r="B77" s="1174"/>
      <c r="C77" s="415"/>
      <c r="D77" s="422"/>
      <c r="E77" s="422"/>
      <c r="F77" s="422"/>
      <c r="G77" s="831"/>
      <c r="H77" s="1178"/>
      <c r="I77" s="1178"/>
      <c r="J77" s="1178"/>
      <c r="K77" s="1178"/>
      <c r="L77" s="1178"/>
      <c r="M77" s="1178"/>
      <c r="N77" s="442"/>
      <c r="O77" s="1178"/>
      <c r="P77" s="1178"/>
      <c r="Q77" s="1178"/>
      <c r="R77" s="1178"/>
      <c r="S77" s="1178"/>
      <c r="T77" s="1178"/>
      <c r="U77" s="1178"/>
      <c r="V77" s="1178"/>
      <c r="W77" s="1178"/>
      <c r="X77" s="2"/>
      <c r="Y77" s="2"/>
      <c r="Z77" s="2"/>
      <c r="AA77" s="2"/>
      <c r="AB77" s="2"/>
      <c r="AC77" s="2"/>
      <c r="AD77" s="2"/>
      <c r="AE77" s="2"/>
      <c r="AF77" s="2"/>
      <c r="AG77" s="2"/>
      <c r="AH77" s="2"/>
      <c r="AI77" s="2"/>
      <c r="AJ77" s="2"/>
      <c r="AK77" s="2"/>
      <c r="AL77" s="2"/>
    </row>
    <row r="78" spans="1:38" ht="16.5" thickTop="1" thickBot="1">
      <c r="A78" s="2331" t="s">
        <v>763</v>
      </c>
      <c r="B78" s="2332"/>
      <c r="C78" s="298"/>
      <c r="D78" s="12"/>
      <c r="E78" s="12"/>
      <c r="F78" s="12"/>
      <c r="G78" s="26"/>
      <c r="H78" s="20"/>
      <c r="I78" s="20"/>
      <c r="J78" s="20"/>
      <c r="K78" s="20"/>
      <c r="L78" s="20"/>
      <c r="M78" s="20"/>
      <c r="N78" s="24"/>
      <c r="O78" s="20"/>
      <c r="P78" s="20"/>
      <c r="Q78" s="20"/>
      <c r="R78" s="20"/>
      <c r="S78" s="20"/>
      <c r="T78" s="20"/>
      <c r="U78" s="20"/>
      <c r="V78" s="20"/>
      <c r="W78" s="20"/>
    </row>
    <row r="79" spans="1:38" ht="15.75" thickTop="1">
      <c r="A79" s="1124"/>
      <c r="B79" s="1105" t="s">
        <v>764</v>
      </c>
      <c r="C79" s="415"/>
      <c r="D79" s="422"/>
      <c r="E79" s="422"/>
      <c r="F79" s="422"/>
      <c r="G79" s="831"/>
      <c r="H79" s="1178"/>
      <c r="I79" s="1178"/>
      <c r="J79" s="1178"/>
      <c r="K79" s="1178"/>
      <c r="L79" s="1178"/>
      <c r="M79" s="1178"/>
      <c r="N79" s="442"/>
      <c r="O79" s="1178"/>
      <c r="P79" s="1178"/>
      <c r="Q79" s="1178"/>
      <c r="R79" s="1178"/>
      <c r="S79" s="1178"/>
      <c r="T79" s="1178"/>
      <c r="U79" s="1178"/>
      <c r="V79" s="1178"/>
      <c r="W79" s="1178"/>
    </row>
    <row r="80" spans="1:38">
      <c r="A80" s="1124"/>
      <c r="B80" s="1105" t="s">
        <v>765</v>
      </c>
      <c r="C80" s="415"/>
      <c r="D80" s="422"/>
      <c r="E80" s="422"/>
      <c r="F80" s="422"/>
      <c r="G80" s="831"/>
      <c r="H80" s="1178"/>
      <c r="I80" s="1178"/>
      <c r="J80" s="1178"/>
      <c r="K80" s="1178"/>
      <c r="L80" s="1178"/>
      <c r="M80" s="1178"/>
      <c r="N80" s="442"/>
      <c r="O80" s="1178"/>
      <c r="P80" s="1178"/>
      <c r="Q80" s="1178"/>
      <c r="R80" s="1178"/>
      <c r="S80" s="1178"/>
      <c r="T80" s="1178"/>
      <c r="U80" s="1178"/>
      <c r="V80" s="1178"/>
      <c r="W80" s="1178"/>
    </row>
    <row r="81" spans="1:23">
      <c r="A81" s="1124"/>
      <c r="B81" s="1105" t="s">
        <v>766</v>
      </c>
      <c r="C81" s="415"/>
      <c r="D81" s="422"/>
      <c r="E81" s="422"/>
      <c r="F81" s="422"/>
      <c r="G81" s="831"/>
      <c r="H81" s="1178"/>
      <c r="I81" s="1178"/>
      <c r="J81" s="1178"/>
      <c r="K81" s="1178"/>
      <c r="L81" s="1178"/>
      <c r="M81" s="1178"/>
      <c r="N81" s="442"/>
      <c r="O81" s="1178"/>
      <c r="P81" s="1178"/>
      <c r="Q81" s="1178"/>
      <c r="R81" s="1178"/>
      <c r="S81" s="1178"/>
      <c r="T81" s="1178"/>
      <c r="U81" s="1178"/>
      <c r="V81" s="1178"/>
      <c r="W81" s="1178"/>
    </row>
    <row r="82" spans="1:23">
      <c r="A82" s="1124"/>
      <c r="B82" s="1105" t="s">
        <v>767</v>
      </c>
      <c r="C82" s="415"/>
      <c r="D82" s="422"/>
      <c r="E82" s="422"/>
      <c r="F82" s="422"/>
      <c r="G82" s="831"/>
      <c r="H82" s="1178"/>
      <c r="I82" s="1178"/>
      <c r="J82" s="1178"/>
      <c r="K82" s="1178"/>
      <c r="L82" s="1178"/>
      <c r="M82" s="1178"/>
      <c r="N82" s="442"/>
      <c r="O82" s="1178"/>
      <c r="P82" s="1178"/>
      <c r="Q82" s="1178"/>
      <c r="R82" s="1178"/>
      <c r="S82" s="1178"/>
      <c r="T82" s="1178"/>
      <c r="U82" s="1178"/>
      <c r="V82" s="1178"/>
      <c r="W82" s="1178"/>
    </row>
    <row r="83" spans="1:23" ht="15.75" thickBot="1">
      <c r="A83" s="443"/>
      <c r="B83" s="421"/>
      <c r="C83" s="23"/>
      <c r="D83" s="86"/>
      <c r="E83" s="86"/>
      <c r="F83" s="86"/>
      <c r="G83" s="27"/>
      <c r="H83" s="444"/>
      <c r="I83" s="444"/>
      <c r="J83" s="444"/>
      <c r="K83" s="444"/>
      <c r="L83" s="444"/>
      <c r="M83" s="444"/>
      <c r="N83" s="25"/>
      <c r="O83" s="444"/>
      <c r="P83" s="444"/>
      <c r="Q83" s="444"/>
      <c r="R83" s="444"/>
      <c r="S83" s="444"/>
      <c r="T83" s="444"/>
      <c r="U83" s="444"/>
      <c r="V83" s="444"/>
      <c r="W83" s="444"/>
    </row>
    <row r="84" spans="1:23" ht="16.5" thickTop="1" thickBot="1">
      <c r="A84" s="72" t="s">
        <v>768</v>
      </c>
      <c r="B84" s="73"/>
      <c r="C84" s="298"/>
      <c r="D84" s="12"/>
      <c r="E84" s="12"/>
      <c r="F84" s="12"/>
      <c r="G84" s="26"/>
      <c r="H84" s="20"/>
      <c r="I84" s="20"/>
      <c r="J84" s="20"/>
      <c r="K84" s="20"/>
      <c r="L84" s="20"/>
      <c r="M84" s="20"/>
      <c r="N84" s="24"/>
      <c r="O84" s="20"/>
      <c r="P84" s="20"/>
      <c r="Q84" s="20"/>
      <c r="R84" s="20"/>
      <c r="S84" s="20"/>
      <c r="T84" s="20"/>
      <c r="U84" s="20"/>
      <c r="V84" s="20"/>
      <c r="W84" s="20"/>
    </row>
    <row r="85" spans="1:23" ht="15.75" thickTop="1">
      <c r="A85" s="1403"/>
      <c r="B85" s="1226" t="s">
        <v>769</v>
      </c>
      <c r="C85" s="1548"/>
      <c r="D85" s="1435"/>
      <c r="E85" s="1435"/>
      <c r="F85" s="1435"/>
      <c r="G85" s="1404"/>
      <c r="H85" s="1228"/>
      <c r="I85" s="1228"/>
      <c r="J85" s="1228"/>
      <c r="K85" s="1228"/>
      <c r="L85" s="1228"/>
      <c r="M85" s="1228"/>
      <c r="N85" s="1410"/>
      <c r="O85" s="1228"/>
      <c r="P85" s="1228"/>
      <c r="Q85" s="1228"/>
      <c r="R85" s="1228"/>
      <c r="S85" s="1228"/>
      <c r="T85" s="1228"/>
      <c r="U85" s="1228"/>
      <c r="V85" s="1228"/>
      <c r="W85" s="1228"/>
    </row>
    <row r="86" spans="1:23">
      <c r="A86" s="1124"/>
      <c r="B86" s="1105" t="s">
        <v>770</v>
      </c>
      <c r="C86" s="415"/>
      <c r="D86" s="422"/>
      <c r="E86" s="422"/>
      <c r="F86" s="422"/>
      <c r="G86" s="831"/>
      <c r="H86" s="1182"/>
      <c r="I86" s="1182"/>
      <c r="J86" s="1182"/>
      <c r="K86" s="1182"/>
      <c r="L86" s="1182"/>
      <c r="M86" s="1182"/>
      <c r="N86" s="445"/>
      <c r="O86" s="1182"/>
      <c r="P86" s="1182"/>
      <c r="Q86" s="1182"/>
      <c r="R86" s="1182"/>
      <c r="S86" s="1182"/>
      <c r="T86" s="1182"/>
      <c r="U86" s="1182"/>
      <c r="V86" s="1182"/>
      <c r="W86" s="1182"/>
    </row>
    <row r="87" spans="1:23" ht="15.75" thickBot="1">
      <c r="A87" s="1376"/>
      <c r="B87" s="1377" t="s">
        <v>771</v>
      </c>
      <c r="C87" s="1378"/>
      <c r="D87" s="1379"/>
      <c r="E87" s="1379"/>
      <c r="F87" s="1379"/>
      <c r="G87" s="1380"/>
      <c r="H87" s="1382"/>
      <c r="I87" s="1382"/>
      <c r="J87" s="1382"/>
      <c r="K87" s="1382"/>
      <c r="L87" s="1382"/>
      <c r="M87" s="1382"/>
      <c r="N87" s="1381"/>
      <c r="O87" s="1382"/>
      <c r="P87" s="1382"/>
      <c r="Q87" s="1382"/>
      <c r="R87" s="1382"/>
      <c r="S87" s="1382"/>
      <c r="T87" s="1382"/>
      <c r="U87" s="1382"/>
      <c r="V87" s="1382"/>
      <c r="W87" s="1382"/>
    </row>
    <row r="88" spans="1:23" ht="16.5" thickTop="1" thickBot="1">
      <c r="F88" s="2"/>
      <c r="G88" s="2"/>
      <c r="H88" s="2"/>
      <c r="I88" s="2"/>
      <c r="J88" s="2"/>
      <c r="K88" s="2"/>
      <c r="L88" s="2"/>
      <c r="M88" s="2"/>
      <c r="N88" s="2"/>
      <c r="O88" s="2"/>
      <c r="P88" s="2"/>
      <c r="Q88" s="2"/>
      <c r="R88" s="2"/>
      <c r="S88" s="2"/>
      <c r="T88" s="2"/>
      <c r="U88" s="2"/>
      <c r="V88" s="2"/>
      <c r="W88" s="2"/>
    </row>
    <row r="89" spans="1:23" ht="16.5" thickTop="1" thickBot="1">
      <c r="A89" s="37" t="s">
        <v>772</v>
      </c>
      <c r="B89" s="39"/>
      <c r="F89" s="2"/>
      <c r="G89" s="2"/>
      <c r="H89" s="2"/>
      <c r="I89" s="2"/>
      <c r="J89" s="2"/>
      <c r="K89" s="2"/>
      <c r="L89" s="2"/>
      <c r="M89" s="2"/>
      <c r="N89" s="2"/>
      <c r="O89" s="2"/>
      <c r="P89" s="2"/>
      <c r="Q89" s="2"/>
      <c r="R89" s="2"/>
      <c r="S89" s="2"/>
      <c r="T89" s="2"/>
      <c r="U89" s="2"/>
      <c r="V89" s="2"/>
      <c r="W89" s="2"/>
    </row>
    <row r="90" spans="1:23" ht="15.75" thickTop="1">
      <c r="A90" s="38" t="s">
        <v>693</v>
      </c>
      <c r="B90" s="1277" t="str">
        <f>H5</f>
        <v>Graf's Drywall</v>
      </c>
      <c r="F90" s="2"/>
      <c r="G90" s="2"/>
      <c r="H90" s="2"/>
      <c r="I90" s="2"/>
      <c r="J90" s="2"/>
      <c r="K90" s="2"/>
      <c r="L90" s="2"/>
      <c r="M90" s="2"/>
      <c r="N90" s="2"/>
      <c r="O90" s="2"/>
      <c r="P90" s="2"/>
      <c r="Q90" s="2"/>
      <c r="R90" s="2"/>
      <c r="S90" s="2"/>
      <c r="T90" s="2"/>
      <c r="U90" s="2"/>
      <c r="V90" s="2"/>
      <c r="W90" s="2"/>
    </row>
    <row r="91" spans="1:23">
      <c r="A91" s="1142" t="s">
        <v>702</v>
      </c>
      <c r="B91" s="1277" t="str">
        <f>H6</f>
        <v>Johnny Graf</v>
      </c>
      <c r="F91" s="2"/>
      <c r="G91" s="2"/>
      <c r="H91" s="2"/>
      <c r="I91" s="2"/>
      <c r="J91" s="2"/>
      <c r="K91" s="2"/>
      <c r="L91" s="2"/>
      <c r="M91" s="2"/>
      <c r="N91" s="2"/>
      <c r="O91" s="2"/>
      <c r="P91" s="2"/>
      <c r="Q91" s="2"/>
      <c r="R91" s="2"/>
      <c r="S91" s="2"/>
      <c r="T91" s="2"/>
      <c r="U91" s="2"/>
      <c r="V91" s="2"/>
      <c r="W91" s="2"/>
    </row>
    <row r="92" spans="1:23">
      <c r="A92" s="1191" t="s">
        <v>708</v>
      </c>
      <c r="B92" s="1192" t="str">
        <f>H7</f>
        <v>386-804-8331</v>
      </c>
      <c r="F92" s="2"/>
      <c r="G92" s="2"/>
      <c r="H92" s="2"/>
      <c r="I92" s="2"/>
      <c r="J92" s="2"/>
      <c r="K92" s="2"/>
      <c r="L92" s="2"/>
      <c r="M92" s="2"/>
      <c r="N92" s="2"/>
      <c r="O92" s="2"/>
      <c r="P92" s="2"/>
      <c r="Q92" s="2"/>
      <c r="R92" s="2"/>
      <c r="S92" s="2"/>
      <c r="T92" s="2"/>
      <c r="U92" s="2"/>
      <c r="V92" s="2"/>
      <c r="W92" s="2"/>
    </row>
    <row r="93" spans="1:23">
      <c r="A93" s="1191" t="s">
        <v>713</v>
      </c>
      <c r="B93" s="1278" t="str">
        <f>H8</f>
        <v>johnny@grafsdrywall.com</v>
      </c>
      <c r="F93" s="2"/>
      <c r="G93" s="2"/>
      <c r="H93" s="2"/>
      <c r="I93" s="2"/>
      <c r="J93" s="2"/>
      <c r="K93" s="2"/>
      <c r="L93" s="2"/>
      <c r="M93" s="2"/>
      <c r="N93" s="2"/>
      <c r="O93" s="2"/>
      <c r="P93" s="2"/>
      <c r="Q93" s="2"/>
      <c r="R93" s="2"/>
      <c r="S93" s="2"/>
      <c r="T93" s="2"/>
      <c r="U93" s="2"/>
      <c r="V93" s="2"/>
      <c r="W93" s="2"/>
    </row>
    <row r="94" spans="1:23" ht="15.75" thickBot="1">
      <c r="A94" s="1383" t="s">
        <v>69</v>
      </c>
      <c r="B94" s="1397">
        <f>H9</f>
        <v>4568679.75</v>
      </c>
      <c r="F94" s="2"/>
      <c r="G94" s="2"/>
      <c r="H94" s="2"/>
      <c r="I94" s="2"/>
      <c r="J94" s="2"/>
      <c r="K94" s="2"/>
      <c r="L94" s="2"/>
      <c r="M94" s="2"/>
      <c r="N94" s="2"/>
      <c r="O94" s="2"/>
      <c r="P94" s="2"/>
      <c r="Q94" s="2"/>
      <c r="R94" s="2"/>
      <c r="S94" s="2"/>
      <c r="T94" s="2"/>
      <c r="U94" s="2"/>
      <c r="V94" s="2"/>
      <c r="W94" s="2"/>
    </row>
    <row r="95" spans="1:23" ht="15.75" thickTop="1"/>
  </sheetData>
  <mergeCells count="53">
    <mergeCell ref="A74:B74"/>
    <mergeCell ref="A78:B78"/>
    <mergeCell ref="L8:M8"/>
    <mergeCell ref="L9:M9"/>
    <mergeCell ref="A62:B62"/>
    <mergeCell ref="A66:B66"/>
    <mergeCell ref="A70:B70"/>
    <mergeCell ref="J9:K9"/>
    <mergeCell ref="R9:S9"/>
    <mergeCell ref="V5:W5"/>
    <mergeCell ref="V6:W6"/>
    <mergeCell ref="V7:W7"/>
    <mergeCell ref="V8:W8"/>
    <mergeCell ref="V9:W9"/>
    <mergeCell ref="T8:U8"/>
    <mergeCell ref="T9:U9"/>
    <mergeCell ref="N9:O9"/>
    <mergeCell ref="P5:Q5"/>
    <mergeCell ref="P6:Q6"/>
    <mergeCell ref="P7:Q7"/>
    <mergeCell ref="P8:Q8"/>
    <mergeCell ref="P9:Q9"/>
    <mergeCell ref="V4:W4"/>
    <mergeCell ref="L4:M4"/>
    <mergeCell ref="N5:O5"/>
    <mergeCell ref="N6:O6"/>
    <mergeCell ref="N7:O7"/>
    <mergeCell ref="R5:S5"/>
    <mergeCell ref="R6:S6"/>
    <mergeCell ref="R7:S7"/>
    <mergeCell ref="L5:M5"/>
    <mergeCell ref="L6:M6"/>
    <mergeCell ref="L7:M7"/>
    <mergeCell ref="T4:U4"/>
    <mergeCell ref="T5:U5"/>
    <mergeCell ref="T6:U6"/>
    <mergeCell ref="T7:U7"/>
    <mergeCell ref="N4:O4"/>
    <mergeCell ref="H6:I6"/>
    <mergeCell ref="H7:I7"/>
    <mergeCell ref="H8:I8"/>
    <mergeCell ref="H9:I9"/>
    <mergeCell ref="H4:I4"/>
    <mergeCell ref="H5:I5"/>
    <mergeCell ref="P4:Q4"/>
    <mergeCell ref="R4:S4"/>
    <mergeCell ref="N8:O8"/>
    <mergeCell ref="J4:K4"/>
    <mergeCell ref="J5:K5"/>
    <mergeCell ref="J6:K6"/>
    <mergeCell ref="J7:K7"/>
    <mergeCell ref="J8:K8"/>
    <mergeCell ref="R8:S8"/>
  </mergeCells>
  <conditionalFormatting sqref="H11:H19">
    <cfRule type="cellIs" dxfId="425" priority="19" operator="equal">
      <formula>"X"</formula>
    </cfRule>
    <cfRule type="cellIs" dxfId="424" priority="20" operator="equal">
      <formula>"I"</formula>
    </cfRule>
  </conditionalFormatting>
  <conditionalFormatting sqref="J11:J19">
    <cfRule type="cellIs" dxfId="423" priority="3" operator="equal">
      <formula>"X"</formula>
    </cfRule>
    <cfRule type="cellIs" dxfId="422" priority="4" operator="equal">
      <formula>"I"</formula>
    </cfRule>
  </conditionalFormatting>
  <conditionalFormatting sqref="J21:J53">
    <cfRule type="cellIs" dxfId="421" priority="11" operator="equal">
      <formula>"X"</formula>
    </cfRule>
    <cfRule type="cellIs" dxfId="420" priority="12" operator="equal">
      <formula>"I"</formula>
    </cfRule>
  </conditionalFormatting>
  <conditionalFormatting sqref="L11:L19">
    <cfRule type="cellIs" dxfId="419" priority="1" operator="equal">
      <formula>"X"</formula>
    </cfRule>
    <cfRule type="cellIs" dxfId="418" priority="2" operator="equal">
      <formula>"I"</formula>
    </cfRule>
  </conditionalFormatting>
  <conditionalFormatting sqref="N11:N19 H21:H53 L21:L53 N21:N53 P21:P53 R21:R53 V21:V53">
    <cfRule type="cellIs" dxfId="417" priority="39" operator="equal">
      <formula>"X"</formula>
    </cfRule>
    <cfRule type="cellIs" dxfId="416" priority="40" operator="equal">
      <formula>"I"</formula>
    </cfRule>
  </conditionalFormatting>
  <conditionalFormatting sqref="P11:P19">
    <cfRule type="cellIs" dxfId="415" priority="37" operator="equal">
      <formula>"X"</formula>
    </cfRule>
    <cfRule type="cellIs" dxfId="414" priority="38" operator="equal">
      <formula>"I"</formula>
    </cfRule>
  </conditionalFormatting>
  <conditionalFormatting sqref="R11:R19">
    <cfRule type="cellIs" dxfId="413" priority="35" operator="equal">
      <formula>"X"</formula>
    </cfRule>
    <cfRule type="cellIs" dxfId="412" priority="36" operator="equal">
      <formula>"I"</formula>
    </cfRule>
  </conditionalFormatting>
  <conditionalFormatting sqref="T11:T19">
    <cfRule type="cellIs" dxfId="411" priority="17" operator="equal">
      <formula>"X"</formula>
    </cfRule>
    <cfRule type="cellIs" dxfId="410" priority="18" operator="equal">
      <formula>"I"</formula>
    </cfRule>
  </conditionalFormatting>
  <conditionalFormatting sqref="T21:T53">
    <cfRule type="cellIs" dxfId="409" priority="5" operator="equal">
      <formula>"X"</formula>
    </cfRule>
    <cfRule type="cellIs" dxfId="408" priority="6" operator="equal">
      <formula>"I"</formula>
    </cfRule>
  </conditionalFormatting>
  <conditionalFormatting sqref="V11:V19">
    <cfRule type="cellIs" dxfId="407" priority="33" operator="equal">
      <formula>"X"</formula>
    </cfRule>
    <cfRule type="cellIs" dxfId="406" priority="34" operator="equal">
      <formula>"I"</formula>
    </cfRule>
  </conditionalFormatting>
  <hyperlinks>
    <hyperlink ref="B4" location="'Cost Summary'!A1" display="BACK TO SUMMARY SHEET" xr:uid="{02B795C9-1A02-4211-9FAE-0C6BAB6B354F}"/>
    <hyperlink ref="N8:O8" r:id="rId1" display="Dkurtock@collinsfl.com" xr:uid="{CDD2A17A-B814-4B02-8F7D-01DF22392B5E}"/>
    <hyperlink ref="R8:S8" r:id="rId2" display="JeremyOwnby@acousti.com" xr:uid="{1A3BFD1D-11C7-4060-9DEC-8494D10F791D}"/>
    <hyperlink ref="L8:M8" r:id="rId3" display="wixmay@flcrane.com" xr:uid="{0E41BD6B-A734-4C63-82A6-3DA3574CFEEE}"/>
    <hyperlink ref="J8:K8" r:id="rId4" display="TomLewis496@gmail.com" xr:uid="{9D295DDF-2EEE-42C3-BFC4-EBD6C424796F}"/>
    <hyperlink ref="T8:U8" r:id="rId5" display="chace@1csmontiel.com" xr:uid="{7F309435-1374-4C38-A842-E9B060AEF373}"/>
    <hyperlink ref="H8:I8" r:id="rId6" display="johnny@grafsdrywall.com" xr:uid="{51458BAC-1FC4-44DE-8D0C-727291B45CE9}"/>
  </hyperlinks>
  <pageMargins left="0.7" right="0.7" top="0.75" bottom="0.75" header="0.3" footer="0.3"/>
  <pageSetup scale="71" orientation="portrait" horizontalDpi="1200" verticalDpi="1200" r:id="rId7"/>
  <colBreaks count="1" manualBreakCount="1">
    <brk id="13"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F5CF-4EF0-4C5F-9101-B1F660D4E494}">
  <sheetPr>
    <tabColor theme="9" tint="0.39997558519241921"/>
  </sheetPr>
  <dimension ref="A1:AH79"/>
  <sheetViews>
    <sheetView zoomScale="90" zoomScaleNormal="90" workbookViewId="0">
      <pane xSplit="2" ySplit="10" topLeftCell="F40" activePane="bottomRight" state="frozen"/>
      <selection pane="topRight" activeCell="C1" sqref="C1"/>
      <selection pane="bottomLeft" activeCell="A11" sqref="A11"/>
      <selection pane="bottomRight" activeCell="Q34" sqref="F32:Q34"/>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23" t="s">
        <v>686</v>
      </c>
      <c r="I4" s="2323"/>
      <c r="J4" s="2319" t="s">
        <v>687</v>
      </c>
      <c r="K4" s="2319"/>
      <c r="L4" s="2319" t="s">
        <v>688</v>
      </c>
      <c r="M4" s="2319"/>
      <c r="N4" s="2319" t="s">
        <v>689</v>
      </c>
      <c r="O4" s="2319"/>
      <c r="P4" s="2319" t="s">
        <v>690</v>
      </c>
      <c r="Q4" s="2319"/>
      <c r="R4" s="2319" t="s">
        <v>691</v>
      </c>
      <c r="S4" s="2319"/>
      <c r="X4" s="261"/>
    </row>
    <row r="5" spans="1:24" ht="15.75" thickTop="1">
      <c r="A5" s="292" t="s">
        <v>692</v>
      </c>
      <c r="B5" s="299" t="str">
        <f>'Area Calculations'!B4</f>
        <v>ERAU Residential Hall &amp; Garage Building</v>
      </c>
      <c r="C5" s="294"/>
      <c r="D5" s="263"/>
      <c r="E5" s="264"/>
      <c r="F5" s="279"/>
      <c r="G5" s="271" t="s">
        <v>693</v>
      </c>
      <c r="H5" s="2362" t="s">
        <v>1689</v>
      </c>
      <c r="I5" s="2363"/>
      <c r="J5" s="2362" t="s">
        <v>1690</v>
      </c>
      <c r="K5" s="2363"/>
      <c r="L5" s="2362" t="s">
        <v>1691</v>
      </c>
      <c r="M5" s="2363"/>
      <c r="N5" s="2333" t="s">
        <v>1692</v>
      </c>
      <c r="O5" s="2333"/>
      <c r="P5" s="2333"/>
      <c r="Q5" s="2333"/>
      <c r="R5" s="2333"/>
      <c r="S5" s="2333"/>
      <c r="X5" s="261"/>
    </row>
    <row r="6" spans="1:24">
      <c r="A6" s="1082" t="s">
        <v>700</v>
      </c>
      <c r="B6" s="1196" t="s">
        <v>1693</v>
      </c>
      <c r="C6" s="415"/>
      <c r="D6" s="416"/>
      <c r="E6" s="417"/>
      <c r="F6" s="418"/>
      <c r="G6" s="419" t="s">
        <v>702</v>
      </c>
      <c r="H6" s="2359" t="s">
        <v>1694</v>
      </c>
      <c r="I6" s="2360"/>
      <c r="J6" s="2359" t="s">
        <v>1695</v>
      </c>
      <c r="K6" s="2360"/>
      <c r="L6" s="2359" t="s">
        <v>1696</v>
      </c>
      <c r="M6" s="2360"/>
      <c r="N6" s="2313" t="s">
        <v>1697</v>
      </c>
      <c r="O6" s="2313"/>
      <c r="P6" s="2313"/>
      <c r="Q6" s="2313"/>
      <c r="R6" s="2313"/>
      <c r="S6" s="2313"/>
      <c r="X6" s="261"/>
    </row>
    <row r="7" spans="1:24">
      <c r="A7" s="1082" t="s">
        <v>706</v>
      </c>
      <c r="B7" s="1197" t="s">
        <v>327</v>
      </c>
      <c r="C7" s="415"/>
      <c r="D7" s="416"/>
      <c r="E7" s="417"/>
      <c r="F7" s="418"/>
      <c r="G7" s="829" t="s">
        <v>708</v>
      </c>
      <c r="H7" s="2361" t="s">
        <v>1698</v>
      </c>
      <c r="I7" s="2358"/>
      <c r="J7" s="2361" t="s">
        <v>1699</v>
      </c>
      <c r="K7" s="2358"/>
      <c r="L7" s="2361" t="s">
        <v>1700</v>
      </c>
      <c r="M7" s="2358"/>
      <c r="N7" s="2313"/>
      <c r="O7" s="2313"/>
      <c r="P7" s="2313"/>
      <c r="Q7" s="2313"/>
      <c r="R7" s="2313"/>
      <c r="S7" s="2313"/>
      <c r="X7" s="261"/>
    </row>
    <row r="8" spans="1:24">
      <c r="A8" s="1082" t="s">
        <v>712</v>
      </c>
      <c r="B8" s="1198"/>
      <c r="C8" s="415"/>
      <c r="D8" s="416"/>
      <c r="E8" s="417"/>
      <c r="F8" s="418"/>
      <c r="G8" s="829" t="s">
        <v>713</v>
      </c>
      <c r="H8" s="2355" t="s">
        <v>1701</v>
      </c>
      <c r="I8" s="2356"/>
      <c r="J8" s="2355" t="s">
        <v>1702</v>
      </c>
      <c r="K8" s="2356"/>
      <c r="L8" s="2355" t="s">
        <v>1703</v>
      </c>
      <c r="M8" s="2356"/>
      <c r="N8" s="2370" t="s">
        <v>1704</v>
      </c>
      <c r="O8" s="2315"/>
      <c r="P8" s="2315"/>
      <c r="Q8" s="2315"/>
      <c r="R8" s="2315"/>
      <c r="S8" s="2315"/>
      <c r="X8" s="261"/>
    </row>
    <row r="9" spans="1:24" ht="15.75" thickBot="1">
      <c r="A9" s="420"/>
      <c r="B9" s="421"/>
      <c r="C9" s="23"/>
      <c r="D9" s="265"/>
      <c r="E9" s="266"/>
      <c r="F9" s="283"/>
      <c r="G9" s="284" t="s">
        <v>717</v>
      </c>
      <c r="H9" s="2317">
        <f>I42</f>
        <v>459979.27409999998</v>
      </c>
      <c r="I9" s="2317"/>
      <c r="J9" s="2317">
        <f>K42</f>
        <v>511220.76</v>
      </c>
      <c r="K9" s="2317"/>
      <c r="L9" s="2317">
        <f>M42</f>
        <v>659849.86999999988</v>
      </c>
      <c r="M9" s="2317"/>
      <c r="N9" s="2330">
        <f>O38</f>
        <v>527616.82000000007</v>
      </c>
      <c r="O9" s="2330"/>
      <c r="P9" s="2317"/>
      <c r="Q9" s="2317"/>
      <c r="R9" s="2317"/>
      <c r="S9" s="2317"/>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412"/>
      <c r="B11" s="1283" t="s">
        <v>725</v>
      </c>
      <c r="C11" s="1554"/>
      <c r="D11" s="1435"/>
      <c r="E11" s="1435"/>
      <c r="F11" s="1416"/>
      <c r="G11" s="1417"/>
      <c r="H11" s="1286"/>
      <c r="I11" s="1419"/>
      <c r="J11" s="1286"/>
      <c r="K11" s="1420"/>
      <c r="L11" s="1286"/>
      <c r="M11" s="285"/>
      <c r="N11" s="1286"/>
      <c r="O11" s="1419"/>
      <c r="P11" s="1286"/>
      <c r="Q11" s="1419"/>
      <c r="R11" s="1286"/>
      <c r="S11" s="1419"/>
    </row>
    <row r="12" spans="1:24">
      <c r="A12" s="1412"/>
      <c r="B12" s="1263" t="s">
        <v>726</v>
      </c>
      <c r="C12" s="446"/>
      <c r="D12" s="422"/>
      <c r="E12" s="422"/>
      <c r="F12" s="418"/>
      <c r="G12" s="423"/>
      <c r="H12" s="1264" t="s">
        <v>727</v>
      </c>
      <c r="I12" s="1419"/>
      <c r="J12" s="1264" t="s">
        <v>727</v>
      </c>
      <c r="K12" s="1420"/>
      <c r="L12" s="1264" t="s">
        <v>727</v>
      </c>
      <c r="M12" s="1419"/>
      <c r="N12" s="1264" t="s">
        <v>727</v>
      </c>
      <c r="O12" s="1419"/>
      <c r="P12" s="1264"/>
      <c r="Q12" s="1419"/>
      <c r="R12" s="1264"/>
      <c r="S12" s="1419"/>
    </row>
    <row r="13" spans="1:24">
      <c r="A13" s="1097"/>
      <c r="B13" s="1263" t="s">
        <v>728</v>
      </c>
      <c r="C13" s="446"/>
      <c r="D13" s="422"/>
      <c r="E13" s="422"/>
      <c r="F13" s="418"/>
      <c r="G13" s="423"/>
      <c r="H13" s="1264" t="s">
        <v>727</v>
      </c>
      <c r="I13" s="1419"/>
      <c r="J13" s="1264" t="s">
        <v>727</v>
      </c>
      <c r="K13" s="1420"/>
      <c r="L13" s="1264" t="s">
        <v>727</v>
      </c>
      <c r="M13" s="1419"/>
      <c r="N13" s="1264" t="s">
        <v>727</v>
      </c>
      <c r="O13" s="1419"/>
      <c r="P13" s="1264"/>
      <c r="Q13" s="1419"/>
      <c r="R13" s="1264"/>
      <c r="S13" s="1419"/>
    </row>
    <row r="14" spans="1:24">
      <c r="A14" s="1412"/>
      <c r="B14" s="1265" t="s">
        <v>729</v>
      </c>
      <c r="C14" s="446"/>
      <c r="D14" s="422"/>
      <c r="E14" s="422"/>
      <c r="F14" s="418"/>
      <c r="G14" s="423"/>
      <c r="H14" s="1264" t="s">
        <v>730</v>
      </c>
      <c r="I14" s="1440" t="s">
        <v>837</v>
      </c>
      <c r="J14" s="1264" t="s">
        <v>730</v>
      </c>
      <c r="K14" s="1420"/>
      <c r="L14" s="1264" t="s">
        <v>730</v>
      </c>
      <c r="M14" s="1419"/>
      <c r="N14" s="1264" t="s">
        <v>730</v>
      </c>
      <c r="O14" s="1419"/>
      <c r="P14" s="1264"/>
      <c r="Q14" s="1419"/>
      <c r="R14" s="1264"/>
      <c r="S14" s="1419"/>
    </row>
    <row r="15" spans="1:24">
      <c r="A15" s="1097"/>
      <c r="B15" s="1265" t="s">
        <v>731</v>
      </c>
      <c r="C15" s="446"/>
      <c r="D15" s="422"/>
      <c r="E15" s="422"/>
      <c r="F15" s="418"/>
      <c r="G15" s="423"/>
      <c r="H15" s="1264" t="s">
        <v>727</v>
      </c>
      <c r="I15" s="1420"/>
      <c r="J15" s="1264" t="s">
        <v>727</v>
      </c>
      <c r="K15" s="1420"/>
      <c r="L15" s="1264" t="s">
        <v>727</v>
      </c>
      <c r="M15" s="1420"/>
      <c r="N15" s="1264" t="s">
        <v>727</v>
      </c>
      <c r="O15" s="1420"/>
      <c r="P15" s="1264"/>
      <c r="Q15" s="1420"/>
      <c r="R15" s="1264"/>
      <c r="S15" s="1420"/>
    </row>
    <row r="16" spans="1:24">
      <c r="A16" s="1412"/>
      <c r="B16" s="1265" t="s">
        <v>732</v>
      </c>
      <c r="C16" s="446"/>
      <c r="D16" s="422"/>
      <c r="E16" s="422"/>
      <c r="F16" s="418"/>
      <c r="G16" s="423"/>
      <c r="H16" s="1264" t="s">
        <v>727</v>
      </c>
      <c r="I16" s="1419"/>
      <c r="J16" s="1264" t="s">
        <v>727</v>
      </c>
      <c r="K16" s="1420"/>
      <c r="L16" s="1264" t="s">
        <v>727</v>
      </c>
      <c r="M16" s="1419"/>
      <c r="N16" s="1264" t="s">
        <v>727</v>
      </c>
      <c r="O16" s="1419"/>
      <c r="P16" s="1264"/>
      <c r="Q16" s="1419"/>
      <c r="R16" s="1264"/>
      <c r="S16" s="1419"/>
    </row>
    <row r="17" spans="1:19">
      <c r="A17" s="1097"/>
      <c r="B17" s="1265" t="s">
        <v>733</v>
      </c>
      <c r="C17" s="446"/>
      <c r="D17" s="422"/>
      <c r="E17" s="422"/>
      <c r="F17" s="418"/>
      <c r="G17" s="423"/>
      <c r="H17" s="1264" t="s">
        <v>727</v>
      </c>
      <c r="I17" s="1419"/>
      <c r="J17" s="1264" t="s">
        <v>727</v>
      </c>
      <c r="K17" s="1420"/>
      <c r="L17" s="1264" t="s">
        <v>727</v>
      </c>
      <c r="M17" s="1419"/>
      <c r="N17" s="1264" t="s">
        <v>727</v>
      </c>
      <c r="O17" s="1419"/>
      <c r="P17" s="1264"/>
      <c r="Q17" s="1419"/>
      <c r="R17" s="1264"/>
      <c r="S17" s="1419"/>
    </row>
    <row r="18" spans="1:19">
      <c r="A18" s="1412"/>
      <c r="B18" s="534" t="s">
        <v>734</v>
      </c>
      <c r="C18" s="446"/>
      <c r="D18" s="422"/>
      <c r="E18" s="422"/>
      <c r="F18" s="418"/>
      <c r="G18" s="423"/>
      <c r="H18" s="1264" t="s">
        <v>730</v>
      </c>
      <c r="I18" s="1419"/>
      <c r="J18" s="1264"/>
      <c r="K18" s="1420"/>
      <c r="L18" s="1264"/>
      <c r="M18" s="1419"/>
      <c r="N18" s="1264"/>
      <c r="O18" s="1419"/>
      <c r="P18" s="1264"/>
      <c r="Q18" s="1419"/>
      <c r="R18" s="1264"/>
      <c r="S18" s="1419"/>
    </row>
    <row r="19" spans="1:19">
      <c r="A19" s="1412"/>
      <c r="B19" s="1154" t="s">
        <v>736</v>
      </c>
      <c r="C19" s="446"/>
      <c r="D19" s="422"/>
      <c r="E19" s="422"/>
      <c r="F19" s="418"/>
      <c r="G19" s="423"/>
      <c r="H19" s="1264"/>
      <c r="I19" s="1419"/>
      <c r="J19" s="1264"/>
      <c r="K19" s="1420"/>
      <c r="L19" s="1264"/>
      <c r="M19" s="1419"/>
      <c r="N19" s="1264"/>
      <c r="O19" s="1419"/>
      <c r="P19" s="1264"/>
      <c r="Q19" s="1419"/>
      <c r="R19" s="1264"/>
      <c r="S19" s="1419"/>
    </row>
    <row r="20" spans="1:19">
      <c r="A20" s="1097"/>
      <c r="B20" s="1555" t="s">
        <v>737</v>
      </c>
      <c r="C20" s="447"/>
      <c r="D20" s="425"/>
      <c r="E20" s="425"/>
      <c r="F20" s="426"/>
      <c r="G20" s="427"/>
      <c r="H20" s="1156"/>
      <c r="I20" s="1422"/>
      <c r="J20" s="1156"/>
      <c r="K20" s="1423"/>
      <c r="L20" s="1156"/>
      <c r="M20" s="1422"/>
      <c r="N20" s="1156"/>
      <c r="O20" s="1422"/>
      <c r="P20" s="1156"/>
      <c r="Q20" s="1422"/>
      <c r="R20" s="1156"/>
      <c r="S20" s="1422"/>
    </row>
    <row r="21" spans="1:19">
      <c r="A21" s="1412"/>
      <c r="B21" s="1369"/>
      <c r="C21" s="70"/>
      <c r="D21" s="86"/>
      <c r="E21" s="86"/>
      <c r="F21" s="280"/>
      <c r="G21" s="274"/>
      <c r="H21" s="1264"/>
      <c r="I21" s="428"/>
      <c r="J21" s="1264"/>
      <c r="K21" s="428"/>
      <c r="L21" s="1264"/>
      <c r="M21" s="428"/>
      <c r="N21" s="1264"/>
      <c r="O21" s="428"/>
      <c r="P21" s="1264"/>
      <c r="Q21" s="428"/>
      <c r="R21" s="1264"/>
      <c r="S21" s="428"/>
    </row>
    <row r="22" spans="1:19" ht="15.75" thickBot="1">
      <c r="A22" s="1412"/>
      <c r="B22" s="1163"/>
      <c r="C22" s="1560" t="s">
        <v>635</v>
      </c>
      <c r="D22" s="1560"/>
      <c r="E22" s="1560"/>
      <c r="F22" s="431"/>
      <c r="G22" s="1402"/>
      <c r="H22" s="1264"/>
      <c r="I22" s="1419"/>
      <c r="J22" s="1264"/>
      <c r="K22" s="1419"/>
      <c r="L22" s="1264"/>
      <c r="M22" s="1419"/>
      <c r="N22" s="1264"/>
      <c r="O22" s="1419"/>
      <c r="P22" s="1264"/>
      <c r="Q22" s="1419"/>
      <c r="R22" s="1264"/>
      <c r="S22" s="1419"/>
    </row>
    <row r="23" spans="1:19" ht="15.75" thickBot="1">
      <c r="A23" s="1412"/>
      <c r="B23" s="395" t="s">
        <v>1705</v>
      </c>
      <c r="C23" s="1560" t="s">
        <v>635</v>
      </c>
      <c r="D23" s="1560"/>
      <c r="E23" s="1560"/>
      <c r="F23" s="431"/>
      <c r="G23" s="1402"/>
      <c r="H23" s="1264"/>
      <c r="I23" s="1419"/>
      <c r="J23" s="1264"/>
      <c r="K23" s="1419"/>
      <c r="L23" s="1264"/>
      <c r="M23" s="1419"/>
      <c r="N23" s="1264"/>
      <c r="O23" s="1419"/>
      <c r="P23" s="1264"/>
      <c r="Q23" s="1419"/>
      <c r="R23" s="1264"/>
      <c r="S23" s="1419"/>
    </row>
    <row r="24" spans="1:19">
      <c r="A24" s="1412"/>
      <c r="B24" s="380" t="s">
        <v>1706</v>
      </c>
      <c r="C24" s="1561"/>
      <c r="D24" s="1561">
        <v>1537</v>
      </c>
      <c r="E24" s="1561" t="s">
        <v>843</v>
      </c>
      <c r="F24" s="431"/>
      <c r="G24" s="1402"/>
      <c r="H24" s="1264" t="s">
        <v>727</v>
      </c>
      <c r="I24" s="1562">
        <v>23816</v>
      </c>
      <c r="J24" s="1264" t="s">
        <v>727</v>
      </c>
      <c r="K24" s="1562">
        <v>22981.14</v>
      </c>
      <c r="L24" s="1264" t="s">
        <v>727</v>
      </c>
      <c r="M24" s="1562">
        <v>145206.63</v>
      </c>
      <c r="N24" s="1264" t="s">
        <v>727</v>
      </c>
      <c r="O24" s="1562">
        <v>151100</v>
      </c>
      <c r="P24" s="1264"/>
      <c r="Q24" s="1419"/>
      <c r="R24" s="1264"/>
      <c r="S24" s="1419"/>
    </row>
    <row r="25" spans="1:19">
      <c r="A25" s="1412"/>
      <c r="B25" s="380" t="s">
        <v>1707</v>
      </c>
      <c r="C25" s="1560" t="s">
        <v>635</v>
      </c>
      <c r="D25" s="1560">
        <v>91</v>
      </c>
      <c r="E25" s="1560" t="s">
        <v>843</v>
      </c>
      <c r="F25" s="431"/>
      <c r="G25" s="1402"/>
      <c r="H25" s="1273" t="s">
        <v>1035</v>
      </c>
      <c r="I25" s="1430">
        <v>816.82</v>
      </c>
      <c r="J25" s="1264" t="s">
        <v>727</v>
      </c>
      <c r="K25" s="1562">
        <v>816.82</v>
      </c>
      <c r="L25" s="1273" t="s">
        <v>1035</v>
      </c>
      <c r="M25" s="1430">
        <v>816.82</v>
      </c>
      <c r="N25" s="1273" t="s">
        <v>1035</v>
      </c>
      <c r="O25" s="1430">
        <v>816.82</v>
      </c>
      <c r="P25" s="1264"/>
      <c r="Q25" s="1419"/>
      <c r="R25" s="1264"/>
      <c r="S25" s="1419"/>
    </row>
    <row r="26" spans="1:19" ht="31.5" customHeight="1">
      <c r="A26" s="1412"/>
      <c r="B26" s="1163" t="s">
        <v>1708</v>
      </c>
      <c r="C26" s="1560"/>
      <c r="D26" s="1560">
        <v>1153</v>
      </c>
      <c r="E26" s="1560" t="s">
        <v>843</v>
      </c>
      <c r="F26" s="431"/>
      <c r="G26" s="1402"/>
      <c r="H26" s="1264" t="s">
        <v>727</v>
      </c>
      <c r="I26" s="1562">
        <v>114414</v>
      </c>
      <c r="J26" s="1264" t="s">
        <v>727</v>
      </c>
      <c r="K26" s="1562">
        <v>18725.98</v>
      </c>
      <c r="L26" s="1264" t="s">
        <v>727</v>
      </c>
      <c r="M26" s="1419"/>
      <c r="N26" s="1264" t="s">
        <v>727</v>
      </c>
      <c r="O26" s="1562">
        <v>22100</v>
      </c>
      <c r="P26" s="1264"/>
      <c r="Q26" s="1419"/>
      <c r="R26" s="1264"/>
      <c r="S26" s="1419"/>
    </row>
    <row r="27" spans="1:19" ht="25.5">
      <c r="A27" s="1412"/>
      <c r="B27" s="1163" t="s">
        <v>1709</v>
      </c>
      <c r="C27" s="1560"/>
      <c r="D27" s="1560">
        <v>5890</v>
      </c>
      <c r="E27" s="1560" t="s">
        <v>843</v>
      </c>
      <c r="F27" s="431"/>
      <c r="G27" s="1402"/>
      <c r="H27" s="1264" t="s">
        <v>730</v>
      </c>
      <c r="I27" s="1419"/>
      <c r="J27" s="1264" t="s">
        <v>727</v>
      </c>
      <c r="K27" s="1562">
        <v>189174.23</v>
      </c>
      <c r="L27" s="1264" t="s">
        <v>727</v>
      </c>
      <c r="M27" s="1419"/>
      <c r="N27" s="1264" t="s">
        <v>1018</v>
      </c>
      <c r="O27" s="1562">
        <v>4200</v>
      </c>
      <c r="P27" s="1264"/>
      <c r="Q27" s="1419"/>
      <c r="R27" s="1264"/>
      <c r="S27" s="1419"/>
    </row>
    <row r="28" spans="1:19">
      <c r="A28" s="1412"/>
      <c r="B28" s="380" t="s">
        <v>1710</v>
      </c>
      <c r="C28" s="1560" t="s">
        <v>635</v>
      </c>
      <c r="D28" s="1560"/>
      <c r="E28" s="1560"/>
      <c r="F28" s="431"/>
      <c r="G28" s="1402"/>
      <c r="H28" s="1264" t="s">
        <v>727</v>
      </c>
      <c r="I28" s="1419"/>
      <c r="J28" s="1264" t="s">
        <v>727</v>
      </c>
      <c r="K28" s="1419"/>
      <c r="L28" s="1264" t="s">
        <v>727</v>
      </c>
      <c r="M28" s="1562">
        <v>121133.3</v>
      </c>
      <c r="N28" s="1264" t="s">
        <v>727</v>
      </c>
      <c r="O28" s="1419"/>
      <c r="P28" s="1264"/>
      <c r="Q28" s="1419"/>
      <c r="R28" s="1264"/>
      <c r="S28" s="1419"/>
    </row>
    <row r="29" spans="1:19" ht="15.75" thickBot="1">
      <c r="A29" s="1412"/>
      <c r="B29" s="786" t="s">
        <v>1711</v>
      </c>
      <c r="C29" s="1560"/>
      <c r="D29" s="1560"/>
      <c r="E29" s="1560"/>
      <c r="F29" s="431"/>
      <c r="G29" s="1402"/>
      <c r="H29" s="1273" t="s">
        <v>1035</v>
      </c>
      <c r="I29" s="1430">
        <v>9950</v>
      </c>
      <c r="J29" s="1264"/>
      <c r="K29" s="1419"/>
      <c r="L29" s="1264"/>
      <c r="M29" s="1419"/>
      <c r="N29" s="1264"/>
      <c r="O29" s="1419"/>
      <c r="P29" s="1264"/>
      <c r="Q29" s="1419"/>
      <c r="R29" s="1264"/>
      <c r="S29" s="1419"/>
    </row>
    <row r="30" spans="1:19" ht="15.75" thickBot="1">
      <c r="A30" s="1412"/>
      <c r="B30" s="395" t="s">
        <v>1712</v>
      </c>
      <c r="C30" s="1560" t="s">
        <v>635</v>
      </c>
      <c r="D30" s="1560"/>
      <c r="E30" s="1560"/>
      <c r="F30" s="431"/>
      <c r="G30" s="1402"/>
      <c r="H30" s="1264"/>
      <c r="I30" s="1419"/>
      <c r="J30" s="1264"/>
      <c r="K30" s="1419"/>
      <c r="L30" s="1264"/>
      <c r="M30" s="1419"/>
      <c r="N30" s="1264"/>
      <c r="O30" s="1419"/>
      <c r="P30" s="1264"/>
      <c r="Q30" s="1419"/>
      <c r="R30" s="1264"/>
      <c r="S30" s="1419"/>
    </row>
    <row r="31" spans="1:19">
      <c r="A31" s="1412"/>
      <c r="B31" s="380" t="s">
        <v>1713</v>
      </c>
      <c r="C31" s="1560" t="s">
        <v>635</v>
      </c>
      <c r="D31" s="1560">
        <v>18122</v>
      </c>
      <c r="E31" s="1560" t="s">
        <v>843</v>
      </c>
      <c r="F31" s="431"/>
      <c r="G31" s="1402"/>
      <c r="H31" s="1264" t="s">
        <v>727</v>
      </c>
      <c r="I31" s="1562">
        <v>286694</v>
      </c>
      <c r="J31" s="1264" t="s">
        <v>727</v>
      </c>
      <c r="K31" s="1562">
        <v>279522.59000000003</v>
      </c>
      <c r="L31" s="1264" t="s">
        <v>727</v>
      </c>
      <c r="M31" s="1562">
        <v>264508.67</v>
      </c>
      <c r="N31" s="1264" t="s">
        <v>727</v>
      </c>
      <c r="O31" s="1562">
        <v>349400</v>
      </c>
      <c r="P31" s="1264"/>
      <c r="Q31" s="1419"/>
      <c r="R31" s="1264"/>
      <c r="S31" s="1419"/>
    </row>
    <row r="32" spans="1:19" ht="28.5" customHeight="1">
      <c r="A32" s="1412"/>
      <c r="B32" s="380" t="s">
        <v>1710</v>
      </c>
      <c r="C32" s="1560" t="s">
        <v>635</v>
      </c>
      <c r="D32" s="1560"/>
      <c r="E32" s="1560"/>
      <c r="F32" s="431"/>
      <c r="G32" s="1402"/>
      <c r="H32" s="1264" t="s">
        <v>727</v>
      </c>
      <c r="I32" s="1419"/>
      <c r="J32" s="1264" t="s">
        <v>727</v>
      </c>
      <c r="K32" s="1419"/>
      <c r="L32" s="1264" t="s">
        <v>727</v>
      </c>
      <c r="M32" s="1562">
        <v>128184.45</v>
      </c>
      <c r="N32" s="1264" t="s">
        <v>727</v>
      </c>
      <c r="O32" s="1419"/>
      <c r="P32" s="1264"/>
      <c r="Q32" s="1419"/>
      <c r="R32" s="1264"/>
      <c r="S32" s="1419"/>
    </row>
    <row r="33" spans="1:19">
      <c r="A33" s="1412"/>
      <c r="B33" s="380"/>
      <c r="C33" s="1560" t="s">
        <v>635</v>
      </c>
      <c r="D33" s="1560"/>
      <c r="E33" s="1560"/>
      <c r="F33" s="431"/>
      <c r="G33" s="830"/>
      <c r="H33" s="1273" t="s">
        <v>1035</v>
      </c>
      <c r="I33" s="1430">
        <v>22000</v>
      </c>
      <c r="J33" s="1264"/>
      <c r="K33" s="1419"/>
      <c r="L33" s="1264"/>
      <c r="M33" s="1419"/>
      <c r="N33" s="1264"/>
      <c r="O33" s="1419"/>
      <c r="P33" s="1264"/>
      <c r="Q33" s="1419"/>
      <c r="R33" s="1264"/>
      <c r="S33" s="1419"/>
    </row>
    <row r="34" spans="1:19">
      <c r="A34" s="1412"/>
      <c r="B34" s="1163"/>
      <c r="C34" s="1560" t="s">
        <v>635</v>
      </c>
      <c r="D34" s="1560"/>
      <c r="E34" s="1560"/>
      <c r="F34" s="431"/>
      <c r="G34" s="830"/>
      <c r="H34" s="1387"/>
      <c r="I34" s="1419"/>
      <c r="J34" s="1264"/>
      <c r="K34" s="1419"/>
      <c r="L34" s="1264"/>
      <c r="M34" s="1419"/>
      <c r="N34" s="1264"/>
      <c r="O34" s="1419"/>
      <c r="P34" s="1264"/>
      <c r="Q34" s="1419"/>
      <c r="R34" s="1264"/>
      <c r="S34" s="1419"/>
    </row>
    <row r="35" spans="1:19">
      <c r="A35" s="1412"/>
      <c r="B35" s="380"/>
      <c r="C35" s="1560" t="s">
        <v>635</v>
      </c>
      <c r="D35" s="1560"/>
      <c r="E35" s="1560"/>
      <c r="F35" s="1401"/>
      <c r="G35" s="1563"/>
      <c r="H35" s="1286"/>
      <c r="I35" s="1419"/>
      <c r="J35" s="1286"/>
      <c r="K35" s="1419"/>
      <c r="L35" s="1286"/>
      <c r="M35" s="1419"/>
      <c r="N35" s="1286"/>
      <c r="O35" s="1419"/>
      <c r="P35" s="1286"/>
      <c r="Q35" s="1419"/>
      <c r="R35" s="1286"/>
      <c r="S35" s="1419"/>
    </row>
    <row r="36" spans="1:19">
      <c r="A36" s="1412"/>
      <c r="B36" s="380"/>
      <c r="C36" s="1560" t="s">
        <v>635</v>
      </c>
      <c r="D36" s="1560"/>
      <c r="E36" s="1560"/>
      <c r="F36" s="1401"/>
      <c r="G36" s="1563"/>
      <c r="H36" s="1286"/>
      <c r="I36" s="1419"/>
      <c r="J36" s="1286"/>
      <c r="K36" s="1419"/>
      <c r="L36" s="1286"/>
      <c r="M36" s="1419"/>
      <c r="N36" s="1286"/>
      <c r="O36" s="1419"/>
      <c r="P36" s="1286"/>
      <c r="Q36" s="1419"/>
      <c r="R36" s="1286"/>
      <c r="S36" s="1419"/>
    </row>
    <row r="37" spans="1:19" ht="15.75" thickBot="1">
      <c r="A37" s="1412"/>
      <c r="B37" s="380"/>
      <c r="C37" s="1560" t="s">
        <v>635</v>
      </c>
      <c r="D37" s="1560"/>
      <c r="E37" s="1560"/>
      <c r="F37" s="1401"/>
      <c r="G37" s="1563"/>
      <c r="H37" s="1286"/>
      <c r="I37" s="1419"/>
      <c r="J37" s="1286"/>
      <c r="K37" s="1419"/>
      <c r="L37" s="1286"/>
      <c r="M37" s="1419"/>
      <c r="N37" s="1286"/>
      <c r="O37" s="1419"/>
      <c r="P37" s="1286"/>
      <c r="Q37" s="1419"/>
      <c r="R37" s="1286"/>
      <c r="S37" s="1419"/>
    </row>
    <row r="38" spans="1:19" ht="15.75" thickTop="1">
      <c r="A38" s="296"/>
      <c r="B38" s="301"/>
      <c r="C38" s="297"/>
      <c r="D38" s="15"/>
      <c r="E38" s="16"/>
      <c r="F38" s="282" t="s">
        <v>753</v>
      </c>
      <c r="G38" s="272"/>
      <c r="H38" s="273"/>
      <c r="I38" s="273">
        <f>SUM(I12:I34)</f>
        <v>457690.82</v>
      </c>
      <c r="J38" s="273"/>
      <c r="K38" s="273">
        <f>SUM(K12:K34)</f>
        <v>511220.76</v>
      </c>
      <c r="L38" s="273"/>
      <c r="M38" s="273">
        <f>SUM(M12:M34)</f>
        <v>659849.86999999988</v>
      </c>
      <c r="N38" s="273"/>
      <c r="O38" s="273">
        <f>SUM(O15:O34)</f>
        <v>527616.82000000007</v>
      </c>
      <c r="P38" s="273"/>
      <c r="Q38" s="273">
        <f>SUM(Q15:Q34)</f>
        <v>0</v>
      </c>
      <c r="R38" s="273"/>
      <c r="S38" s="273">
        <f>SUM(S15:S34)</f>
        <v>0</v>
      </c>
    </row>
    <row r="39" spans="1:19">
      <c r="A39" s="1114"/>
      <c r="B39" s="1164"/>
      <c r="C39" s="432"/>
      <c r="D39" s="433"/>
      <c r="E39" s="434"/>
      <c r="F39" s="435" t="s">
        <v>754</v>
      </c>
      <c r="G39" s="436"/>
      <c r="H39" s="1395">
        <v>5.0000000000000001E-3</v>
      </c>
      <c r="I39" s="1166"/>
      <c r="J39" s="1165">
        <v>0</v>
      </c>
      <c r="K39" s="1166"/>
      <c r="L39" s="1165">
        <v>0</v>
      </c>
      <c r="M39" s="1166"/>
      <c r="N39" s="1165">
        <v>0</v>
      </c>
      <c r="O39" s="1166"/>
      <c r="P39" s="1165">
        <v>0</v>
      </c>
      <c r="Q39" s="1166"/>
      <c r="R39" s="1165">
        <v>0</v>
      </c>
      <c r="S39" s="1166"/>
    </row>
    <row r="40" spans="1:19">
      <c r="A40" s="1114"/>
      <c r="B40" s="1164"/>
      <c r="C40" s="432"/>
      <c r="D40" s="433"/>
      <c r="E40" s="434"/>
      <c r="F40" s="435" t="s">
        <v>755</v>
      </c>
      <c r="G40" s="436"/>
      <c r="H40" s="1166"/>
      <c r="I40" s="1166">
        <f>H39*I38</f>
        <v>2288.4540999999999</v>
      </c>
      <c r="J40" s="1166"/>
      <c r="K40" s="1166">
        <f>J39*K38</f>
        <v>0</v>
      </c>
      <c r="L40" s="1166"/>
      <c r="M40" s="1166">
        <f>L39*M38</f>
        <v>0</v>
      </c>
      <c r="N40" s="1166"/>
      <c r="O40" s="1166">
        <f>N39*O38</f>
        <v>0</v>
      </c>
      <c r="P40" s="1166"/>
      <c r="Q40" s="1166">
        <f>P39*Q38</f>
        <v>0</v>
      </c>
      <c r="R40" s="1166"/>
      <c r="S40" s="1166">
        <f>R39*S38</f>
        <v>0</v>
      </c>
    </row>
    <row r="41" spans="1:19">
      <c r="A41" s="1114"/>
      <c r="B41" s="1164"/>
      <c r="C41" s="432"/>
      <c r="D41" s="433"/>
      <c r="E41" s="434"/>
      <c r="F41" s="435"/>
      <c r="G41" s="436"/>
      <c r="H41" s="1166"/>
      <c r="I41" s="1166"/>
      <c r="J41" s="1166"/>
      <c r="K41" s="1166"/>
      <c r="L41" s="1166"/>
      <c r="M41" s="1166"/>
      <c r="N41" s="1166"/>
      <c r="O41" s="1166"/>
      <c r="P41" s="1166"/>
      <c r="Q41" s="1166"/>
      <c r="R41" s="1166"/>
      <c r="S41" s="1166"/>
    </row>
    <row r="42" spans="1:19">
      <c r="A42" s="1114"/>
      <c r="B42" s="1164"/>
      <c r="C42" s="432"/>
      <c r="D42" s="433"/>
      <c r="E42" s="434"/>
      <c r="F42" s="435" t="s">
        <v>756</v>
      </c>
      <c r="G42" s="436"/>
      <c r="H42" s="1166"/>
      <c r="I42" s="1166">
        <f>SUM(I38:I40)</f>
        <v>459979.27409999998</v>
      </c>
      <c r="J42" s="1166"/>
      <c r="K42" s="1166">
        <f>SUM(K38:K40)</f>
        <v>511220.76</v>
      </c>
      <c r="L42" s="1166"/>
      <c r="M42" s="1166">
        <f>SUM(M38:M40)</f>
        <v>659849.86999999988</v>
      </c>
      <c r="N42" s="1166"/>
      <c r="O42" s="1166">
        <f>SUM(O38:O40)</f>
        <v>527616.82000000007</v>
      </c>
      <c r="P42" s="1166"/>
      <c r="Q42" s="1166">
        <f>SUM(Q38:Q40)</f>
        <v>0</v>
      </c>
      <c r="R42" s="1166"/>
      <c r="S42" s="1166">
        <f>SUM(S38:S40)</f>
        <v>0</v>
      </c>
    </row>
    <row r="43" spans="1:19">
      <c r="A43" s="1114"/>
      <c r="B43" s="1164"/>
      <c r="C43" s="432"/>
      <c r="D43" s="433"/>
      <c r="E43" s="434"/>
      <c r="F43" s="437" t="s">
        <v>757</v>
      </c>
      <c r="G43" s="438"/>
      <c r="H43" s="1167"/>
      <c r="I43" s="1167">
        <f>I42/'Area Calculations'!$G$4</f>
        <v>0.79490009573793374</v>
      </c>
      <c r="J43" s="1167"/>
      <c r="K43" s="1167">
        <f>K42/'Area Calculations'!$G$4</f>
        <v>0.88345161173256281</v>
      </c>
      <c r="L43" s="1167"/>
      <c r="M43" s="1167">
        <f>M42/'Area Calculations'!$G$4</f>
        <v>1.1403007795556306</v>
      </c>
      <c r="N43" s="1167"/>
      <c r="O43" s="1167">
        <f>O42/'Area Calculations'!$G$4</f>
        <v>0.9117859963398387</v>
      </c>
      <c r="P43" s="1167"/>
      <c r="Q43" s="1167">
        <f>Q42/'Area Calculations'!$G$4</f>
        <v>0</v>
      </c>
      <c r="R43" s="1167"/>
      <c r="S43" s="1167">
        <f>S42/'Area Calculations'!$G$4</f>
        <v>0</v>
      </c>
    </row>
    <row r="44" spans="1:19">
      <c r="A44" s="1114"/>
      <c r="B44" s="1164"/>
      <c r="C44" s="432"/>
      <c r="D44" s="433"/>
      <c r="E44" s="434"/>
      <c r="F44" s="437" t="s">
        <v>758</v>
      </c>
      <c r="G44" s="438"/>
      <c r="H44" s="1167"/>
      <c r="I44" s="1167">
        <f>I42/'Area Calculations'!$G$9</f>
        <v>4298.8717205607472</v>
      </c>
      <c r="J44" s="1167"/>
      <c r="K44" s="1167">
        <f>K42/'Area Calculations'!$G$9</f>
        <v>4777.7641121495326</v>
      </c>
      <c r="L44" s="1167"/>
      <c r="M44" s="1167">
        <f>M42/'Area Calculations'!$G$9</f>
        <v>6166.8212149532701</v>
      </c>
      <c r="N44" s="1167"/>
      <c r="O44" s="1167">
        <f>O42/'Area Calculations'!$G$9</f>
        <v>4930.9983177570102</v>
      </c>
      <c r="P44" s="1167"/>
      <c r="Q44" s="1167">
        <f>Q42/'Area Calculations'!$G$9</f>
        <v>0</v>
      </c>
      <c r="R44" s="1167"/>
      <c r="S44" s="1167">
        <f>S42/'Area Calculations'!$G$9</f>
        <v>0</v>
      </c>
    </row>
    <row r="45" spans="1:19" ht="15.75" thickBot="1">
      <c r="A45" s="1114"/>
      <c r="B45" s="1164"/>
      <c r="C45" s="432"/>
      <c r="D45" s="433"/>
      <c r="E45" s="434"/>
      <c r="F45" s="439"/>
      <c r="G45" s="436"/>
      <c r="H45" s="1168"/>
      <c r="I45" s="1168"/>
      <c r="J45" s="1168"/>
      <c r="K45" s="1168"/>
      <c r="L45" s="1168"/>
      <c r="M45" s="1168"/>
      <c r="N45" s="1168"/>
      <c r="O45" s="1168"/>
      <c r="P45" s="1168"/>
      <c r="Q45" s="1168"/>
      <c r="R45" s="1168"/>
      <c r="S45" s="1168"/>
    </row>
    <row r="46" spans="1:19" ht="16.5" thickTop="1" thickBot="1">
      <c r="A46" s="2331" t="s">
        <v>759</v>
      </c>
      <c r="B46" s="2332"/>
      <c r="C46" s="298"/>
      <c r="D46" s="12"/>
      <c r="E46" s="12"/>
      <c r="F46" s="12"/>
      <c r="G46" s="26"/>
      <c r="H46" s="20"/>
      <c r="I46" s="20"/>
      <c r="J46" s="24"/>
      <c r="K46" s="20"/>
      <c r="L46" s="20"/>
      <c r="M46" s="20"/>
      <c r="N46" s="20"/>
      <c r="O46" s="20"/>
      <c r="P46" s="20"/>
      <c r="Q46" s="20"/>
      <c r="R46" s="20"/>
      <c r="S46" s="20"/>
    </row>
    <row r="47" spans="1:19" ht="15.75" thickTop="1">
      <c r="A47" s="1403"/>
      <c r="B47" s="1105"/>
      <c r="C47" s="1548"/>
      <c r="D47" s="1435"/>
      <c r="E47" s="1435"/>
      <c r="F47" s="1435"/>
      <c r="G47" s="1404"/>
      <c r="H47" s="1223"/>
      <c r="I47" s="1223"/>
      <c r="J47" s="1405"/>
      <c r="K47" s="1223"/>
      <c r="L47" s="1223"/>
      <c r="M47" s="1223"/>
      <c r="N47" s="1223"/>
      <c r="O47" s="1223"/>
      <c r="P47" s="1223"/>
      <c r="Q47" s="1223"/>
      <c r="R47" s="1223"/>
      <c r="S47" s="1223"/>
    </row>
    <row r="48" spans="1:19">
      <c r="A48" s="1403"/>
      <c r="B48" s="1105"/>
      <c r="C48" s="1548"/>
      <c r="D48" s="1435"/>
      <c r="E48" s="1435"/>
      <c r="F48" s="1435"/>
      <c r="G48" s="1404"/>
      <c r="H48" s="1223"/>
      <c r="I48" s="1223"/>
      <c r="J48" s="1405"/>
      <c r="K48" s="1223"/>
      <c r="L48" s="1223"/>
      <c r="M48" s="1223"/>
      <c r="N48" s="1223"/>
      <c r="O48" s="1223"/>
      <c r="P48" s="1223"/>
      <c r="Q48" s="1223"/>
      <c r="R48" s="1223"/>
      <c r="S48" s="1223"/>
    </row>
    <row r="49" spans="1:34" ht="15.75" thickBot="1">
      <c r="A49" s="1403"/>
      <c r="B49" s="1105"/>
      <c r="C49" s="1548"/>
      <c r="D49" s="1435"/>
      <c r="E49" s="1435"/>
      <c r="F49" s="1435"/>
      <c r="G49" s="1404"/>
      <c r="H49" s="1223"/>
      <c r="I49" s="1223"/>
      <c r="J49" s="1405"/>
      <c r="K49" s="1223"/>
      <c r="L49" s="1223"/>
      <c r="M49" s="1223"/>
      <c r="N49" s="1223"/>
      <c r="O49" s="1223"/>
      <c r="P49" s="1223"/>
      <c r="Q49" s="1223"/>
      <c r="R49" s="1223"/>
      <c r="S49" s="1223"/>
    </row>
    <row r="50" spans="1:34" s="2" customFormat="1" ht="16.5" thickTop="1" thickBot="1">
      <c r="A50" s="2331" t="s">
        <v>760</v>
      </c>
      <c r="B50" s="2332"/>
      <c r="C50" s="298"/>
      <c r="D50" s="12"/>
      <c r="E50" s="12"/>
      <c r="F50" s="12"/>
      <c r="G50" s="26"/>
      <c r="H50" s="20"/>
      <c r="I50" s="20"/>
      <c r="J50" s="24"/>
      <c r="K50" s="20"/>
      <c r="L50" s="20"/>
      <c r="M50" s="20"/>
      <c r="N50" s="20"/>
      <c r="O50" s="20"/>
      <c r="P50" s="20"/>
      <c r="Q50" s="20"/>
      <c r="R50" s="20"/>
      <c r="S50" s="20"/>
      <c r="T50"/>
      <c r="U50"/>
      <c r="V50"/>
      <c r="W50"/>
      <c r="X50"/>
      <c r="Y50"/>
      <c r="Z50"/>
      <c r="AA50"/>
      <c r="AB50"/>
      <c r="AC50"/>
      <c r="AD50"/>
      <c r="AE50"/>
      <c r="AF50"/>
      <c r="AG50"/>
      <c r="AH50"/>
    </row>
    <row r="51" spans="1:34" s="2" customFormat="1" ht="15.75" thickTop="1">
      <c r="A51" s="1403"/>
      <c r="B51" s="1105"/>
      <c r="C51" s="1548"/>
      <c r="D51" s="1435"/>
      <c r="E51" s="1435"/>
      <c r="F51" s="1435"/>
      <c r="G51" s="1404"/>
      <c r="H51" s="1223"/>
      <c r="I51" s="1223"/>
      <c r="J51" s="1405"/>
      <c r="K51" s="1223"/>
      <c r="L51" s="1223"/>
      <c r="M51" s="1223"/>
      <c r="N51" s="1223"/>
      <c r="O51" s="1223"/>
      <c r="P51" s="1223"/>
      <c r="Q51" s="1223"/>
      <c r="R51" s="1223"/>
      <c r="S51" s="1223"/>
      <c r="T51"/>
      <c r="U51"/>
      <c r="V51"/>
      <c r="W51"/>
      <c r="X51"/>
      <c r="Y51"/>
      <c r="Z51"/>
      <c r="AA51"/>
      <c r="AB51"/>
      <c r="AC51"/>
      <c r="AD51"/>
      <c r="AE51"/>
      <c r="AF51"/>
      <c r="AG51"/>
      <c r="AH51"/>
    </row>
    <row r="52" spans="1:34" s="2" customFormat="1">
      <c r="A52" s="1403"/>
      <c r="B52" s="1105"/>
      <c r="C52" s="1548"/>
      <c r="D52" s="1435"/>
      <c r="E52" s="1435"/>
      <c r="F52" s="1435"/>
      <c r="G52" s="1404"/>
      <c r="H52" s="1223"/>
      <c r="I52" s="1223"/>
      <c r="J52" s="1405"/>
      <c r="K52" s="1223"/>
      <c r="L52" s="1223"/>
      <c r="M52" s="1223"/>
      <c r="N52" s="1223"/>
      <c r="O52" s="1223"/>
      <c r="P52" s="1223"/>
      <c r="Q52" s="1223"/>
      <c r="R52" s="1223"/>
      <c r="S52" s="1223"/>
      <c r="T52"/>
      <c r="U52"/>
      <c r="V52"/>
      <c r="W52"/>
      <c r="X52"/>
      <c r="Y52"/>
      <c r="Z52"/>
      <c r="AA52"/>
      <c r="AB52"/>
      <c r="AC52"/>
      <c r="AD52"/>
      <c r="AE52"/>
      <c r="AF52"/>
      <c r="AG52"/>
      <c r="AH52"/>
    </row>
    <row r="53" spans="1:34" ht="15.75" thickBot="1">
      <c r="A53" s="1403"/>
      <c r="B53" s="1105"/>
      <c r="C53" s="1548"/>
      <c r="D53" s="1435"/>
      <c r="E53" s="1435"/>
      <c r="F53" s="1435"/>
      <c r="G53" s="1404"/>
      <c r="H53" s="1223"/>
      <c r="I53" s="1223"/>
      <c r="J53" s="1405"/>
      <c r="K53" s="1223"/>
      <c r="L53" s="1223"/>
      <c r="M53" s="1223"/>
      <c r="N53" s="1223"/>
      <c r="O53" s="1223"/>
      <c r="P53" s="1223"/>
      <c r="Q53" s="1223"/>
      <c r="R53" s="1223"/>
      <c r="S53" s="1223"/>
    </row>
    <row r="54" spans="1:34" s="2" customFormat="1" ht="16.5" thickTop="1" thickBot="1">
      <c r="A54" s="2331" t="s">
        <v>761</v>
      </c>
      <c r="B54" s="2332"/>
      <c r="C54" s="298"/>
      <c r="D54" s="12"/>
      <c r="E54" s="12"/>
      <c r="F54" s="12"/>
      <c r="G54" s="26"/>
      <c r="H54" s="20"/>
      <c r="I54" s="20"/>
      <c r="J54" s="24"/>
      <c r="K54" s="20"/>
      <c r="L54" s="20"/>
      <c r="M54" s="20"/>
      <c r="N54" s="20"/>
      <c r="O54" s="20"/>
      <c r="P54" s="20"/>
      <c r="Q54" s="20"/>
      <c r="R54" s="20"/>
      <c r="S54" s="20"/>
      <c r="T54"/>
      <c r="U54"/>
      <c r="V54"/>
      <c r="W54"/>
      <c r="X54"/>
      <c r="Y54"/>
      <c r="Z54"/>
      <c r="AA54"/>
      <c r="AB54"/>
      <c r="AC54"/>
      <c r="AD54"/>
      <c r="AE54"/>
      <c r="AF54"/>
      <c r="AG54"/>
      <c r="AH54"/>
    </row>
    <row r="55" spans="1:34" s="2" customFormat="1" ht="15.75" thickTop="1">
      <c r="A55" s="1403"/>
      <c r="B55" s="1105"/>
      <c r="C55" s="1548"/>
      <c r="D55" s="1435"/>
      <c r="E55" s="1435"/>
      <c r="F55" s="1435"/>
      <c r="G55" s="1404"/>
      <c r="H55" s="1223"/>
      <c r="I55" s="1223"/>
      <c r="J55" s="1405"/>
      <c r="K55" s="1223"/>
      <c r="L55" s="1223"/>
      <c r="M55" s="1223"/>
      <c r="N55" s="1223"/>
      <c r="O55" s="1223"/>
      <c r="P55" s="1223"/>
      <c r="Q55" s="1223"/>
      <c r="R55" s="1223"/>
      <c r="S55" s="1223"/>
      <c r="T55"/>
      <c r="U55"/>
      <c r="V55"/>
      <c r="W55"/>
      <c r="X55"/>
      <c r="Y55"/>
      <c r="Z55"/>
      <c r="AA55"/>
      <c r="AB55"/>
      <c r="AC55"/>
      <c r="AD55"/>
      <c r="AE55"/>
      <c r="AF55"/>
      <c r="AG55"/>
      <c r="AH55"/>
    </row>
    <row r="56" spans="1:34" s="2" customFormat="1">
      <c r="A56" s="1124"/>
      <c r="B56" s="1105"/>
      <c r="C56" s="415"/>
      <c r="D56" s="422"/>
      <c r="E56" s="422"/>
      <c r="F56" s="422"/>
      <c r="G56" s="831"/>
      <c r="H56" s="1173"/>
      <c r="I56" s="1173"/>
      <c r="J56" s="440"/>
      <c r="K56" s="1173"/>
      <c r="L56" s="1173"/>
      <c r="M56" s="1173"/>
      <c r="N56" s="1173"/>
      <c r="O56" s="1173"/>
      <c r="P56" s="1173"/>
      <c r="Q56" s="1173"/>
      <c r="R56" s="1173"/>
      <c r="S56" s="1173"/>
      <c r="T56"/>
      <c r="U56"/>
      <c r="V56"/>
      <c r="W56"/>
      <c r="X56"/>
      <c r="Y56"/>
      <c r="Z56"/>
      <c r="AA56"/>
      <c r="AB56"/>
      <c r="AC56"/>
      <c r="AD56"/>
      <c r="AE56"/>
      <c r="AF56"/>
      <c r="AG56"/>
      <c r="AH56"/>
    </row>
    <row r="57" spans="1:34" s="2" customFormat="1" ht="15.75" thickBot="1">
      <c r="A57" s="1126"/>
      <c r="B57" s="1174"/>
      <c r="C57" s="415"/>
      <c r="D57" s="422"/>
      <c r="E57" s="422"/>
      <c r="F57" s="422"/>
      <c r="G57" s="831"/>
      <c r="H57" s="1175"/>
      <c r="I57" s="1175"/>
      <c r="J57" s="441"/>
      <c r="K57" s="1175"/>
      <c r="L57" s="1175"/>
      <c r="M57" s="1175"/>
      <c r="N57" s="1175"/>
      <c r="O57" s="1175"/>
      <c r="P57" s="1175"/>
      <c r="Q57" s="1175"/>
      <c r="R57" s="1175"/>
      <c r="S57" s="1175"/>
    </row>
    <row r="58" spans="1:34" s="2" customFormat="1" ht="16.5" thickTop="1" thickBot="1">
      <c r="A58" s="2331" t="s">
        <v>762</v>
      </c>
      <c r="B58" s="2332"/>
      <c r="C58" s="298"/>
      <c r="D58" s="12"/>
      <c r="E58" s="12"/>
      <c r="F58" s="12"/>
      <c r="G58" s="26"/>
      <c r="H58" s="20"/>
      <c r="I58" s="20"/>
      <c r="J58" s="24"/>
      <c r="K58" s="20"/>
      <c r="L58" s="20"/>
      <c r="M58" s="20"/>
      <c r="N58" s="20"/>
      <c r="O58" s="20"/>
      <c r="P58" s="20"/>
      <c r="Q58" s="20"/>
      <c r="R58" s="20"/>
      <c r="S58" s="20"/>
      <c r="T58"/>
      <c r="U58"/>
      <c r="V58"/>
      <c r="W58"/>
      <c r="X58"/>
      <c r="Y58"/>
      <c r="Z58"/>
      <c r="AA58"/>
      <c r="AB58"/>
      <c r="AC58"/>
      <c r="AD58"/>
      <c r="AE58"/>
      <c r="AF58"/>
      <c r="AG58"/>
      <c r="AH58"/>
    </row>
    <row r="59" spans="1:34" ht="15.75" thickTop="1">
      <c r="A59" s="1407"/>
      <c r="B59" s="1225"/>
      <c r="C59" s="1548"/>
      <c r="D59" s="1435"/>
      <c r="E59" s="1435"/>
      <c r="F59" s="1435"/>
      <c r="G59" s="1404"/>
      <c r="H59" s="1223"/>
      <c r="I59" s="1223"/>
      <c r="J59" s="1405"/>
      <c r="K59" s="1223"/>
      <c r="L59" s="1223"/>
      <c r="M59" s="1223"/>
      <c r="N59" s="1223"/>
      <c r="O59" s="1223"/>
      <c r="P59" s="1223"/>
      <c r="Q59" s="1223"/>
      <c r="R59" s="1223"/>
      <c r="S59" s="1223"/>
      <c r="T59" s="2"/>
      <c r="U59" s="2"/>
      <c r="V59" s="2"/>
      <c r="W59" s="2"/>
      <c r="X59" s="2"/>
      <c r="Y59" s="2"/>
      <c r="Z59" s="2"/>
      <c r="AA59" s="2"/>
      <c r="AB59" s="2"/>
      <c r="AC59" s="2"/>
      <c r="AD59" s="2"/>
      <c r="AE59" s="2"/>
      <c r="AF59" s="2"/>
      <c r="AG59" s="2"/>
      <c r="AH59" s="2"/>
    </row>
    <row r="60" spans="1:34">
      <c r="A60" s="1126"/>
      <c r="B60" s="1174"/>
      <c r="C60" s="415"/>
      <c r="D60" s="422"/>
      <c r="E60" s="422"/>
      <c r="F60" s="422"/>
      <c r="G60" s="831"/>
      <c r="H60" s="1178"/>
      <c r="I60" s="1178"/>
      <c r="J60" s="442"/>
      <c r="K60" s="1178"/>
      <c r="L60" s="1178"/>
      <c r="M60" s="1178"/>
      <c r="N60" s="1178"/>
      <c r="O60" s="1178"/>
      <c r="P60" s="1178"/>
      <c r="Q60" s="1178"/>
      <c r="R60" s="1178"/>
      <c r="S60" s="1178"/>
      <c r="T60" s="2"/>
      <c r="U60" s="2"/>
      <c r="V60" s="2"/>
      <c r="W60" s="2"/>
      <c r="X60" s="2"/>
      <c r="Y60" s="2"/>
      <c r="Z60" s="2"/>
      <c r="AA60" s="2"/>
      <c r="AB60" s="2"/>
      <c r="AC60" s="2"/>
      <c r="AD60" s="2"/>
      <c r="AE60" s="2"/>
      <c r="AF60" s="2"/>
      <c r="AG60" s="2"/>
      <c r="AH60" s="2"/>
    </row>
    <row r="61" spans="1:34" ht="15.75" thickBot="1">
      <c r="A61" s="1126"/>
      <c r="B61" s="1174"/>
      <c r="C61" s="415"/>
      <c r="D61" s="422"/>
      <c r="E61" s="422"/>
      <c r="F61" s="422"/>
      <c r="G61" s="831"/>
      <c r="H61" s="1178"/>
      <c r="I61" s="1178"/>
      <c r="J61" s="442"/>
      <c r="K61" s="1178"/>
      <c r="L61" s="1178"/>
      <c r="M61" s="1178"/>
      <c r="N61" s="1178"/>
      <c r="O61" s="1178"/>
      <c r="P61" s="1178"/>
      <c r="Q61" s="1178"/>
      <c r="R61" s="1178"/>
      <c r="S61" s="1178"/>
      <c r="T61" s="2"/>
      <c r="U61" s="2"/>
      <c r="V61" s="2"/>
      <c r="W61" s="2"/>
      <c r="X61" s="2"/>
      <c r="Y61" s="2"/>
      <c r="Z61" s="2"/>
      <c r="AA61" s="2"/>
      <c r="AB61" s="2"/>
      <c r="AC61" s="2"/>
      <c r="AD61" s="2"/>
      <c r="AE61" s="2"/>
      <c r="AF61" s="2"/>
      <c r="AG61" s="2"/>
      <c r="AH61" s="2"/>
    </row>
    <row r="62" spans="1:34" ht="16.5" thickTop="1" thickBot="1">
      <c r="A62" s="2331" t="s">
        <v>763</v>
      </c>
      <c r="B62" s="2332"/>
      <c r="C62" s="298"/>
      <c r="D62" s="12"/>
      <c r="E62" s="12"/>
      <c r="F62" s="12"/>
      <c r="G62" s="26"/>
      <c r="H62" s="20"/>
      <c r="I62" s="20"/>
      <c r="J62" s="24"/>
      <c r="K62" s="20"/>
      <c r="L62" s="20"/>
      <c r="M62" s="20"/>
      <c r="N62" s="20"/>
      <c r="O62" s="20"/>
      <c r="P62" s="20"/>
      <c r="Q62" s="20"/>
      <c r="R62" s="20"/>
      <c r="S62" s="20"/>
    </row>
    <row r="63" spans="1:34" ht="15.75" thickTop="1">
      <c r="A63" s="1124"/>
      <c r="B63" s="1105" t="s">
        <v>764</v>
      </c>
      <c r="C63" s="415"/>
      <c r="D63" s="422"/>
      <c r="E63" s="422"/>
      <c r="F63" s="422"/>
      <c r="G63" s="831"/>
      <c r="H63" s="1178"/>
      <c r="I63" s="1178"/>
      <c r="J63" s="442"/>
      <c r="K63" s="1178"/>
      <c r="L63" s="1178"/>
      <c r="M63" s="1178"/>
      <c r="N63" s="1178"/>
      <c r="O63" s="1178"/>
      <c r="P63" s="1178"/>
      <c r="Q63" s="1178"/>
      <c r="R63" s="1178"/>
      <c r="S63" s="1178"/>
    </row>
    <row r="64" spans="1:34">
      <c r="A64" s="1124"/>
      <c r="B64" s="1105" t="s">
        <v>765</v>
      </c>
      <c r="C64" s="415"/>
      <c r="D64" s="422"/>
      <c r="E64" s="422"/>
      <c r="F64" s="422"/>
      <c r="G64" s="831"/>
      <c r="H64" s="1178"/>
      <c r="I64" s="1178"/>
      <c r="J64" s="442"/>
      <c r="K64" s="1178"/>
      <c r="L64" s="1178"/>
      <c r="M64" s="1178"/>
      <c r="N64" s="1178"/>
      <c r="O64" s="1178"/>
      <c r="P64" s="1178"/>
      <c r="Q64" s="1178"/>
      <c r="R64" s="1178"/>
      <c r="S64" s="1178"/>
    </row>
    <row r="65" spans="1:19">
      <c r="A65" s="1124"/>
      <c r="B65" s="1105" t="s">
        <v>766</v>
      </c>
      <c r="C65" s="415"/>
      <c r="D65" s="422"/>
      <c r="E65" s="422"/>
      <c r="F65" s="422"/>
      <c r="G65" s="831"/>
      <c r="H65" s="1178"/>
      <c r="I65" s="1178"/>
      <c r="J65" s="442"/>
      <c r="K65" s="1178"/>
      <c r="L65" s="1178"/>
      <c r="M65" s="1178"/>
      <c r="N65" s="1178"/>
      <c r="O65" s="1178"/>
      <c r="P65" s="1178"/>
      <c r="Q65" s="1178"/>
      <c r="R65" s="1178"/>
      <c r="S65" s="1178"/>
    </row>
    <row r="66" spans="1:19">
      <c r="A66" s="1124"/>
      <c r="B66" s="1105" t="s">
        <v>767</v>
      </c>
      <c r="C66" s="415"/>
      <c r="D66" s="422"/>
      <c r="E66" s="422"/>
      <c r="F66" s="422"/>
      <c r="G66" s="831"/>
      <c r="H66" s="1178"/>
      <c r="I66" s="1178"/>
      <c r="J66" s="442"/>
      <c r="K66" s="1178"/>
      <c r="L66" s="1178"/>
      <c r="M66" s="1178"/>
      <c r="N66" s="1178"/>
      <c r="O66" s="1178"/>
      <c r="P66" s="1178"/>
      <c r="Q66" s="1178"/>
      <c r="R66" s="1178"/>
      <c r="S66" s="1178"/>
    </row>
    <row r="67" spans="1:19" ht="15.75" thickBot="1">
      <c r="A67" s="443"/>
      <c r="B67" s="421"/>
      <c r="C67" s="23"/>
      <c r="D67" s="86"/>
      <c r="E67" s="86"/>
      <c r="F67" s="86"/>
      <c r="G67" s="27"/>
      <c r="H67" s="444"/>
      <c r="I67" s="444"/>
      <c r="J67" s="25"/>
      <c r="K67" s="444"/>
      <c r="L67" s="444"/>
      <c r="M67" s="444"/>
      <c r="N67" s="444"/>
      <c r="O67" s="444"/>
      <c r="P67" s="444"/>
      <c r="Q67" s="444"/>
      <c r="R67" s="444"/>
      <c r="S67" s="444"/>
    </row>
    <row r="68" spans="1:19" ht="16.5" thickTop="1" thickBot="1">
      <c r="A68" s="72" t="s">
        <v>768</v>
      </c>
      <c r="B68" s="73"/>
      <c r="C68" s="298"/>
      <c r="D68" s="12"/>
      <c r="E68" s="12"/>
      <c r="F68" s="12"/>
      <c r="G68" s="26"/>
      <c r="H68" s="20"/>
      <c r="I68" s="20"/>
      <c r="J68" s="24"/>
      <c r="K68" s="20"/>
      <c r="L68" s="20"/>
      <c r="M68" s="20"/>
      <c r="N68" s="20"/>
      <c r="O68" s="20"/>
      <c r="P68" s="20"/>
      <c r="Q68" s="20"/>
      <c r="R68" s="20"/>
      <c r="S68" s="20"/>
    </row>
    <row r="69" spans="1:19" ht="15.75" thickTop="1">
      <c r="A69" s="1403"/>
      <c r="B69" s="1226" t="s">
        <v>769</v>
      </c>
      <c r="C69" s="1548"/>
      <c r="D69" s="1435"/>
      <c r="E69" s="1435"/>
      <c r="F69" s="1435"/>
      <c r="G69" s="1404"/>
      <c r="H69" s="1228"/>
      <c r="I69" s="1228"/>
      <c r="J69" s="1410"/>
      <c r="K69" s="1228"/>
      <c r="L69" s="1228"/>
      <c r="M69" s="1228"/>
      <c r="N69" s="1228"/>
      <c r="O69" s="1228"/>
      <c r="P69" s="1228"/>
      <c r="Q69" s="1228"/>
      <c r="R69" s="1228"/>
      <c r="S69" s="1228"/>
    </row>
    <row r="70" spans="1:19">
      <c r="A70" s="1124"/>
      <c r="B70" s="1105" t="s">
        <v>770</v>
      </c>
      <c r="C70" s="415"/>
      <c r="D70" s="422"/>
      <c r="E70" s="422"/>
      <c r="F70" s="422"/>
      <c r="G70" s="831"/>
      <c r="H70" s="1182"/>
      <c r="I70" s="1182"/>
      <c r="J70" s="445"/>
      <c r="K70" s="1182"/>
      <c r="L70" s="1182"/>
      <c r="M70" s="1182"/>
      <c r="N70" s="1182"/>
      <c r="O70" s="1182"/>
      <c r="P70" s="1182"/>
      <c r="Q70" s="1182"/>
      <c r="R70" s="1182"/>
      <c r="S70" s="1182"/>
    </row>
    <row r="71" spans="1:19" ht="15.75" thickBot="1">
      <c r="A71" s="1376"/>
      <c r="B71" s="1377" t="s">
        <v>771</v>
      </c>
      <c r="C71" s="1378"/>
      <c r="D71" s="1379"/>
      <c r="E71" s="1379"/>
      <c r="F71" s="1379"/>
      <c r="G71" s="1380"/>
      <c r="H71" s="1382"/>
      <c r="I71" s="1382"/>
      <c r="J71" s="1381"/>
      <c r="K71" s="1382"/>
      <c r="L71" s="1382"/>
      <c r="M71" s="1382"/>
      <c r="N71" s="1382"/>
      <c r="O71" s="1382"/>
      <c r="P71" s="1382"/>
      <c r="Q71" s="1382"/>
      <c r="R71" s="1382"/>
      <c r="S71" s="1382"/>
    </row>
    <row r="72" spans="1:19" ht="16.5" thickTop="1" thickBot="1">
      <c r="F72" s="2"/>
      <c r="G72" s="2"/>
      <c r="H72" s="2"/>
      <c r="I72" s="2"/>
      <c r="J72" s="2"/>
      <c r="K72" s="2"/>
      <c r="L72" s="2"/>
      <c r="M72" s="2"/>
      <c r="N72" s="2"/>
      <c r="O72" s="2"/>
      <c r="P72" s="2"/>
      <c r="Q72" s="2"/>
      <c r="R72" s="2"/>
      <c r="S72" s="2"/>
    </row>
    <row r="73" spans="1:19" ht="16.5" thickTop="1" thickBot="1">
      <c r="A73" s="37" t="s">
        <v>772</v>
      </c>
      <c r="B73" s="39"/>
      <c r="F73" s="2"/>
      <c r="G73" s="2"/>
      <c r="H73" s="2"/>
      <c r="I73" s="2"/>
      <c r="J73" s="2"/>
      <c r="K73" s="2"/>
      <c r="L73" s="2"/>
      <c r="M73" s="2"/>
      <c r="N73" s="2"/>
      <c r="O73" s="2"/>
      <c r="P73" s="2"/>
      <c r="Q73" s="2"/>
      <c r="R73" s="2"/>
      <c r="S73" s="2"/>
    </row>
    <row r="74" spans="1:19" ht="15.75" thickTop="1">
      <c r="A74" s="38" t="s">
        <v>693</v>
      </c>
      <c r="B74" s="1190" t="str">
        <f>H5</f>
        <v xml:space="preserve">Spraggins, Inc. </v>
      </c>
      <c r="F74" s="2"/>
      <c r="G74" s="2"/>
      <c r="H74" s="2"/>
      <c r="I74" s="2"/>
      <c r="J74" s="2"/>
      <c r="K74" s="2"/>
      <c r="L74" s="2"/>
      <c r="M74" s="2"/>
      <c r="N74" s="2"/>
      <c r="O74" s="2"/>
      <c r="P74" s="2"/>
      <c r="Q74" s="2"/>
      <c r="R74" s="2"/>
      <c r="S74" s="2"/>
    </row>
    <row r="75" spans="1:19">
      <c r="A75" s="1142" t="s">
        <v>702</v>
      </c>
      <c r="B75" s="1190" t="str">
        <f>H6</f>
        <v>Robert Riddley</v>
      </c>
      <c r="F75" s="2"/>
      <c r="G75" s="2"/>
      <c r="H75" s="2"/>
      <c r="I75" s="2"/>
      <c r="J75" s="2"/>
      <c r="K75" s="2"/>
      <c r="L75" s="2"/>
      <c r="M75" s="2"/>
      <c r="N75" s="2"/>
      <c r="O75" s="2"/>
      <c r="P75" s="2"/>
      <c r="Q75" s="2"/>
      <c r="R75" s="2"/>
      <c r="S75" s="2"/>
    </row>
    <row r="76" spans="1:19">
      <c r="A76" s="1191" t="s">
        <v>708</v>
      </c>
      <c r="B76" s="1192" t="str">
        <f>H7</f>
        <v>724-290-3332</v>
      </c>
      <c r="F76" s="2"/>
      <c r="G76" s="2"/>
      <c r="H76" s="2"/>
      <c r="I76" s="2"/>
      <c r="J76" s="2"/>
      <c r="K76" s="2"/>
      <c r="L76" s="2"/>
      <c r="M76" s="2"/>
      <c r="N76" s="2"/>
      <c r="O76" s="2"/>
      <c r="P76" s="2"/>
      <c r="Q76" s="2"/>
      <c r="R76" s="2"/>
      <c r="S76" s="2"/>
    </row>
    <row r="77" spans="1:19">
      <c r="A77" s="1191" t="s">
        <v>713</v>
      </c>
      <c r="B77" s="1193" t="str">
        <f>H8</f>
        <v>rridley@spragginsinc.com</v>
      </c>
      <c r="F77" s="2"/>
      <c r="G77" s="2"/>
      <c r="H77" s="2"/>
      <c r="I77" s="2"/>
      <c r="J77" s="2"/>
      <c r="K77" s="2"/>
      <c r="L77" s="2"/>
      <c r="M77" s="2"/>
      <c r="N77" s="2"/>
      <c r="O77" s="2"/>
      <c r="P77" s="2"/>
      <c r="Q77" s="2"/>
      <c r="R77" s="2"/>
      <c r="S77" s="2"/>
    </row>
    <row r="78" spans="1:19" ht="15.75" thickBot="1">
      <c r="A78" s="1383" t="s">
        <v>69</v>
      </c>
      <c r="B78" s="1397">
        <f>H9</f>
        <v>459979.27409999998</v>
      </c>
      <c r="F78" s="2"/>
      <c r="G78" s="2"/>
      <c r="H78" s="2"/>
      <c r="I78" s="2"/>
      <c r="J78" s="2"/>
      <c r="K78" s="2"/>
      <c r="L78" s="2"/>
      <c r="M78" s="2"/>
      <c r="N78" s="2"/>
      <c r="O78" s="2"/>
      <c r="P78" s="2"/>
      <c r="Q78" s="2"/>
      <c r="R78" s="2"/>
      <c r="S78" s="2"/>
    </row>
    <row r="79" spans="1:19" ht="15.75" thickTop="1"/>
  </sheetData>
  <mergeCells count="41">
    <mergeCell ref="A58:B58"/>
    <mergeCell ref="A62:B62"/>
    <mergeCell ref="H9:I9"/>
    <mergeCell ref="J9:K9"/>
    <mergeCell ref="A46:B46"/>
    <mergeCell ref="A50:B50"/>
    <mergeCell ref="A54:B54"/>
    <mergeCell ref="R8:S8"/>
    <mergeCell ref="R9:S9"/>
    <mergeCell ref="L8:M8"/>
    <mergeCell ref="N8:O8"/>
    <mergeCell ref="P8:Q8"/>
    <mergeCell ref="L9:M9"/>
    <mergeCell ref="N9:O9"/>
    <mergeCell ref="P9:Q9"/>
    <mergeCell ref="R7:S7"/>
    <mergeCell ref="R4:S4"/>
    <mergeCell ref="L4:M4"/>
    <mergeCell ref="N4:O4"/>
    <mergeCell ref="P4:Q4"/>
    <mergeCell ref="R6:S6"/>
    <mergeCell ref="R5:S5"/>
    <mergeCell ref="L6:M6"/>
    <mergeCell ref="N6:O6"/>
    <mergeCell ref="P6:Q6"/>
    <mergeCell ref="L5:M5"/>
    <mergeCell ref="N5:O5"/>
    <mergeCell ref="P5:Q5"/>
    <mergeCell ref="L7:M7"/>
    <mergeCell ref="N7:O7"/>
    <mergeCell ref="P7:Q7"/>
    <mergeCell ref="H4:I4"/>
    <mergeCell ref="H5:I5"/>
    <mergeCell ref="H6:I6"/>
    <mergeCell ref="H7:I7"/>
    <mergeCell ref="H8:I8"/>
    <mergeCell ref="J4:K4"/>
    <mergeCell ref="J5:K5"/>
    <mergeCell ref="J6:K6"/>
    <mergeCell ref="J7:K7"/>
    <mergeCell ref="J8:K8"/>
  </mergeCells>
  <conditionalFormatting sqref="H11:H19">
    <cfRule type="cellIs" dxfId="405" priority="7" operator="equal">
      <formula>"X"</formula>
    </cfRule>
    <cfRule type="cellIs" dxfId="404" priority="8" operator="equal">
      <formula>"I"</formula>
    </cfRule>
  </conditionalFormatting>
  <conditionalFormatting sqref="H21:H37">
    <cfRule type="cellIs" dxfId="403" priority="11" operator="equal">
      <formula>"X"</formula>
    </cfRule>
    <cfRule type="cellIs" dxfId="402" priority="12" operator="equal">
      <formula>"I"</formula>
    </cfRule>
  </conditionalFormatting>
  <conditionalFormatting sqref="J11:J19">
    <cfRule type="cellIs" dxfId="401" priority="5" operator="equal">
      <formula>"X"</formula>
    </cfRule>
    <cfRule type="cellIs" dxfId="400" priority="6" operator="equal">
      <formula>"I"</formula>
    </cfRule>
  </conditionalFormatting>
  <conditionalFormatting sqref="J21:J37">
    <cfRule type="cellIs" dxfId="399" priority="9" operator="equal">
      <formula>"X"</formula>
    </cfRule>
    <cfRule type="cellIs" dxfId="398" priority="10" operator="equal">
      <formula>"I"</formula>
    </cfRule>
  </conditionalFormatting>
  <conditionalFormatting sqref="L11:L19">
    <cfRule type="cellIs" dxfId="397" priority="3" operator="equal">
      <formula>"X"</formula>
    </cfRule>
    <cfRule type="cellIs" dxfId="396" priority="4" operator="equal">
      <formula>"I"</formula>
    </cfRule>
  </conditionalFormatting>
  <conditionalFormatting sqref="N11:N19">
    <cfRule type="cellIs" dxfId="395" priority="1" operator="equal">
      <formula>"X"</formula>
    </cfRule>
    <cfRule type="cellIs" dxfId="394" priority="2" operator="equal">
      <formula>"I"</formula>
    </cfRule>
  </conditionalFormatting>
  <conditionalFormatting sqref="P11:P19 R11:R19 L21:L37 N21:N37 P21:P37 R21:R37">
    <cfRule type="cellIs" dxfId="393" priority="25" operator="equal">
      <formula>"X"</formula>
    </cfRule>
    <cfRule type="cellIs" dxfId="392" priority="26" operator="equal">
      <formula>"I"</formula>
    </cfRule>
  </conditionalFormatting>
  <hyperlinks>
    <hyperlink ref="B4" location="'Cost Summary'!A1" display="BACK TO SUMMARY SHEET" xr:uid="{8548A2B4-670A-4E1F-B6F6-4192B5F41D75}"/>
    <hyperlink ref="L8:M8" r:id="rId1" display="michael@jackwalshcarpets.com" xr:uid="{11B36D15-3CD3-4E18-8863-E5D1A4C6B157}"/>
    <hyperlink ref="J8:K8" r:id="rId2" display="nicko.barrera@perimeterfloors.com" xr:uid="{4435FBFC-897E-42A9-AAF8-F8669DAA5E2D}"/>
    <hyperlink ref="H8:I8" r:id="rId3" display="rridley@spragginsinc.com" xr:uid="{6A6FA10E-332B-4AAB-83B0-EFF39B4A765C}"/>
  </hyperlinks>
  <pageMargins left="0.7" right="0.7" top="0.75" bottom="0.75" header="0.3" footer="0.3"/>
  <pageSetup orientation="portrait"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92A2-E538-4E94-9413-EB16A1D5106D}">
  <sheetPr>
    <tabColor theme="9" tint="0.39997558519241921"/>
  </sheetPr>
  <dimension ref="A1:GH77"/>
  <sheetViews>
    <sheetView zoomScale="90" zoomScaleNormal="90" workbookViewId="0">
      <pane xSplit="2" ySplit="10" topLeftCell="C23" activePane="bottomRight" state="frozen"/>
      <selection pane="topRight" activeCell="C1" sqref="C1"/>
      <selection pane="bottomLeft" activeCell="A11" sqref="A11"/>
      <selection pane="bottomRight" activeCell="M37" sqref="M37"/>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c r="D3" s="260"/>
      <c r="E3" s="68"/>
      <c r="F3" s="277" t="s">
        <v>682</v>
      </c>
      <c r="G3" s="269" t="s">
        <v>683</v>
      </c>
      <c r="H3" s="694"/>
      <c r="I3" s="694"/>
      <c r="X3" s="261"/>
    </row>
    <row r="4" spans="1:24" ht="15.75" customHeight="1">
      <c r="B4" s="262" t="s">
        <v>684</v>
      </c>
      <c r="D4" s="260"/>
      <c r="E4" s="68"/>
      <c r="F4" s="278"/>
      <c r="G4" s="270" t="s">
        <v>685</v>
      </c>
      <c r="H4" s="2371" t="s">
        <v>686</v>
      </c>
      <c r="I4" s="2372"/>
      <c r="J4" s="2319" t="s">
        <v>687</v>
      </c>
      <c r="K4" s="2320"/>
      <c r="L4" s="2319" t="s">
        <v>688</v>
      </c>
      <c r="M4" s="2320"/>
      <c r="N4" s="2319" t="s">
        <v>689</v>
      </c>
      <c r="O4" s="2320"/>
      <c r="P4" s="2319" t="s">
        <v>690</v>
      </c>
      <c r="Q4" s="2320"/>
      <c r="R4" s="2319" t="s">
        <v>691</v>
      </c>
      <c r="S4" s="2320"/>
      <c r="X4" s="261"/>
    </row>
    <row r="5" spans="1:24" ht="15.75" customHeight="1">
      <c r="A5" s="292" t="s">
        <v>692</v>
      </c>
      <c r="B5" s="299" t="str">
        <f>'Area Calculations'!B4</f>
        <v>ERAU Residential Hall &amp; Garage Building</v>
      </c>
      <c r="C5" s="294"/>
      <c r="D5" s="263"/>
      <c r="E5" s="264"/>
      <c r="F5" s="279"/>
      <c r="G5" s="271" t="s">
        <v>693</v>
      </c>
      <c r="H5" s="2333" t="s">
        <v>1624</v>
      </c>
      <c r="I5" s="2334"/>
      <c r="J5" s="2333" t="s">
        <v>1623</v>
      </c>
      <c r="K5" s="2334"/>
      <c r="L5" s="2333" t="s">
        <v>1626</v>
      </c>
      <c r="M5" s="2334"/>
      <c r="N5" s="2321"/>
      <c r="O5" s="2322"/>
      <c r="P5" s="2321"/>
      <c r="Q5" s="2322"/>
      <c r="R5" s="2333"/>
      <c r="S5" s="2334"/>
      <c r="X5" s="261"/>
    </row>
    <row r="6" spans="1:24">
      <c r="A6" s="1082" t="s">
        <v>700</v>
      </c>
      <c r="B6" s="1196" t="s">
        <v>118</v>
      </c>
      <c r="C6" s="415"/>
      <c r="D6" s="416"/>
      <c r="E6" s="417"/>
      <c r="F6" s="418"/>
      <c r="G6" s="419" t="s">
        <v>702</v>
      </c>
      <c r="H6" s="2313" t="s">
        <v>1714</v>
      </c>
      <c r="I6" s="2314"/>
      <c r="J6" s="2313" t="s">
        <v>1715</v>
      </c>
      <c r="K6" s="2314"/>
      <c r="L6" s="2313" t="s">
        <v>1716</v>
      </c>
      <c r="M6" s="2314"/>
      <c r="N6" s="2325"/>
      <c r="O6" s="2326"/>
      <c r="P6" s="2325"/>
      <c r="Q6" s="2326"/>
      <c r="R6" s="2313"/>
      <c r="S6" s="2314"/>
      <c r="X6" s="261"/>
    </row>
    <row r="7" spans="1:24">
      <c r="A7" s="1082" t="s">
        <v>706</v>
      </c>
      <c r="B7" s="1197" t="s">
        <v>1717</v>
      </c>
      <c r="C7" s="415"/>
      <c r="D7" s="416"/>
      <c r="E7" s="417"/>
      <c r="F7" s="418"/>
      <c r="G7" s="829" t="s">
        <v>708</v>
      </c>
      <c r="H7" s="2313" t="s">
        <v>1718</v>
      </c>
      <c r="I7" s="2314"/>
      <c r="J7" s="2313" t="s">
        <v>1719</v>
      </c>
      <c r="K7" s="2314"/>
      <c r="L7" s="2313" t="s">
        <v>1720</v>
      </c>
      <c r="M7" s="2314"/>
      <c r="N7" s="2325"/>
      <c r="O7" s="2326"/>
      <c r="P7" s="2325"/>
      <c r="Q7" s="2326"/>
      <c r="R7" s="2313"/>
      <c r="S7" s="2314"/>
      <c r="X7" s="261"/>
    </row>
    <row r="8" spans="1:24">
      <c r="A8" s="1082" t="s">
        <v>712</v>
      </c>
      <c r="B8" s="1198"/>
      <c r="C8" s="415"/>
      <c r="D8" s="416"/>
      <c r="E8" s="417"/>
      <c r="F8" s="418"/>
      <c r="G8" s="829" t="s">
        <v>713</v>
      </c>
      <c r="H8" s="2343" t="s">
        <v>1721</v>
      </c>
      <c r="I8" s="2344"/>
      <c r="J8" s="2343" t="s">
        <v>1722</v>
      </c>
      <c r="K8" s="2344"/>
      <c r="L8" s="2343" t="s">
        <v>1723</v>
      </c>
      <c r="M8" s="2344"/>
      <c r="N8" s="2329"/>
      <c r="O8" s="2328"/>
      <c r="P8" s="2329"/>
      <c r="Q8" s="2328"/>
      <c r="R8" s="2315"/>
      <c r="S8" s="2316"/>
      <c r="X8" s="261"/>
    </row>
    <row r="9" spans="1:24" ht="15.75" customHeight="1">
      <c r="A9" s="420"/>
      <c r="B9" s="421"/>
      <c r="C9" s="23"/>
      <c r="D9" s="265"/>
      <c r="E9" s="266"/>
      <c r="F9" s="283"/>
      <c r="G9" s="284" t="s">
        <v>717</v>
      </c>
      <c r="H9" s="2317">
        <f>I41</f>
        <v>307128</v>
      </c>
      <c r="I9" s="2318"/>
      <c r="J9" s="2317">
        <f>K41</f>
        <v>394455.71</v>
      </c>
      <c r="K9" s="2318"/>
      <c r="L9" s="2317">
        <f>M41</f>
        <v>629434</v>
      </c>
      <c r="M9" s="2318"/>
      <c r="N9" s="2317"/>
      <c r="O9" s="2318"/>
      <c r="P9" s="2330"/>
      <c r="Q9" s="2330"/>
      <c r="R9" s="2317"/>
      <c r="S9" s="2318"/>
      <c r="X9" s="261"/>
    </row>
    <row r="10" spans="1:24" s="267" customFormat="1" ht="32.1" customHeigh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412"/>
      <c r="B11" s="1283" t="s">
        <v>725</v>
      </c>
      <c r="C11" s="1554"/>
      <c r="D11" s="1435"/>
      <c r="E11" s="1435"/>
      <c r="F11" s="1416"/>
      <c r="G11" s="1417"/>
      <c r="H11" s="1286"/>
      <c r="I11" s="1420"/>
      <c r="J11" s="1286"/>
      <c r="K11" s="285"/>
      <c r="L11" s="1286"/>
      <c r="M11" s="1420"/>
      <c r="N11" s="1286"/>
      <c r="O11" s="1419"/>
      <c r="P11" s="1286"/>
      <c r="Q11" s="1419"/>
      <c r="R11" s="1286"/>
      <c r="S11" s="1419"/>
    </row>
    <row r="12" spans="1:24">
      <c r="A12" s="1412"/>
      <c r="B12" s="1263" t="s">
        <v>726</v>
      </c>
      <c r="C12" s="446"/>
      <c r="D12" s="422"/>
      <c r="E12" s="422"/>
      <c r="F12" s="418"/>
      <c r="G12" s="423"/>
      <c r="H12" s="1264" t="s">
        <v>727</v>
      </c>
      <c r="I12" s="1420"/>
      <c r="J12" s="1264" t="s">
        <v>727</v>
      </c>
      <c r="K12" s="1419"/>
      <c r="L12" s="1264" t="s">
        <v>727</v>
      </c>
      <c r="M12" s="1420"/>
      <c r="N12" s="1264"/>
      <c r="O12" s="1419"/>
      <c r="P12" s="1264"/>
      <c r="Q12" s="1419"/>
      <c r="R12" s="1264"/>
      <c r="S12" s="1419"/>
    </row>
    <row r="13" spans="1:24">
      <c r="A13" s="1097"/>
      <c r="B13" s="1263" t="s">
        <v>728</v>
      </c>
      <c r="C13" s="446"/>
      <c r="D13" s="422"/>
      <c r="E13" s="422"/>
      <c r="F13" s="418"/>
      <c r="G13" s="423"/>
      <c r="H13" s="1264" t="s">
        <v>727</v>
      </c>
      <c r="I13" s="1420"/>
      <c r="J13" s="1264" t="s">
        <v>727</v>
      </c>
      <c r="K13" s="1419"/>
      <c r="L13" s="1264" t="s">
        <v>727</v>
      </c>
      <c r="M13" s="1420"/>
      <c r="N13" s="1264"/>
      <c r="O13" s="1419"/>
      <c r="P13" s="1264"/>
      <c r="Q13" s="1419"/>
      <c r="R13" s="1264"/>
      <c r="S13" s="1419"/>
    </row>
    <row r="14" spans="1:24">
      <c r="A14" s="1412"/>
      <c r="B14" s="1265" t="s">
        <v>729</v>
      </c>
      <c r="C14" s="446"/>
      <c r="D14" s="422"/>
      <c r="E14" s="422"/>
      <c r="F14" s="418"/>
      <c r="G14" s="423"/>
      <c r="H14" s="1264" t="s">
        <v>730</v>
      </c>
      <c r="I14" s="1420" t="s">
        <v>837</v>
      </c>
      <c r="J14" s="1264" t="s">
        <v>730</v>
      </c>
      <c r="K14" s="1419"/>
      <c r="L14" s="1264" t="s">
        <v>730</v>
      </c>
      <c r="M14" s="1420"/>
      <c r="N14" s="1264"/>
      <c r="O14" s="1419"/>
      <c r="P14" s="1264"/>
      <c r="Q14" s="1419"/>
      <c r="R14" s="1264"/>
      <c r="S14" s="1419"/>
    </row>
    <row r="15" spans="1:24">
      <c r="A15" s="1097"/>
      <c r="B15" s="1265" t="s">
        <v>731</v>
      </c>
      <c r="C15" s="446"/>
      <c r="D15" s="422"/>
      <c r="E15" s="422"/>
      <c r="F15" s="418"/>
      <c r="G15" s="423"/>
      <c r="H15" s="1264" t="s">
        <v>727</v>
      </c>
      <c r="I15" s="1420"/>
      <c r="J15" s="1264" t="s">
        <v>727</v>
      </c>
      <c r="K15" s="1420"/>
      <c r="L15" s="1264" t="s">
        <v>727</v>
      </c>
      <c r="M15" s="1420"/>
      <c r="N15" s="1264"/>
      <c r="O15" s="1420"/>
      <c r="P15" s="1264"/>
      <c r="Q15" s="1420"/>
      <c r="R15" s="1264"/>
      <c r="S15" s="1420"/>
    </row>
    <row r="16" spans="1:24">
      <c r="A16" s="1412"/>
      <c r="B16" s="1265" t="s">
        <v>732</v>
      </c>
      <c r="C16" s="446"/>
      <c r="D16" s="422"/>
      <c r="E16" s="422"/>
      <c r="F16" s="418"/>
      <c r="G16" s="423"/>
      <c r="H16" s="1264" t="s">
        <v>727</v>
      </c>
      <c r="I16" s="1420"/>
      <c r="J16" s="1264" t="s">
        <v>727</v>
      </c>
      <c r="K16" s="1419"/>
      <c r="L16" s="1264" t="s">
        <v>727</v>
      </c>
      <c r="M16" s="1420"/>
      <c r="N16" s="1264"/>
      <c r="O16" s="1419"/>
      <c r="P16" s="1264"/>
      <c r="Q16" s="1419"/>
      <c r="R16" s="1264"/>
      <c r="S16" s="1419"/>
    </row>
    <row r="17" spans="1:190">
      <c r="A17" s="1097"/>
      <c r="B17" s="1265" t="s">
        <v>733</v>
      </c>
      <c r="C17" s="446"/>
      <c r="D17" s="422"/>
      <c r="E17" s="422"/>
      <c r="F17" s="418"/>
      <c r="G17" s="423"/>
      <c r="H17" s="1264" t="s">
        <v>727</v>
      </c>
      <c r="I17" s="1420"/>
      <c r="J17" s="1264" t="s">
        <v>727</v>
      </c>
      <c r="K17" s="1419"/>
      <c r="L17" s="1264" t="s">
        <v>727</v>
      </c>
      <c r="M17" s="1420"/>
      <c r="N17" s="1264"/>
      <c r="O17" s="1419"/>
      <c r="P17" s="1264"/>
      <c r="Q17" s="1419"/>
      <c r="R17" s="1264"/>
      <c r="S17" s="1419"/>
    </row>
    <row r="18" spans="1:190">
      <c r="A18" s="1412"/>
      <c r="B18" s="534" t="s">
        <v>734</v>
      </c>
      <c r="C18" s="446"/>
      <c r="D18" s="422"/>
      <c r="E18" s="422"/>
      <c r="F18" s="418"/>
      <c r="G18" s="423"/>
      <c r="H18" s="1264" t="s">
        <v>730</v>
      </c>
      <c r="I18" s="1420" t="s">
        <v>1724</v>
      </c>
      <c r="J18" s="1264" t="s">
        <v>730</v>
      </c>
      <c r="K18" s="1419"/>
      <c r="L18" s="1264" t="s">
        <v>730</v>
      </c>
      <c r="M18" s="1420"/>
      <c r="N18" s="1264"/>
      <c r="O18" s="1419"/>
      <c r="P18" s="1264"/>
      <c r="Q18" s="1419"/>
      <c r="R18" s="1264"/>
      <c r="S18" s="1419"/>
    </row>
    <row r="19" spans="1:190">
      <c r="A19" s="1412"/>
      <c r="B19" s="1154" t="s">
        <v>736</v>
      </c>
      <c r="C19" s="446"/>
      <c r="D19" s="422"/>
      <c r="E19" s="422"/>
      <c r="F19" s="418"/>
      <c r="G19" s="423"/>
      <c r="H19" s="1264"/>
      <c r="I19" s="1420"/>
      <c r="J19" s="1264"/>
      <c r="K19" s="1419"/>
      <c r="L19" s="1264"/>
      <c r="M19" s="1420"/>
      <c r="N19" s="1264"/>
      <c r="O19" s="1419"/>
      <c r="P19" s="1264"/>
      <c r="Q19" s="1419"/>
      <c r="R19" s="1264"/>
      <c r="S19" s="1419"/>
    </row>
    <row r="20" spans="1:190">
      <c r="A20" s="1097"/>
      <c r="B20" s="364" t="s">
        <v>737</v>
      </c>
      <c r="C20" s="447"/>
      <c r="D20" s="425"/>
      <c r="E20" s="425"/>
      <c r="F20" s="426"/>
      <c r="G20" s="427"/>
      <c r="H20" s="1156"/>
      <c r="I20" s="1423">
        <v>305600</v>
      </c>
      <c r="J20" s="1156"/>
      <c r="K20" s="1422">
        <v>394455.71</v>
      </c>
      <c r="L20" s="1156"/>
      <c r="M20" s="1423">
        <v>629434</v>
      </c>
      <c r="N20" s="1156"/>
      <c r="O20" s="1422"/>
      <c r="P20" s="1156"/>
      <c r="Q20" s="1422"/>
      <c r="R20" s="1156"/>
      <c r="S20" s="1422"/>
    </row>
    <row r="21" spans="1:190">
      <c r="A21" s="1412"/>
      <c r="B21" s="395" t="s">
        <v>1725</v>
      </c>
      <c r="C21" s="1560" t="s">
        <v>635</v>
      </c>
      <c r="D21" s="1560" t="s">
        <v>635</v>
      </c>
      <c r="E21" s="1560" t="s">
        <v>635</v>
      </c>
      <c r="F21" s="1560" t="s">
        <v>635</v>
      </c>
      <c r="G21" s="1560" t="s">
        <v>635</v>
      </c>
      <c r="H21" s="1264"/>
      <c r="I21" s="428"/>
      <c r="J21" s="1264"/>
      <c r="K21" s="428"/>
      <c r="L21" s="1264"/>
      <c r="M21" s="428"/>
      <c r="N21" s="1264"/>
      <c r="O21" s="428"/>
      <c r="P21" s="1264"/>
      <c r="Q21" s="428"/>
      <c r="R21" s="1264"/>
      <c r="S21" s="428"/>
    </row>
    <row r="22" spans="1:190">
      <c r="A22" s="1412"/>
      <c r="B22" s="380" t="s">
        <v>1726</v>
      </c>
      <c r="C22" s="1560" t="s">
        <v>635</v>
      </c>
      <c r="D22" s="1560">
        <v>12700</v>
      </c>
      <c r="E22" s="1560" t="s">
        <v>843</v>
      </c>
      <c r="F22" s="1401"/>
      <c r="G22" s="1402"/>
      <c r="H22" s="1264" t="s">
        <v>727</v>
      </c>
      <c r="I22" s="1419"/>
      <c r="J22" s="1264" t="s">
        <v>727</v>
      </c>
      <c r="K22" s="1419"/>
      <c r="L22" s="1264" t="s">
        <v>727</v>
      </c>
      <c r="M22" s="1419"/>
      <c r="N22" s="1264"/>
      <c r="O22" s="1419"/>
      <c r="P22" s="1264"/>
      <c r="Q22" s="1419"/>
      <c r="R22" s="1264"/>
      <c r="S22" s="1419"/>
    </row>
    <row r="23" spans="1:190">
      <c r="A23" s="1097"/>
      <c r="B23" s="380" t="s">
        <v>1727</v>
      </c>
      <c r="C23" s="1560" t="s">
        <v>635</v>
      </c>
      <c r="D23" s="1560">
        <v>15220</v>
      </c>
      <c r="E23" s="1560" t="s">
        <v>843</v>
      </c>
      <c r="F23" s="431"/>
      <c r="G23" s="1402"/>
      <c r="H23" s="1264" t="s">
        <v>727</v>
      </c>
      <c r="I23" s="1419"/>
      <c r="J23" s="1264" t="s">
        <v>727</v>
      </c>
      <c r="K23" s="1419"/>
      <c r="L23" s="1264" t="s">
        <v>727</v>
      </c>
      <c r="M23" s="1419"/>
      <c r="N23" s="1264"/>
      <c r="O23" s="1419"/>
      <c r="P23" s="1264"/>
      <c r="Q23" s="1419"/>
      <c r="R23" s="1264"/>
      <c r="S23" s="1419"/>
    </row>
    <row r="24" spans="1:190">
      <c r="A24" s="1097"/>
      <c r="B24" s="645" t="s">
        <v>1728</v>
      </c>
      <c r="C24" s="1560" t="s">
        <v>1729</v>
      </c>
      <c r="D24" s="1560"/>
      <c r="E24" s="1560" t="s">
        <v>843</v>
      </c>
      <c r="F24" s="431"/>
      <c r="G24" s="1402"/>
      <c r="H24" s="1264" t="s">
        <v>727</v>
      </c>
      <c r="I24" s="1419"/>
      <c r="J24" s="1264" t="s">
        <v>727</v>
      </c>
      <c r="K24" s="1419"/>
      <c r="L24" s="1264"/>
      <c r="M24" s="1419"/>
      <c r="N24" s="1264"/>
      <c r="O24" s="1419"/>
      <c r="P24" s="1264"/>
      <c r="Q24" s="1419"/>
      <c r="R24" s="1264"/>
      <c r="S24" s="1419"/>
    </row>
    <row r="25" spans="1:190">
      <c r="A25" s="1097"/>
      <c r="B25" s="395" t="s">
        <v>1730</v>
      </c>
      <c r="C25" s="1560" t="s">
        <v>635</v>
      </c>
      <c r="D25" s="1560" t="s">
        <v>635</v>
      </c>
      <c r="E25" s="1560" t="s">
        <v>635</v>
      </c>
      <c r="F25" s="431"/>
      <c r="G25" s="1402"/>
      <c r="H25" s="1264"/>
      <c r="I25" s="1419"/>
      <c r="J25" s="1264"/>
      <c r="K25" s="1419"/>
      <c r="L25" s="1264"/>
      <c r="M25" s="1419"/>
      <c r="N25" s="1264"/>
      <c r="O25" s="1419"/>
      <c r="P25" s="1264"/>
      <c r="Q25" s="1419"/>
      <c r="R25" s="1264"/>
      <c r="S25" s="1419"/>
    </row>
    <row r="26" spans="1:190" ht="75">
      <c r="A26" s="1412"/>
      <c r="B26" s="380" t="s">
        <v>1726</v>
      </c>
      <c r="C26" s="1564" t="s">
        <v>1731</v>
      </c>
      <c r="D26" s="1565">
        <v>0</v>
      </c>
      <c r="E26" s="1560" t="s">
        <v>843</v>
      </c>
      <c r="F26" s="431"/>
      <c r="G26" s="1402"/>
      <c r="H26" s="1264" t="s">
        <v>727</v>
      </c>
      <c r="I26" s="1419"/>
      <c r="J26" s="1264" t="s">
        <v>727</v>
      </c>
      <c r="K26" s="1419"/>
      <c r="L26" s="1264" t="s">
        <v>727</v>
      </c>
      <c r="M26" s="1419"/>
      <c r="N26" s="1264"/>
      <c r="O26" s="1419"/>
      <c r="P26" s="1264"/>
      <c r="Q26" s="1419"/>
      <c r="R26" s="1264"/>
      <c r="S26" s="1419"/>
    </row>
    <row r="27" spans="1:190">
      <c r="A27" s="1097"/>
      <c r="B27" s="380" t="s">
        <v>1727</v>
      </c>
      <c r="C27" s="1560" t="s">
        <v>635</v>
      </c>
      <c r="D27" s="1560">
        <v>28600</v>
      </c>
      <c r="E27" s="1560" t="s">
        <v>843</v>
      </c>
      <c r="F27" s="431"/>
      <c r="G27" s="1402"/>
      <c r="H27" s="1264" t="s">
        <v>727</v>
      </c>
      <c r="I27" s="1419"/>
      <c r="J27" s="1264" t="s">
        <v>727</v>
      </c>
      <c r="K27" s="1419"/>
      <c r="L27" s="1264" t="s">
        <v>727</v>
      </c>
      <c r="M27" s="1419"/>
      <c r="N27" s="1264"/>
      <c r="O27" s="1419"/>
      <c r="P27" s="1264"/>
      <c r="Q27" s="1419"/>
      <c r="R27" s="1264"/>
      <c r="S27" s="1419"/>
    </row>
    <row r="28" spans="1:190">
      <c r="A28" s="1097"/>
      <c r="B28" s="395" t="s">
        <v>1732</v>
      </c>
      <c r="C28" s="382" t="s">
        <v>635</v>
      </c>
      <c r="D28" s="381" t="s">
        <v>635</v>
      </c>
      <c r="E28" s="1560" t="s">
        <v>635</v>
      </c>
      <c r="F28" s="431"/>
      <c r="G28" s="1402"/>
      <c r="H28" s="1264"/>
      <c r="I28" s="1419"/>
      <c r="J28" s="1264"/>
      <c r="K28" s="1419"/>
      <c r="L28" s="1264"/>
      <c r="M28" s="1419"/>
      <c r="N28" s="1264"/>
      <c r="O28" s="1419"/>
      <c r="P28" s="1264"/>
      <c r="Q28" s="1419"/>
      <c r="R28" s="1264"/>
      <c r="S28" s="1419"/>
      <c r="GH28" t="s">
        <v>1733</v>
      </c>
    </row>
    <row r="29" spans="1:190">
      <c r="A29" s="1412"/>
      <c r="B29" s="380" t="s">
        <v>1726</v>
      </c>
      <c r="C29" s="382" t="s">
        <v>635</v>
      </c>
      <c r="D29" s="535">
        <v>0</v>
      </c>
      <c r="E29" s="1560" t="s">
        <v>843</v>
      </c>
      <c r="F29" s="431"/>
      <c r="G29" s="1402"/>
      <c r="H29" s="1264" t="s">
        <v>727</v>
      </c>
      <c r="I29" s="1419"/>
      <c r="J29" s="1264" t="s">
        <v>727</v>
      </c>
      <c r="K29" s="1419"/>
      <c r="L29" s="1264" t="s">
        <v>727</v>
      </c>
      <c r="M29" s="1419"/>
      <c r="N29" s="1264"/>
      <c r="O29" s="1419"/>
      <c r="P29" s="1264"/>
      <c r="Q29" s="1419"/>
      <c r="R29" s="1264"/>
      <c r="S29" s="1419"/>
    </row>
    <row r="30" spans="1:190">
      <c r="A30" s="1097"/>
      <c r="B30" s="380" t="s">
        <v>1727</v>
      </c>
      <c r="C30" s="382" t="s">
        <v>635</v>
      </c>
      <c r="D30" s="382">
        <v>7150</v>
      </c>
      <c r="E30" s="1560" t="s">
        <v>843</v>
      </c>
      <c r="F30" s="431"/>
      <c r="G30" s="1402"/>
      <c r="H30" s="1264" t="s">
        <v>727</v>
      </c>
      <c r="I30" s="1419"/>
      <c r="J30" s="1264" t="s">
        <v>727</v>
      </c>
      <c r="K30" s="1419"/>
      <c r="L30" s="1264" t="s">
        <v>727</v>
      </c>
      <c r="M30" s="1419"/>
      <c r="N30" s="1264"/>
      <c r="O30" s="1419"/>
      <c r="P30" s="1264"/>
      <c r="Q30" s="1419"/>
      <c r="R30" s="1264"/>
      <c r="S30" s="1419"/>
    </row>
    <row r="31" spans="1:190">
      <c r="A31" s="1097"/>
      <c r="B31" s="531"/>
      <c r="C31" s="23"/>
      <c r="D31" s="87"/>
      <c r="E31" s="86"/>
      <c r="F31" s="431"/>
      <c r="G31" s="1402"/>
      <c r="H31" s="1264"/>
      <c r="I31" s="1419"/>
      <c r="J31" s="1264"/>
      <c r="K31" s="1419"/>
      <c r="L31" s="1264"/>
      <c r="M31" s="1419"/>
      <c r="N31" s="1264"/>
      <c r="O31" s="1419"/>
      <c r="P31" s="1264"/>
      <c r="Q31" s="1419"/>
      <c r="R31" s="1264"/>
      <c r="S31" s="1419"/>
    </row>
    <row r="32" spans="1:190">
      <c r="A32" s="1412"/>
      <c r="B32" s="787" t="s">
        <v>1734</v>
      </c>
      <c r="C32" s="23"/>
      <c r="D32" s="87"/>
      <c r="E32" s="86"/>
      <c r="F32" s="431"/>
      <c r="G32" s="1402"/>
      <c r="H32" s="1264"/>
      <c r="I32" s="1419"/>
      <c r="J32" s="1264"/>
      <c r="K32" s="1419"/>
      <c r="L32" s="1264"/>
      <c r="M32" s="1419"/>
      <c r="N32" s="1264"/>
      <c r="O32" s="1419"/>
      <c r="P32" s="1264"/>
      <c r="Q32" s="1419"/>
      <c r="R32" s="1264"/>
      <c r="S32" s="1419"/>
    </row>
    <row r="33" spans="1:19" ht="30">
      <c r="A33" s="1412"/>
      <c r="B33" s="532" t="s">
        <v>1735</v>
      </c>
      <c r="C33" s="23"/>
      <c r="D33" s="87"/>
      <c r="E33" s="86"/>
      <c r="F33" s="431"/>
      <c r="G33" s="1402"/>
      <c r="H33" s="1264" t="s">
        <v>727</v>
      </c>
      <c r="I33" s="1419"/>
      <c r="J33" s="1264" t="s">
        <v>727</v>
      </c>
      <c r="K33" s="1419"/>
      <c r="L33" s="1264" t="s">
        <v>727</v>
      </c>
      <c r="M33" s="1419"/>
      <c r="N33" s="1264"/>
      <c r="O33" s="1419"/>
      <c r="P33" s="1264"/>
      <c r="Q33" s="1419"/>
      <c r="R33" s="1264"/>
      <c r="S33" s="1419"/>
    </row>
    <row r="34" spans="1:19" ht="30">
      <c r="A34" s="1412"/>
      <c r="B34" s="530" t="s">
        <v>1736</v>
      </c>
      <c r="C34" s="23"/>
      <c r="D34" s="87"/>
      <c r="E34" s="86"/>
      <c r="F34" s="431"/>
      <c r="G34" s="1402"/>
      <c r="H34" s="1264" t="s">
        <v>727</v>
      </c>
      <c r="I34" s="1419"/>
      <c r="J34" s="1264" t="s">
        <v>727</v>
      </c>
      <c r="K34" s="1419"/>
      <c r="L34" s="1264" t="s">
        <v>727</v>
      </c>
      <c r="M34" s="1419"/>
      <c r="N34" s="1264"/>
      <c r="O34" s="1419"/>
      <c r="P34" s="1264"/>
      <c r="Q34" s="1419"/>
      <c r="R34" s="1264"/>
      <c r="S34" s="1419"/>
    </row>
    <row r="35" spans="1:19">
      <c r="A35" s="1412"/>
      <c r="B35" s="372"/>
      <c r="C35" s="23"/>
      <c r="D35" s="87"/>
      <c r="E35" s="86"/>
      <c r="F35" s="431"/>
      <c r="G35" s="1402"/>
      <c r="H35" s="1264"/>
      <c r="I35" s="1419"/>
      <c r="J35" s="1264"/>
      <c r="K35" s="1419"/>
      <c r="L35" s="1264"/>
      <c r="M35" s="1419"/>
      <c r="N35" s="1264"/>
      <c r="O35" s="1419"/>
      <c r="P35" s="1264"/>
      <c r="Q35" s="1419"/>
      <c r="R35" s="1264"/>
      <c r="S35" s="1419"/>
    </row>
    <row r="36" spans="1:19">
      <c r="A36" s="1412"/>
      <c r="B36" s="1163" t="s">
        <v>663</v>
      </c>
      <c r="C36" s="23"/>
      <c r="D36" s="87"/>
      <c r="E36" s="86"/>
      <c r="F36" s="431"/>
      <c r="G36" s="830"/>
      <c r="H36" s="1264"/>
      <c r="I36" s="1419"/>
      <c r="J36" s="1264"/>
      <c r="K36" s="1419"/>
      <c r="L36" s="1264"/>
      <c r="M36" s="1419"/>
      <c r="N36" s="1264"/>
      <c r="O36" s="1419"/>
      <c r="P36" s="1264"/>
      <c r="Q36" s="1419"/>
      <c r="R36" s="1264"/>
      <c r="S36" s="1419"/>
    </row>
    <row r="37" spans="1:19">
      <c r="A37" s="296"/>
      <c r="B37" s="301"/>
      <c r="C37" s="297"/>
      <c r="D37" s="15"/>
      <c r="E37" s="16"/>
      <c r="F37" s="282" t="s">
        <v>753</v>
      </c>
      <c r="G37" s="272"/>
      <c r="H37" s="273"/>
      <c r="I37" s="273">
        <f>SUM(I12:I36)</f>
        <v>305600</v>
      </c>
      <c r="J37" s="273"/>
      <c r="K37" s="273">
        <f>SUM(K12:K36)</f>
        <v>394455.71</v>
      </c>
      <c r="L37" s="273"/>
      <c r="M37" s="273">
        <f>SUM(M12:M36)</f>
        <v>629434</v>
      </c>
      <c r="N37" s="273"/>
      <c r="O37" s="273">
        <f>SUM(O12:O36)</f>
        <v>0</v>
      </c>
      <c r="P37" s="273"/>
      <c r="Q37" s="273">
        <f>SUM(Q15:Q36)</f>
        <v>0</v>
      </c>
      <c r="R37" s="273"/>
      <c r="S37" s="273">
        <f>SUM(S15:S36)</f>
        <v>0</v>
      </c>
    </row>
    <row r="38" spans="1:19">
      <c r="A38" s="1114"/>
      <c r="B38" s="1164"/>
      <c r="C38" s="432"/>
      <c r="D38" s="433"/>
      <c r="E38" s="434"/>
      <c r="F38" s="435" t="s">
        <v>754</v>
      </c>
      <c r="G38" s="436"/>
      <c r="H38" s="1395">
        <v>5.0000000000000001E-3</v>
      </c>
      <c r="I38" s="1166"/>
      <c r="J38" s="1165">
        <v>0</v>
      </c>
      <c r="K38" s="1166"/>
      <c r="L38" s="1165">
        <v>0</v>
      </c>
      <c r="M38" s="1166"/>
      <c r="N38" s="1165">
        <v>0</v>
      </c>
      <c r="O38" s="1166"/>
      <c r="P38" s="1165">
        <v>0</v>
      </c>
      <c r="Q38" s="1166"/>
      <c r="R38" s="1165">
        <v>0</v>
      </c>
      <c r="S38" s="1166"/>
    </row>
    <row r="39" spans="1:19">
      <c r="A39" s="1114"/>
      <c r="B39" s="1164"/>
      <c r="C39" s="432"/>
      <c r="D39" s="433"/>
      <c r="E39" s="434"/>
      <c r="F39" s="435" t="s">
        <v>755</v>
      </c>
      <c r="G39" s="436"/>
      <c r="H39" s="1166"/>
      <c r="I39" s="1166">
        <f>H38*I37</f>
        <v>1528</v>
      </c>
      <c r="J39" s="1166"/>
      <c r="K39" s="1166">
        <f>J38*K37</f>
        <v>0</v>
      </c>
      <c r="L39" s="1166"/>
      <c r="M39" s="1166">
        <f>L38*M37</f>
        <v>0</v>
      </c>
      <c r="N39" s="1166"/>
      <c r="O39" s="1166">
        <f>N38*O37</f>
        <v>0</v>
      </c>
      <c r="P39" s="1166"/>
      <c r="Q39" s="1166">
        <f>P38*Q37</f>
        <v>0</v>
      </c>
      <c r="R39" s="1166"/>
      <c r="S39" s="1166">
        <f>R38*S37</f>
        <v>0</v>
      </c>
    </row>
    <row r="40" spans="1:19">
      <c r="A40" s="1114"/>
      <c r="B40" s="1164"/>
      <c r="C40" s="432"/>
      <c r="D40" s="433"/>
      <c r="E40" s="434"/>
      <c r="F40" s="435"/>
      <c r="G40" s="436"/>
      <c r="H40" s="1166"/>
      <c r="I40" s="1166"/>
      <c r="J40" s="1166"/>
      <c r="K40" s="1166"/>
      <c r="L40" s="1166"/>
      <c r="M40" s="1166"/>
      <c r="N40" s="1166"/>
      <c r="O40" s="1166"/>
      <c r="P40" s="1166"/>
      <c r="Q40" s="1166"/>
      <c r="R40" s="1166"/>
      <c r="S40" s="1166"/>
    </row>
    <row r="41" spans="1:19">
      <c r="A41" s="1114"/>
      <c r="B41" s="1164"/>
      <c r="C41" s="432"/>
      <c r="D41" s="433"/>
      <c r="E41" s="434"/>
      <c r="F41" s="435" t="s">
        <v>756</v>
      </c>
      <c r="G41" s="436"/>
      <c r="H41" s="1166"/>
      <c r="I41" s="1166">
        <f>SUM(I37:I39)</f>
        <v>307128</v>
      </c>
      <c r="J41" s="1166"/>
      <c r="K41" s="1166">
        <f>SUM(K37:K39)</f>
        <v>394455.71</v>
      </c>
      <c r="L41" s="1166"/>
      <c r="M41" s="1166">
        <f>SUM(M37:M39)</f>
        <v>629434</v>
      </c>
      <c r="N41" s="1166"/>
      <c r="O41" s="1166">
        <f>SUM(O37:O39)</f>
        <v>0</v>
      </c>
      <c r="P41" s="1166"/>
      <c r="Q41" s="1166">
        <f>SUM(Q37:Q39)</f>
        <v>0</v>
      </c>
      <c r="R41" s="1166"/>
      <c r="S41" s="1166">
        <f>SUM(S37:S39)</f>
        <v>0</v>
      </c>
    </row>
    <row r="42" spans="1:19">
      <c r="A42" s="1114"/>
      <c r="B42" s="1164"/>
      <c r="C42" s="432"/>
      <c r="D42" s="433"/>
      <c r="E42" s="434"/>
      <c r="F42" s="437" t="s">
        <v>757</v>
      </c>
      <c r="G42" s="438"/>
      <c r="H42" s="1167"/>
      <c r="I42" s="1167">
        <f>I41/'Area Calculations'!$G$4</f>
        <v>0.53075451514957761</v>
      </c>
      <c r="J42" s="1167"/>
      <c r="K42" s="1167">
        <f>K41/'Area Calculations'!$G$4</f>
        <v>0.68166741263913544</v>
      </c>
      <c r="L42" s="1167"/>
      <c r="M42" s="1167">
        <f>M41/'Area Calculations'!$G$4</f>
        <v>1.0877384591722643</v>
      </c>
      <c r="N42" s="1167"/>
      <c r="O42" s="1167">
        <f>O41/'Area Calculations'!$G$4</f>
        <v>0</v>
      </c>
      <c r="P42" s="1167"/>
      <c r="Q42" s="1167">
        <f>Q41/'Area Calculations'!$G$4</f>
        <v>0</v>
      </c>
      <c r="R42" s="1167"/>
      <c r="S42" s="1167">
        <f>S41/'Area Calculations'!$G$4</f>
        <v>0</v>
      </c>
    </row>
    <row r="43" spans="1:19">
      <c r="A43" s="1114"/>
      <c r="B43" s="1164"/>
      <c r="C43" s="432"/>
      <c r="D43" s="433"/>
      <c r="E43" s="434"/>
      <c r="F43" s="437" t="s">
        <v>758</v>
      </c>
      <c r="G43" s="438"/>
      <c r="H43" s="1167"/>
      <c r="I43" s="1167">
        <f>I41/'Area Calculations'!$G$9</f>
        <v>2870.3551401869158</v>
      </c>
      <c r="J43" s="1167"/>
      <c r="K43" s="1167">
        <f>K41/'Area Calculations'!$G$9</f>
        <v>3686.5019626168228</v>
      </c>
      <c r="L43" s="1167"/>
      <c r="M43" s="1167">
        <f>M41/'Area Calculations'!$G$9</f>
        <v>5882.5607476635514</v>
      </c>
      <c r="N43" s="1167"/>
      <c r="O43" s="1167">
        <f>O41/'Area Calculations'!$G$9</f>
        <v>0</v>
      </c>
      <c r="P43" s="1167"/>
      <c r="Q43" s="1167">
        <f>Q41/'Area Calculations'!$G$9</f>
        <v>0</v>
      </c>
      <c r="R43" s="1167"/>
      <c r="S43" s="1167">
        <f>S41/'Area Calculations'!$G$9</f>
        <v>0</v>
      </c>
    </row>
    <row r="44" spans="1:19">
      <c r="A44" s="1114"/>
      <c r="B44" s="1164"/>
      <c r="C44" s="432"/>
      <c r="D44" s="433"/>
      <c r="E44" s="434"/>
      <c r="F44" s="439"/>
      <c r="G44" s="436"/>
      <c r="H44" s="1168"/>
      <c r="I44" s="1168"/>
      <c r="J44" s="1168"/>
      <c r="K44" s="1168"/>
      <c r="L44" s="1168"/>
      <c r="M44" s="1168"/>
      <c r="N44" s="1168"/>
      <c r="O44" s="1168"/>
      <c r="P44" s="1168"/>
      <c r="Q44" s="1168"/>
      <c r="R44" s="1168"/>
      <c r="S44" s="1168"/>
    </row>
    <row r="45" spans="1:19">
      <c r="A45" s="2331" t="s">
        <v>759</v>
      </c>
      <c r="B45" s="2332"/>
      <c r="C45" s="298"/>
      <c r="D45" s="12"/>
      <c r="E45" s="12"/>
      <c r="F45" s="12"/>
      <c r="G45" s="26"/>
      <c r="H45" s="24"/>
      <c r="I45" s="20"/>
      <c r="J45" s="20"/>
      <c r="K45" s="20"/>
      <c r="L45" s="24"/>
      <c r="M45" s="20"/>
      <c r="N45" s="20"/>
      <c r="O45" s="20"/>
      <c r="P45" s="20"/>
      <c r="Q45" s="20"/>
      <c r="R45" s="20"/>
      <c r="S45" s="20"/>
    </row>
    <row r="46" spans="1:19">
      <c r="A46" s="1403"/>
      <c r="B46" s="1105"/>
      <c r="C46" s="1548"/>
      <c r="D46" s="1435"/>
      <c r="E46" s="1435"/>
      <c r="F46" s="1435"/>
      <c r="G46" s="1404"/>
      <c r="H46" s="1405"/>
      <c r="I46" s="1223"/>
      <c r="J46" s="1223"/>
      <c r="K46" s="1223"/>
      <c r="L46" s="1405"/>
      <c r="M46" s="1223"/>
      <c r="N46" s="1223"/>
      <c r="O46" s="1223"/>
      <c r="P46" s="1223"/>
      <c r="Q46" s="1223"/>
      <c r="R46" s="1223"/>
      <c r="S46" s="1223"/>
    </row>
    <row r="47" spans="1:19">
      <c r="A47" s="1403"/>
      <c r="B47" s="1105"/>
      <c r="C47" s="1548"/>
      <c r="D47" s="1435"/>
      <c r="E47" s="1435"/>
      <c r="F47" s="1435"/>
      <c r="G47" s="1404"/>
      <c r="H47" s="1405"/>
      <c r="I47" s="1223"/>
      <c r="J47" s="1223"/>
      <c r="K47" s="1223"/>
      <c r="L47" s="1405"/>
      <c r="M47" s="1223"/>
      <c r="N47" s="1223"/>
      <c r="O47" s="1223"/>
      <c r="P47" s="1223"/>
      <c r="Q47" s="1223"/>
      <c r="R47" s="1223"/>
      <c r="S47" s="1223"/>
    </row>
    <row r="48" spans="1:19">
      <c r="A48" s="1403"/>
      <c r="B48" s="1105"/>
      <c r="C48" s="1548"/>
      <c r="D48" s="1435"/>
      <c r="E48" s="1435"/>
      <c r="F48" s="1435"/>
      <c r="G48" s="1404"/>
      <c r="H48" s="1405"/>
      <c r="I48" s="1223"/>
      <c r="J48" s="1223"/>
      <c r="K48" s="1223"/>
      <c r="L48" s="1405"/>
      <c r="M48" s="1223"/>
      <c r="N48" s="1223"/>
      <c r="O48" s="1223"/>
      <c r="P48" s="1223"/>
      <c r="Q48" s="1223"/>
      <c r="R48" s="1223"/>
      <c r="S48" s="1223"/>
    </row>
    <row r="49" spans="1:34" s="2" customFormat="1">
      <c r="A49" s="2331" t="s">
        <v>760</v>
      </c>
      <c r="B49" s="2332"/>
      <c r="C49" s="298"/>
      <c r="D49" s="12"/>
      <c r="E49" s="12"/>
      <c r="F49" s="12"/>
      <c r="G49" s="26"/>
      <c r="H49" s="24"/>
      <c r="I49" s="20"/>
      <c r="J49" s="20"/>
      <c r="K49" s="20"/>
      <c r="L49" s="24"/>
      <c r="M49" s="20"/>
      <c r="N49" s="20"/>
      <c r="O49" s="20"/>
      <c r="P49" s="20"/>
      <c r="Q49" s="20"/>
      <c r="R49" s="20"/>
      <c r="S49" s="20"/>
      <c r="T49"/>
      <c r="U49"/>
      <c r="V49"/>
      <c r="W49"/>
      <c r="X49"/>
      <c r="Y49"/>
      <c r="Z49"/>
      <c r="AA49"/>
      <c r="AB49"/>
      <c r="AC49"/>
      <c r="AD49"/>
      <c r="AE49"/>
      <c r="AF49"/>
      <c r="AG49"/>
      <c r="AH49"/>
    </row>
    <row r="50" spans="1:34" s="2" customFormat="1">
      <c r="A50" s="1403"/>
      <c r="B50" s="1105"/>
      <c r="C50" s="1548"/>
      <c r="D50" s="1435"/>
      <c r="E50" s="1435"/>
      <c r="F50" s="1435"/>
      <c r="G50" s="1404"/>
      <c r="H50" s="1405"/>
      <c r="I50" s="1223"/>
      <c r="J50" s="1223"/>
      <c r="K50" s="1223"/>
      <c r="L50" s="1405"/>
      <c r="M50" s="1223"/>
      <c r="N50" s="1223"/>
      <c r="O50" s="1223"/>
      <c r="P50" s="1223"/>
      <c r="Q50" s="1223"/>
      <c r="R50" s="1223"/>
      <c r="S50" s="1223"/>
      <c r="T50"/>
      <c r="U50"/>
      <c r="V50"/>
      <c r="W50"/>
      <c r="X50"/>
      <c r="Y50"/>
      <c r="Z50"/>
      <c r="AA50"/>
      <c r="AB50"/>
      <c r="AC50"/>
      <c r="AD50"/>
      <c r="AE50"/>
      <c r="AF50"/>
      <c r="AG50"/>
      <c r="AH50"/>
    </row>
    <row r="51" spans="1:34" s="2" customFormat="1">
      <c r="A51" s="1403"/>
      <c r="B51" s="1105"/>
      <c r="C51" s="1548"/>
      <c r="D51" s="1435"/>
      <c r="E51" s="1435"/>
      <c r="F51" s="1435"/>
      <c r="G51" s="1404"/>
      <c r="H51" s="1405"/>
      <c r="I51" s="1223"/>
      <c r="J51" s="1223"/>
      <c r="K51" s="1223"/>
      <c r="L51" s="1405"/>
      <c r="M51" s="1223"/>
      <c r="N51" s="1223"/>
      <c r="O51" s="1223"/>
      <c r="P51" s="1223"/>
      <c r="Q51" s="1223"/>
      <c r="R51" s="1223"/>
      <c r="S51" s="1223"/>
      <c r="T51"/>
      <c r="U51"/>
      <c r="V51"/>
      <c r="W51"/>
      <c r="X51"/>
      <c r="Y51"/>
      <c r="Z51"/>
      <c r="AA51"/>
      <c r="AB51"/>
      <c r="AC51"/>
      <c r="AD51"/>
      <c r="AE51"/>
      <c r="AF51"/>
      <c r="AG51"/>
      <c r="AH51"/>
    </row>
    <row r="52" spans="1:34">
      <c r="A52" s="1403"/>
      <c r="B52" s="1105"/>
      <c r="C52" s="1548"/>
      <c r="D52" s="1435"/>
      <c r="E52" s="1435"/>
      <c r="F52" s="1435"/>
      <c r="G52" s="1404"/>
      <c r="H52" s="1405"/>
      <c r="I52" s="1223"/>
      <c r="J52" s="1223"/>
      <c r="K52" s="1223"/>
      <c r="L52" s="1405"/>
      <c r="M52" s="1223"/>
      <c r="N52" s="1223"/>
      <c r="O52" s="1223"/>
      <c r="P52" s="1223"/>
      <c r="Q52" s="1223"/>
      <c r="R52" s="1223"/>
      <c r="S52" s="1223"/>
    </row>
    <row r="53" spans="1:34" s="2" customFormat="1">
      <c r="A53" s="2331" t="s">
        <v>761</v>
      </c>
      <c r="B53" s="2332"/>
      <c r="C53" s="298"/>
      <c r="D53" s="12"/>
      <c r="E53" s="12"/>
      <c r="F53" s="12"/>
      <c r="G53" s="26"/>
      <c r="H53" s="24"/>
      <c r="I53" s="20"/>
      <c r="J53" s="20"/>
      <c r="K53" s="20"/>
      <c r="L53" s="24"/>
      <c r="M53" s="20"/>
      <c r="N53" s="20"/>
      <c r="O53" s="20"/>
      <c r="P53" s="20"/>
      <c r="Q53" s="20"/>
      <c r="R53" s="20"/>
      <c r="S53" s="20"/>
      <c r="T53"/>
      <c r="U53"/>
      <c r="V53"/>
      <c r="W53"/>
      <c r="X53"/>
      <c r="Y53"/>
      <c r="Z53"/>
      <c r="AA53"/>
      <c r="AB53"/>
      <c r="AC53"/>
      <c r="AD53"/>
      <c r="AE53"/>
      <c r="AF53"/>
      <c r="AG53"/>
      <c r="AH53"/>
    </row>
    <row r="54" spans="1:34" s="2" customFormat="1">
      <c r="A54" s="1403"/>
      <c r="B54" s="1105" t="s">
        <v>1737</v>
      </c>
      <c r="C54" s="1548"/>
      <c r="D54" s="1435"/>
      <c r="E54" s="1435"/>
      <c r="F54" s="1435"/>
      <c r="G54" s="1404"/>
      <c r="H54" s="1405"/>
      <c r="I54" s="1223">
        <v>10130</v>
      </c>
      <c r="J54" s="1223"/>
      <c r="K54" s="1223"/>
      <c r="L54" s="1405"/>
      <c r="M54" s="1223"/>
      <c r="N54" s="1223"/>
      <c r="O54" s="1223"/>
      <c r="P54" s="1223"/>
      <c r="Q54" s="1223"/>
      <c r="R54" s="1223"/>
      <c r="S54" s="1223"/>
      <c r="T54"/>
      <c r="U54"/>
      <c r="V54"/>
      <c r="W54"/>
      <c r="X54"/>
      <c r="Y54"/>
      <c r="Z54"/>
      <c r="AA54"/>
      <c r="AB54"/>
      <c r="AC54"/>
      <c r="AD54"/>
      <c r="AE54"/>
      <c r="AF54"/>
      <c r="AG54"/>
      <c r="AH54"/>
    </row>
    <row r="55" spans="1:34" s="2" customFormat="1">
      <c r="A55" s="1124"/>
      <c r="B55" s="1105"/>
      <c r="C55" s="415"/>
      <c r="D55" s="422"/>
      <c r="E55" s="422"/>
      <c r="F55" s="422"/>
      <c r="G55" s="831"/>
      <c r="H55" s="440"/>
      <c r="I55" s="1173"/>
      <c r="J55" s="1173"/>
      <c r="K55" s="1173"/>
      <c r="L55" s="440"/>
      <c r="M55" s="1173"/>
      <c r="N55" s="1173"/>
      <c r="O55" s="1173"/>
      <c r="P55" s="1173"/>
      <c r="Q55" s="1173"/>
      <c r="R55" s="1173"/>
      <c r="S55" s="1173"/>
      <c r="T55"/>
      <c r="U55"/>
      <c r="V55"/>
      <c r="W55"/>
      <c r="X55"/>
      <c r="Y55"/>
      <c r="Z55"/>
      <c r="AA55"/>
      <c r="AB55"/>
      <c r="AC55"/>
      <c r="AD55"/>
      <c r="AE55"/>
      <c r="AF55"/>
      <c r="AG55"/>
      <c r="AH55"/>
    </row>
    <row r="56" spans="1:34" s="2" customFormat="1">
      <c r="A56" s="1126"/>
      <c r="B56" s="1174"/>
      <c r="C56" s="415"/>
      <c r="D56" s="422"/>
      <c r="E56" s="422"/>
      <c r="F56" s="422"/>
      <c r="G56" s="831"/>
      <c r="H56" s="441"/>
      <c r="I56" s="1175"/>
      <c r="J56" s="1175"/>
      <c r="K56" s="1175"/>
      <c r="L56" s="441"/>
      <c r="M56" s="1175"/>
      <c r="N56" s="1175"/>
      <c r="O56" s="1175"/>
      <c r="P56" s="1175"/>
      <c r="Q56" s="1175"/>
      <c r="R56" s="1175"/>
      <c r="S56" s="1175"/>
    </row>
    <row r="57" spans="1:34" s="2" customFormat="1">
      <c r="A57" s="2331" t="s">
        <v>762</v>
      </c>
      <c r="B57" s="2332"/>
      <c r="C57" s="298"/>
      <c r="D57" s="12"/>
      <c r="E57" s="12"/>
      <c r="F57" s="12"/>
      <c r="G57" s="26"/>
      <c r="H57" s="24"/>
      <c r="I57" s="20"/>
      <c r="J57" s="20"/>
      <c r="K57" s="20"/>
      <c r="L57" s="24"/>
      <c r="M57" s="20"/>
      <c r="N57" s="20"/>
      <c r="O57" s="20"/>
      <c r="P57" s="20"/>
      <c r="Q57" s="20"/>
      <c r="R57" s="20"/>
      <c r="S57" s="20"/>
      <c r="T57"/>
      <c r="U57"/>
      <c r="V57"/>
      <c r="W57"/>
      <c r="X57"/>
      <c r="Y57"/>
      <c r="Z57"/>
      <c r="AA57"/>
      <c r="AB57"/>
      <c r="AC57"/>
      <c r="AD57"/>
      <c r="AE57"/>
      <c r="AF57"/>
      <c r="AG57"/>
      <c r="AH57"/>
    </row>
    <row r="58" spans="1:34">
      <c r="A58" s="1407"/>
      <c r="B58" s="1225"/>
      <c r="C58" s="1548"/>
      <c r="D58" s="1435"/>
      <c r="E58" s="1435"/>
      <c r="F58" s="1435"/>
      <c r="G58" s="1404"/>
      <c r="H58" s="1405"/>
      <c r="I58" s="1223"/>
      <c r="J58" s="1223"/>
      <c r="K58" s="1223"/>
      <c r="L58" s="1405"/>
      <c r="M58" s="1223"/>
      <c r="N58" s="1223"/>
      <c r="O58" s="1223"/>
      <c r="P58" s="1223"/>
      <c r="Q58" s="1223"/>
      <c r="R58" s="1223"/>
      <c r="S58" s="1223"/>
      <c r="T58" s="2"/>
      <c r="U58" s="2"/>
      <c r="V58" s="2"/>
      <c r="W58" s="2"/>
      <c r="X58" s="2"/>
      <c r="Y58" s="2"/>
      <c r="Z58" s="2"/>
      <c r="AA58" s="2"/>
      <c r="AB58" s="2"/>
      <c r="AC58" s="2"/>
      <c r="AD58" s="2"/>
      <c r="AE58" s="2"/>
      <c r="AF58" s="2"/>
      <c r="AG58" s="2"/>
      <c r="AH58" s="2"/>
    </row>
    <row r="59" spans="1:34">
      <c r="A59" s="1126"/>
      <c r="B59" s="1174"/>
      <c r="C59" s="415"/>
      <c r="D59" s="422"/>
      <c r="E59" s="422"/>
      <c r="F59" s="422"/>
      <c r="G59" s="831"/>
      <c r="H59" s="442"/>
      <c r="I59" s="1178"/>
      <c r="J59" s="1178"/>
      <c r="K59" s="1178"/>
      <c r="L59" s="442"/>
      <c r="M59" s="1178"/>
      <c r="N59" s="1178"/>
      <c r="O59" s="1178"/>
      <c r="P59" s="1178"/>
      <c r="Q59" s="1178"/>
      <c r="R59" s="1178"/>
      <c r="S59" s="1178"/>
      <c r="T59" s="2"/>
      <c r="U59" s="2"/>
      <c r="V59" s="2"/>
      <c r="W59" s="2"/>
      <c r="X59" s="2"/>
      <c r="Y59" s="2"/>
      <c r="Z59" s="2"/>
      <c r="AA59" s="2"/>
      <c r="AB59" s="2"/>
      <c r="AC59" s="2"/>
      <c r="AD59" s="2"/>
      <c r="AE59" s="2"/>
      <c r="AF59" s="2"/>
      <c r="AG59" s="2"/>
      <c r="AH59" s="2"/>
    </row>
    <row r="60" spans="1:34">
      <c r="A60" s="1126"/>
      <c r="B60" s="1174"/>
      <c r="C60" s="415"/>
      <c r="D60" s="422"/>
      <c r="E60" s="422"/>
      <c r="F60" s="422"/>
      <c r="G60" s="831"/>
      <c r="H60" s="442"/>
      <c r="I60" s="1178"/>
      <c r="J60" s="1178"/>
      <c r="K60" s="1178"/>
      <c r="L60" s="442"/>
      <c r="M60" s="1178"/>
      <c r="N60" s="1178"/>
      <c r="O60" s="1178"/>
      <c r="P60" s="1178"/>
      <c r="Q60" s="1178"/>
      <c r="R60" s="1178"/>
      <c r="S60" s="1178"/>
      <c r="T60" s="2"/>
      <c r="U60" s="2"/>
      <c r="V60" s="2"/>
      <c r="W60" s="2"/>
      <c r="X60" s="2"/>
      <c r="Y60" s="2"/>
      <c r="Z60" s="2"/>
      <c r="AA60" s="2"/>
      <c r="AB60" s="2"/>
      <c r="AC60" s="2"/>
      <c r="AD60" s="2"/>
      <c r="AE60" s="2"/>
      <c r="AF60" s="2"/>
      <c r="AG60" s="2"/>
      <c r="AH60" s="2"/>
    </row>
    <row r="61" spans="1:34">
      <c r="A61" s="2331" t="s">
        <v>763</v>
      </c>
      <c r="B61" s="2332"/>
      <c r="C61" s="298"/>
      <c r="D61" s="12"/>
      <c r="E61" s="12"/>
      <c r="F61" s="12"/>
      <c r="G61" s="26"/>
      <c r="H61" s="24"/>
      <c r="I61" s="20"/>
      <c r="J61" s="20"/>
      <c r="K61" s="20"/>
      <c r="L61" s="24"/>
      <c r="M61" s="20"/>
      <c r="N61" s="20"/>
      <c r="O61" s="20"/>
      <c r="P61" s="20"/>
      <c r="Q61" s="20"/>
      <c r="R61" s="20"/>
      <c r="S61" s="20"/>
    </row>
    <row r="62" spans="1:34">
      <c r="A62" s="1124"/>
      <c r="B62" s="1105" t="s">
        <v>764</v>
      </c>
      <c r="C62" s="415"/>
      <c r="D62" s="422"/>
      <c r="E62" s="422"/>
      <c r="F62" s="422"/>
      <c r="G62" s="831"/>
      <c r="H62" s="442"/>
      <c r="I62" s="1178"/>
      <c r="J62" s="1178"/>
      <c r="K62" s="1178"/>
      <c r="L62" s="442"/>
      <c r="M62" s="1178"/>
      <c r="N62" s="1178"/>
      <c r="O62" s="1178"/>
      <c r="P62" s="1178"/>
      <c r="Q62" s="1178"/>
      <c r="R62" s="1178"/>
      <c r="S62" s="1178"/>
    </row>
    <row r="63" spans="1:34">
      <c r="A63" s="1124"/>
      <c r="B63" s="1105" t="s">
        <v>765</v>
      </c>
      <c r="C63" s="415"/>
      <c r="D63" s="422"/>
      <c r="E63" s="422"/>
      <c r="F63" s="422"/>
      <c r="G63" s="831"/>
      <c r="H63" s="442"/>
      <c r="I63" s="1178"/>
      <c r="J63" s="1178"/>
      <c r="K63" s="1178"/>
      <c r="L63" s="442"/>
      <c r="M63" s="1178"/>
      <c r="N63" s="1178"/>
      <c r="O63" s="1178"/>
      <c r="P63" s="1178"/>
      <c r="Q63" s="1178"/>
      <c r="R63" s="1178"/>
      <c r="S63" s="1178"/>
    </row>
    <row r="64" spans="1:34">
      <c r="A64" s="1124"/>
      <c r="B64" s="1105" t="s">
        <v>766</v>
      </c>
      <c r="C64" s="415"/>
      <c r="D64" s="422"/>
      <c r="E64" s="422"/>
      <c r="F64" s="422"/>
      <c r="G64" s="831"/>
      <c r="H64" s="442"/>
      <c r="I64" s="1178"/>
      <c r="J64" s="1178"/>
      <c r="K64" s="1178"/>
      <c r="L64" s="442"/>
      <c r="M64" s="1178"/>
      <c r="N64" s="1178"/>
      <c r="O64" s="1178"/>
      <c r="P64" s="1178"/>
      <c r="Q64" s="1178"/>
      <c r="R64" s="1178"/>
      <c r="S64" s="1178"/>
    </row>
    <row r="65" spans="1:19">
      <c r="A65" s="1124"/>
      <c r="B65" s="1105" t="s">
        <v>767</v>
      </c>
      <c r="C65" s="415"/>
      <c r="D65" s="422"/>
      <c r="E65" s="422"/>
      <c r="F65" s="422"/>
      <c r="G65" s="831"/>
      <c r="H65" s="442"/>
      <c r="I65" s="1178"/>
      <c r="J65" s="1178"/>
      <c r="K65" s="1178"/>
      <c r="L65" s="442"/>
      <c r="M65" s="1178"/>
      <c r="N65" s="1178"/>
      <c r="O65" s="1178"/>
      <c r="P65" s="1178"/>
      <c r="Q65" s="1178"/>
      <c r="R65" s="1178"/>
      <c r="S65" s="1178"/>
    </row>
    <row r="66" spans="1:19">
      <c r="A66" s="443"/>
      <c r="B66" s="421"/>
      <c r="C66" s="23"/>
      <c r="D66" s="86"/>
      <c r="E66" s="86"/>
      <c r="F66" s="86"/>
      <c r="G66" s="27"/>
      <c r="H66" s="25"/>
      <c r="I66" s="444"/>
      <c r="J66" s="444"/>
      <c r="K66" s="444"/>
      <c r="L66" s="25"/>
      <c r="M66" s="444"/>
      <c r="N66" s="444"/>
      <c r="O66" s="444"/>
      <c r="P66" s="444"/>
      <c r="Q66" s="444"/>
      <c r="R66" s="444"/>
      <c r="S66" s="444"/>
    </row>
    <row r="67" spans="1:19">
      <c r="A67" s="72" t="s">
        <v>768</v>
      </c>
      <c r="B67" s="73"/>
      <c r="C67" s="298"/>
      <c r="D67" s="12"/>
      <c r="E67" s="12"/>
      <c r="F67" s="12"/>
      <c r="G67" s="26"/>
      <c r="H67" s="24"/>
      <c r="I67" s="20"/>
      <c r="J67" s="20"/>
      <c r="K67" s="20"/>
      <c r="L67" s="24"/>
      <c r="M67" s="20"/>
      <c r="N67" s="20"/>
      <c r="O67" s="20"/>
      <c r="P67" s="20"/>
      <c r="Q67" s="20"/>
      <c r="R67" s="20"/>
      <c r="S67" s="20"/>
    </row>
    <row r="68" spans="1:19">
      <c r="A68" s="1403"/>
      <c r="B68" s="1226" t="s">
        <v>769</v>
      </c>
      <c r="C68" s="1548"/>
      <c r="D68" s="1435"/>
      <c r="E68" s="1435"/>
      <c r="F68" s="1435"/>
      <c r="G68" s="1404"/>
      <c r="H68" s="1410"/>
      <c r="I68" s="1228"/>
      <c r="J68" s="1228"/>
      <c r="K68" s="1228"/>
      <c r="L68" s="1410"/>
      <c r="M68" s="1228"/>
      <c r="N68" s="1228"/>
      <c r="O68" s="1228"/>
      <c r="P68" s="1228"/>
      <c r="Q68" s="1228"/>
      <c r="R68" s="1228"/>
      <c r="S68" s="1228"/>
    </row>
    <row r="69" spans="1:19">
      <c r="A69" s="1124"/>
      <c r="B69" s="1105" t="s">
        <v>770</v>
      </c>
      <c r="C69" s="415"/>
      <c r="D69" s="422"/>
      <c r="E69" s="422"/>
      <c r="F69" s="422"/>
      <c r="G69" s="831"/>
      <c r="H69" s="445"/>
      <c r="I69" s="1182"/>
      <c r="J69" s="1182"/>
      <c r="K69" s="1182"/>
      <c r="L69" s="445"/>
      <c r="M69" s="1182"/>
      <c r="N69" s="1182"/>
      <c r="O69" s="1182"/>
      <c r="P69" s="1182"/>
      <c r="Q69" s="1182"/>
      <c r="R69" s="1182"/>
      <c r="S69" s="1182"/>
    </row>
    <row r="70" spans="1:19">
      <c r="A70" s="1376"/>
      <c r="B70" s="1377" t="s">
        <v>771</v>
      </c>
      <c r="C70" s="1378"/>
      <c r="D70" s="1379"/>
      <c r="E70" s="1379"/>
      <c r="F70" s="1379"/>
      <c r="G70" s="1380"/>
      <c r="H70" s="1381"/>
      <c r="I70" s="1382"/>
      <c r="J70" s="1382"/>
      <c r="K70" s="1382"/>
      <c r="L70" s="1381"/>
      <c r="M70" s="1382"/>
      <c r="N70" s="1382"/>
      <c r="O70" s="1382"/>
      <c r="P70" s="1382"/>
      <c r="Q70" s="1382"/>
      <c r="R70" s="1382"/>
      <c r="S70" s="1382"/>
    </row>
    <row r="71" spans="1:19">
      <c r="F71" s="2"/>
      <c r="G71" s="2"/>
      <c r="H71" s="2"/>
      <c r="I71" s="2"/>
      <c r="J71" s="2"/>
      <c r="K71" s="2"/>
      <c r="L71" s="2"/>
      <c r="M71" s="2"/>
      <c r="N71" s="2"/>
      <c r="O71" s="2"/>
      <c r="P71" s="2"/>
      <c r="Q71" s="2"/>
      <c r="R71" s="2"/>
      <c r="S71" s="2"/>
    </row>
    <row r="72" spans="1:19">
      <c r="A72" s="37" t="s">
        <v>772</v>
      </c>
      <c r="B72" s="39"/>
      <c r="F72" s="2"/>
      <c r="G72" s="2"/>
      <c r="H72" s="2"/>
      <c r="I72" s="2"/>
      <c r="J72" s="2"/>
      <c r="K72" s="2"/>
      <c r="L72" s="2"/>
      <c r="M72" s="2"/>
      <c r="N72" s="2"/>
      <c r="O72" s="2"/>
      <c r="P72" s="2"/>
      <c r="Q72" s="2"/>
      <c r="R72" s="2"/>
      <c r="S72" s="2"/>
    </row>
    <row r="73" spans="1:19">
      <c r="A73" s="38" t="s">
        <v>693</v>
      </c>
      <c r="B73" s="1277" t="str">
        <f>H5</f>
        <v>Collins Construction Company</v>
      </c>
      <c r="F73" s="2"/>
      <c r="G73" s="2"/>
      <c r="H73" s="2"/>
      <c r="I73" s="2"/>
      <c r="J73" s="2"/>
      <c r="K73" s="2"/>
      <c r="L73" s="2"/>
      <c r="M73" s="2"/>
      <c r="N73" s="2"/>
      <c r="O73" s="2"/>
      <c r="P73" s="2"/>
      <c r="Q73" s="2"/>
      <c r="R73" s="2"/>
      <c r="S73" s="2"/>
    </row>
    <row r="74" spans="1:19">
      <c r="A74" s="1142" t="s">
        <v>702</v>
      </c>
      <c r="B74" s="1277" t="str">
        <f>H6</f>
        <v>Juan Arias</v>
      </c>
      <c r="F74" s="2"/>
      <c r="G74" s="2"/>
      <c r="H74" s="2"/>
      <c r="I74" s="2"/>
      <c r="J74" s="2"/>
      <c r="K74" s="2"/>
      <c r="L74" s="2"/>
      <c r="M74" s="2"/>
      <c r="N74" s="2"/>
      <c r="O74" s="2"/>
      <c r="P74" s="2"/>
      <c r="Q74" s="2"/>
      <c r="R74" s="2"/>
      <c r="S74" s="2"/>
    </row>
    <row r="75" spans="1:19">
      <c r="A75" s="1191" t="s">
        <v>708</v>
      </c>
      <c r="B75" s="1192" t="str">
        <f>H7</f>
        <v>321-272-5003</v>
      </c>
      <c r="F75" s="2"/>
      <c r="G75" s="2"/>
      <c r="H75" s="2"/>
      <c r="I75" s="2"/>
      <c r="J75" s="2"/>
      <c r="K75" s="2"/>
      <c r="L75" s="2"/>
      <c r="M75" s="2"/>
      <c r="N75" s="2"/>
      <c r="O75" s="2"/>
      <c r="P75" s="2"/>
      <c r="Q75" s="2"/>
      <c r="R75" s="2"/>
      <c r="S75" s="2"/>
    </row>
    <row r="76" spans="1:19">
      <c r="A76" s="1191" t="s">
        <v>713</v>
      </c>
      <c r="B76" s="1278" t="str">
        <f>H8</f>
        <v>jarias@collinsfl.com</v>
      </c>
      <c r="F76" s="2"/>
      <c r="G76" s="2"/>
      <c r="H76" s="2"/>
      <c r="I76" s="2"/>
      <c r="J76" s="2"/>
      <c r="K76" s="2"/>
      <c r="L76" s="2"/>
      <c r="M76" s="2"/>
      <c r="N76" s="2"/>
      <c r="O76" s="2"/>
      <c r="P76" s="2"/>
      <c r="Q76" s="2"/>
      <c r="R76" s="2"/>
      <c r="S76" s="2"/>
    </row>
    <row r="77" spans="1:19">
      <c r="A77" s="1383" t="s">
        <v>69</v>
      </c>
      <c r="B77" s="1397">
        <f>H9</f>
        <v>307128</v>
      </c>
      <c r="F77" s="2"/>
      <c r="G77" s="2"/>
      <c r="H77" s="2"/>
      <c r="I77" s="2"/>
      <c r="J77" s="2"/>
      <c r="K77" s="2"/>
      <c r="L77" s="2"/>
      <c r="M77" s="2"/>
      <c r="N77" s="2"/>
      <c r="O77" s="2"/>
      <c r="P77" s="2"/>
      <c r="Q77" s="2"/>
      <c r="R77" s="2"/>
      <c r="S77" s="2"/>
    </row>
  </sheetData>
  <mergeCells count="41">
    <mergeCell ref="A45:B45"/>
    <mergeCell ref="A49:B49"/>
    <mergeCell ref="A53:B53"/>
    <mergeCell ref="A57:B57"/>
    <mergeCell ref="A61:B61"/>
    <mergeCell ref="R9:S9"/>
    <mergeCell ref="H8:I8"/>
    <mergeCell ref="J8:K8"/>
    <mergeCell ref="N8:O8"/>
    <mergeCell ref="P8:Q8"/>
    <mergeCell ref="H9:I9"/>
    <mergeCell ref="J9:K9"/>
    <mergeCell ref="N9:O9"/>
    <mergeCell ref="P9:Q9"/>
    <mergeCell ref="L9:M9"/>
    <mergeCell ref="P5:Q5"/>
    <mergeCell ref="J7:K7"/>
    <mergeCell ref="N7:O7"/>
    <mergeCell ref="P7:Q7"/>
    <mergeCell ref="R8:S8"/>
    <mergeCell ref="R7:S7"/>
    <mergeCell ref="L5:M5"/>
    <mergeCell ref="L6:M6"/>
    <mergeCell ref="L7:M7"/>
    <mergeCell ref="L8:M8"/>
    <mergeCell ref="H7:I7"/>
    <mergeCell ref="R4:S4"/>
    <mergeCell ref="H4:I4"/>
    <mergeCell ref="J4:K4"/>
    <mergeCell ref="N4:O4"/>
    <mergeCell ref="P4:Q4"/>
    <mergeCell ref="R6:S6"/>
    <mergeCell ref="R5:S5"/>
    <mergeCell ref="H6:I6"/>
    <mergeCell ref="J6:K6"/>
    <mergeCell ref="N6:O6"/>
    <mergeCell ref="P6:Q6"/>
    <mergeCell ref="H5:I5"/>
    <mergeCell ref="J5:K5"/>
    <mergeCell ref="N5:O5"/>
    <mergeCell ref="L4:M4"/>
  </mergeCells>
  <conditionalFormatting sqref="H11:H19">
    <cfRule type="cellIs" dxfId="391" priority="5" operator="equal">
      <formula>"X"</formula>
    </cfRule>
    <cfRule type="cellIs" dxfId="390" priority="6" operator="equal">
      <formula>"I"</formula>
    </cfRule>
  </conditionalFormatting>
  <conditionalFormatting sqref="J11:J19">
    <cfRule type="cellIs" dxfId="389" priority="1" operator="equal">
      <formula>"X"</formula>
    </cfRule>
    <cfRule type="cellIs" dxfId="388" priority="2" operator="equal">
      <formula>"I"</formula>
    </cfRule>
  </conditionalFormatting>
  <conditionalFormatting sqref="L11:L19">
    <cfRule type="cellIs" dxfId="387" priority="3" operator="equal">
      <formula>"X"</formula>
    </cfRule>
    <cfRule type="cellIs" dxfId="386" priority="4" operator="equal">
      <formula>"I"</formula>
    </cfRule>
  </conditionalFormatting>
  <conditionalFormatting sqref="L21:L36">
    <cfRule type="cellIs" dxfId="385" priority="7" operator="equal">
      <formula>"X"</formula>
    </cfRule>
    <cfRule type="cellIs" dxfId="384" priority="8" operator="equal">
      <formula>"I"</formula>
    </cfRule>
  </conditionalFormatting>
  <conditionalFormatting sqref="N11:N19 P11:P19 R11:R19 H21:H36 J21:J36 N21:N36 P21:P36 R21:R36">
    <cfRule type="cellIs" dxfId="383" priority="21" operator="equal">
      <formula>"X"</formula>
    </cfRule>
    <cfRule type="cellIs" dxfId="382" priority="22" operator="equal">
      <formula>"I"</formula>
    </cfRule>
  </conditionalFormatting>
  <hyperlinks>
    <hyperlink ref="B4" location="'Cost Summary'!A1" display="BACK TO SUMMARY SHEET" xr:uid="{E0ACE514-37BF-4917-AB2F-70C7C702F143}"/>
    <hyperlink ref="L8:M8" r:id="rId1" display="danielmorgan@acousti.com" xr:uid="{7120B4C4-27A3-46CE-9474-87F6150E158C}"/>
    <hyperlink ref="H8:I8" r:id="rId2" display="jarias@collinsfl.com" xr:uid="{70100FBA-EF02-4493-B87E-3684CDC1DB91}"/>
    <hyperlink ref="J8:K8" r:id="rId3" display="bpuente@flcrane.com" xr:uid="{82D28899-FE4F-4186-ADFF-00CA17CAE0DB}"/>
  </hyperlinks>
  <pageMargins left="0.7" right="0.7" top="0.75" bottom="0.75" header="0.3" footer="0.3"/>
  <pageSetup orientation="portrait" r:id="rId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8ADF-0F7A-49EC-8D08-DC8622E8BE5B}">
  <sheetPr>
    <tabColor theme="9" tint="0.39997558519241921"/>
  </sheetPr>
  <dimension ref="A1:AH82"/>
  <sheetViews>
    <sheetView zoomScale="90" zoomScaleNormal="90" workbookViewId="0">
      <pane xSplit="2" ySplit="10" topLeftCell="C19" activePane="bottomRight" state="frozen"/>
      <selection pane="topRight" activeCell="C1" sqref="C1"/>
      <selection pane="bottomLeft" activeCell="A11" sqref="A11"/>
      <selection pane="bottomRight" activeCell="F32" sqref="F32"/>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19"/>
      <c r="J4" s="2319" t="s">
        <v>687</v>
      </c>
      <c r="K4" s="2319"/>
      <c r="L4" s="2319" t="s">
        <v>688</v>
      </c>
      <c r="M4" s="2319"/>
      <c r="N4" s="2319" t="s">
        <v>689</v>
      </c>
      <c r="O4" s="2319"/>
      <c r="P4" s="2319" t="s">
        <v>690</v>
      </c>
      <c r="Q4" s="2319"/>
      <c r="R4" s="2319" t="s">
        <v>691</v>
      </c>
      <c r="S4" s="2319"/>
      <c r="X4" s="261"/>
    </row>
    <row r="5" spans="1:24" ht="15.75" thickTop="1">
      <c r="A5" s="292" t="s">
        <v>692</v>
      </c>
      <c r="B5" s="299" t="str">
        <f>'Area Calculations'!B4</f>
        <v>ERAU Residential Hall &amp; Garage Building</v>
      </c>
      <c r="C5" s="294"/>
      <c r="D5" s="263"/>
      <c r="E5" s="264"/>
      <c r="F5" s="279"/>
      <c r="G5" s="271" t="s">
        <v>693</v>
      </c>
      <c r="H5" s="2362" t="s">
        <v>1689</v>
      </c>
      <c r="I5" s="2363"/>
      <c r="J5" s="2333" t="s">
        <v>1692</v>
      </c>
      <c r="K5" s="2333"/>
      <c r="L5" s="2362" t="s">
        <v>1690</v>
      </c>
      <c r="M5" s="2363"/>
      <c r="N5" s="2362" t="s">
        <v>1691</v>
      </c>
      <c r="O5" s="2363"/>
      <c r="P5" s="2333" t="s">
        <v>1738</v>
      </c>
      <c r="Q5" s="2333"/>
      <c r="R5" s="2333"/>
      <c r="S5" s="2333"/>
      <c r="X5" s="261"/>
    </row>
    <row r="6" spans="1:24">
      <c r="A6" s="1082" t="s">
        <v>700</v>
      </c>
      <c r="B6" s="1196" t="s">
        <v>1739</v>
      </c>
      <c r="C6" s="415"/>
      <c r="D6" s="416"/>
      <c r="E6" s="417"/>
      <c r="F6" s="418"/>
      <c r="G6" s="419" t="s">
        <v>702</v>
      </c>
      <c r="H6" s="2359" t="s">
        <v>1694</v>
      </c>
      <c r="I6" s="2360"/>
      <c r="J6" s="2313" t="s">
        <v>1697</v>
      </c>
      <c r="K6" s="2313"/>
      <c r="L6" s="2359" t="s">
        <v>1695</v>
      </c>
      <c r="M6" s="2360"/>
      <c r="N6" s="2359" t="s">
        <v>1696</v>
      </c>
      <c r="O6" s="2360"/>
      <c r="P6" s="2313" t="s">
        <v>1740</v>
      </c>
      <c r="Q6" s="2313"/>
      <c r="R6" s="2313"/>
      <c r="S6" s="2313"/>
      <c r="X6" s="261"/>
    </row>
    <row r="7" spans="1:24">
      <c r="A7" s="1082" t="s">
        <v>706</v>
      </c>
      <c r="B7" s="1197" t="s">
        <v>1741</v>
      </c>
      <c r="C7" s="415"/>
      <c r="D7" s="416"/>
      <c r="E7" s="417"/>
      <c r="F7" s="418"/>
      <c r="G7" s="829" t="s">
        <v>708</v>
      </c>
      <c r="H7" s="2361" t="s">
        <v>1698</v>
      </c>
      <c r="I7" s="2358"/>
      <c r="J7" s="2313"/>
      <c r="K7" s="2313"/>
      <c r="L7" s="2361" t="s">
        <v>1699</v>
      </c>
      <c r="M7" s="2358"/>
      <c r="N7" s="2361" t="s">
        <v>1700</v>
      </c>
      <c r="O7" s="2358"/>
      <c r="P7" s="2313"/>
      <c r="Q7" s="2313"/>
      <c r="R7" s="2313"/>
      <c r="S7" s="2313"/>
      <c r="X7" s="261"/>
    </row>
    <row r="8" spans="1:24">
      <c r="A8" s="1082" t="s">
        <v>712</v>
      </c>
      <c r="B8" s="1198"/>
      <c r="C8" s="415"/>
      <c r="D8" s="416"/>
      <c r="E8" s="417"/>
      <c r="F8" s="418"/>
      <c r="G8" s="829" t="s">
        <v>713</v>
      </c>
      <c r="H8" s="2355" t="s">
        <v>1701</v>
      </c>
      <c r="I8" s="2356"/>
      <c r="J8" s="2370" t="s">
        <v>1704</v>
      </c>
      <c r="K8" s="2315"/>
      <c r="L8" s="2355" t="s">
        <v>1702</v>
      </c>
      <c r="M8" s="2356"/>
      <c r="N8" s="2355" t="s">
        <v>1703</v>
      </c>
      <c r="O8" s="2356"/>
      <c r="P8" s="2315"/>
      <c r="Q8" s="2315"/>
      <c r="R8" s="2315"/>
      <c r="S8" s="2315"/>
      <c r="X8" s="261"/>
    </row>
    <row r="9" spans="1:24" ht="15.75" thickBot="1">
      <c r="A9" s="420"/>
      <c r="B9" s="421"/>
      <c r="C9" s="23"/>
      <c r="D9" s="265"/>
      <c r="E9" s="266"/>
      <c r="F9" s="283"/>
      <c r="G9" s="284"/>
      <c r="H9" s="2317">
        <f>I46</f>
        <v>1074874.7757000001</v>
      </c>
      <c r="I9" s="2317"/>
      <c r="J9" s="2317">
        <f>K46</f>
        <v>1246427.96</v>
      </c>
      <c r="K9" s="2317"/>
      <c r="L9" s="2317">
        <f>M46</f>
        <v>1343956.0099999998</v>
      </c>
      <c r="M9" s="2317"/>
      <c r="N9" s="2317">
        <f>O46</f>
        <v>1501126.37</v>
      </c>
      <c r="O9" s="2317"/>
      <c r="P9" s="2317">
        <f>Q46</f>
        <v>1878704.6</v>
      </c>
      <c r="Q9" s="2317"/>
      <c r="R9" s="2317"/>
      <c r="S9" s="2317"/>
      <c r="X9" s="261"/>
    </row>
    <row r="10" spans="1:24" s="267" customFormat="1" ht="32.1" customHeight="1" thickBot="1">
      <c r="A10" s="293"/>
      <c r="B10" s="300"/>
      <c r="C10" s="295"/>
      <c r="D10" s="287"/>
      <c r="E10" s="286"/>
      <c r="F10" s="288"/>
      <c r="G10" s="289"/>
      <c r="H10" s="290"/>
      <c r="I10" s="290"/>
      <c r="J10" s="290"/>
      <c r="K10" s="290"/>
      <c r="L10" s="290"/>
      <c r="M10" s="290"/>
      <c r="N10" s="290"/>
      <c r="O10" s="290"/>
      <c r="P10" s="290"/>
      <c r="Q10" s="290"/>
      <c r="R10" s="290"/>
      <c r="S10" s="291"/>
      <c r="X10" s="268"/>
    </row>
    <row r="11" spans="1:24" ht="15.75">
      <c r="A11" s="1412"/>
      <c r="B11" s="1283" t="s">
        <v>725</v>
      </c>
      <c r="C11" s="1554"/>
      <c r="D11" s="1435"/>
      <c r="E11" s="1435"/>
      <c r="F11" s="1416"/>
      <c r="G11" s="1417"/>
      <c r="H11" s="1286"/>
      <c r="I11" s="1419"/>
      <c r="J11" s="1286"/>
      <c r="K11" s="1419"/>
      <c r="L11" s="1286"/>
      <c r="M11" s="1420"/>
      <c r="N11" s="1286"/>
      <c r="O11" s="285"/>
      <c r="P11" s="1286"/>
      <c r="Q11" s="1419"/>
      <c r="R11" s="1286"/>
      <c r="S11" s="1419"/>
    </row>
    <row r="12" spans="1:24">
      <c r="A12" s="1412"/>
      <c r="B12" s="1263" t="s">
        <v>726</v>
      </c>
      <c r="C12" s="446"/>
      <c r="D12" s="422"/>
      <c r="E12" s="422"/>
      <c r="F12" s="418"/>
      <c r="G12" s="423"/>
      <c r="H12" s="1264" t="s">
        <v>727</v>
      </c>
      <c r="I12" s="1419"/>
      <c r="J12" s="1264" t="s">
        <v>727</v>
      </c>
      <c r="K12" s="1419"/>
      <c r="L12" s="1264" t="s">
        <v>727</v>
      </c>
      <c r="M12" s="1420"/>
      <c r="N12" s="1264" t="s">
        <v>727</v>
      </c>
      <c r="O12" s="1419"/>
      <c r="P12" s="1264"/>
      <c r="Q12" s="1419"/>
      <c r="R12" s="1264"/>
      <c r="S12" s="1419"/>
    </row>
    <row r="13" spans="1:24">
      <c r="A13" s="1097"/>
      <c r="B13" s="1263" t="s">
        <v>728</v>
      </c>
      <c r="C13" s="446"/>
      <c r="D13" s="422"/>
      <c r="E13" s="422"/>
      <c r="F13" s="418"/>
      <c r="G13" s="423"/>
      <c r="H13" s="1264" t="s">
        <v>727</v>
      </c>
      <c r="I13" s="1419"/>
      <c r="J13" s="1264" t="s">
        <v>727</v>
      </c>
      <c r="K13" s="1419"/>
      <c r="L13" s="1264" t="s">
        <v>727</v>
      </c>
      <c r="M13" s="1420"/>
      <c r="N13" s="1264" t="s">
        <v>727</v>
      </c>
      <c r="O13" s="1419"/>
      <c r="P13" s="1264"/>
      <c r="Q13" s="1419"/>
      <c r="R13" s="1264"/>
      <c r="S13" s="1419"/>
    </row>
    <row r="14" spans="1:24">
      <c r="A14" s="1412"/>
      <c r="B14" s="1265" t="s">
        <v>729</v>
      </c>
      <c r="C14" s="446"/>
      <c r="D14" s="422"/>
      <c r="E14" s="422"/>
      <c r="F14" s="418"/>
      <c r="G14" s="423"/>
      <c r="H14" s="1264" t="s">
        <v>730</v>
      </c>
      <c r="I14" s="1440" t="s">
        <v>837</v>
      </c>
      <c r="J14" s="1264" t="s">
        <v>730</v>
      </c>
      <c r="K14" s="1419"/>
      <c r="L14" s="1264" t="s">
        <v>730</v>
      </c>
      <c r="M14" s="1420"/>
      <c r="N14" s="1264" t="s">
        <v>730</v>
      </c>
      <c r="O14" s="1419"/>
      <c r="P14" s="1264"/>
      <c r="Q14" s="1419"/>
      <c r="R14" s="1264"/>
      <c r="S14" s="1419"/>
    </row>
    <row r="15" spans="1:24">
      <c r="A15" s="1097"/>
      <c r="B15" s="1265" t="s">
        <v>731</v>
      </c>
      <c r="C15" s="446"/>
      <c r="D15" s="422"/>
      <c r="E15" s="422"/>
      <c r="F15" s="418"/>
      <c r="G15" s="423"/>
      <c r="H15" s="1264" t="s">
        <v>727</v>
      </c>
      <c r="I15" s="1420"/>
      <c r="J15" s="1264" t="s">
        <v>727</v>
      </c>
      <c r="K15" s="1420"/>
      <c r="L15" s="1264" t="s">
        <v>727</v>
      </c>
      <c r="M15" s="1420"/>
      <c r="N15" s="1264" t="s">
        <v>727</v>
      </c>
      <c r="O15" s="1420"/>
      <c r="P15" s="1264"/>
      <c r="Q15" s="1420"/>
      <c r="R15" s="1264"/>
      <c r="S15" s="1420"/>
    </row>
    <row r="16" spans="1:24">
      <c r="A16" s="1412"/>
      <c r="B16" s="1265" t="s">
        <v>732</v>
      </c>
      <c r="C16" s="446"/>
      <c r="D16" s="422"/>
      <c r="E16" s="422"/>
      <c r="F16" s="418"/>
      <c r="G16" s="423"/>
      <c r="H16" s="1264" t="s">
        <v>727</v>
      </c>
      <c r="I16" s="1419"/>
      <c r="J16" s="1264" t="s">
        <v>727</v>
      </c>
      <c r="K16" s="1419"/>
      <c r="L16" s="1264" t="s">
        <v>727</v>
      </c>
      <c r="M16" s="1420"/>
      <c r="N16" s="1264" t="s">
        <v>727</v>
      </c>
      <c r="O16" s="1419"/>
      <c r="P16" s="1264"/>
      <c r="Q16" s="1419"/>
      <c r="R16" s="1264"/>
      <c r="S16" s="1419"/>
    </row>
    <row r="17" spans="1:19">
      <c r="A17" s="1097"/>
      <c r="B17" s="1265" t="s">
        <v>733</v>
      </c>
      <c r="C17" s="446"/>
      <c r="D17" s="422"/>
      <c r="E17" s="422"/>
      <c r="F17" s="418"/>
      <c r="G17" s="423"/>
      <c r="H17" s="1264" t="s">
        <v>727</v>
      </c>
      <c r="I17" s="1419"/>
      <c r="J17" s="1264" t="s">
        <v>727</v>
      </c>
      <c r="K17" s="1419"/>
      <c r="L17" s="1264" t="s">
        <v>727</v>
      </c>
      <c r="M17" s="1420"/>
      <c r="N17" s="1264" t="s">
        <v>727</v>
      </c>
      <c r="O17" s="1419"/>
      <c r="P17" s="1264"/>
      <c r="Q17" s="1419"/>
      <c r="R17" s="1264"/>
      <c r="S17" s="1419"/>
    </row>
    <row r="18" spans="1:19">
      <c r="A18" s="1412"/>
      <c r="B18" s="534" t="s">
        <v>734</v>
      </c>
      <c r="C18" s="446"/>
      <c r="D18" s="422"/>
      <c r="E18" s="422"/>
      <c r="F18" s="418"/>
      <c r="G18" s="423"/>
      <c r="H18" s="1264" t="s">
        <v>730</v>
      </c>
      <c r="I18" s="1419"/>
      <c r="J18" s="1264"/>
      <c r="K18" s="1419"/>
      <c r="L18" s="1264"/>
      <c r="M18" s="1420"/>
      <c r="N18" s="1264"/>
      <c r="O18" s="1419"/>
      <c r="P18" s="1264"/>
      <c r="Q18" s="1419"/>
      <c r="R18" s="1264"/>
      <c r="S18" s="1419"/>
    </row>
    <row r="19" spans="1:19">
      <c r="A19" s="1412"/>
      <c r="B19" s="1154" t="s">
        <v>736</v>
      </c>
      <c r="C19" s="446"/>
      <c r="D19" s="422"/>
      <c r="E19" s="422"/>
      <c r="F19" s="418"/>
      <c r="G19" s="423"/>
      <c r="H19" s="1264"/>
      <c r="I19" s="1419"/>
      <c r="J19" s="1264"/>
      <c r="K19" s="1419"/>
      <c r="L19" s="1264"/>
      <c r="M19" s="1420"/>
      <c r="N19" s="1264"/>
      <c r="O19" s="1419"/>
      <c r="P19" s="1264"/>
      <c r="Q19" s="1419"/>
      <c r="R19" s="1264"/>
      <c r="S19" s="1419"/>
    </row>
    <row r="20" spans="1:19">
      <c r="A20" s="1097"/>
      <c r="B20" s="1555" t="s">
        <v>737</v>
      </c>
      <c r="C20" s="447"/>
      <c r="D20" s="425"/>
      <c r="E20" s="425"/>
      <c r="F20" s="426"/>
      <c r="G20" s="427"/>
      <c r="H20" s="1156"/>
      <c r="I20" s="1422"/>
      <c r="J20" s="1156"/>
      <c r="K20" s="1422"/>
      <c r="L20" s="1156"/>
      <c r="M20" s="1423"/>
      <c r="N20" s="1156"/>
      <c r="O20" s="1422"/>
      <c r="P20" s="1156"/>
      <c r="Q20" s="1422"/>
      <c r="R20" s="1156"/>
      <c r="S20" s="1422"/>
    </row>
    <row r="21" spans="1:19" ht="15.75" thickBot="1">
      <c r="A21" s="1412"/>
      <c r="B21" s="1163"/>
      <c r="C21" s="23"/>
      <c r="D21" s="87"/>
      <c r="E21" s="86"/>
      <c r="F21" s="431"/>
      <c r="G21" s="1402"/>
      <c r="H21" s="1264"/>
      <c r="I21" s="1419"/>
      <c r="J21" s="1264"/>
      <c r="K21" s="1419"/>
      <c r="L21" s="1264"/>
      <c r="M21" s="1419"/>
      <c r="N21" s="1264"/>
      <c r="O21" s="1419"/>
      <c r="P21" s="1264"/>
      <c r="Q21" s="1419"/>
      <c r="R21" s="1264"/>
      <c r="S21" s="1419"/>
    </row>
    <row r="22" spans="1:19" ht="15.75" thickBot="1">
      <c r="A22" s="1412"/>
      <c r="B22" s="788" t="s">
        <v>1705</v>
      </c>
      <c r="C22" s="23"/>
      <c r="D22" s="87"/>
      <c r="E22" s="86"/>
      <c r="F22" s="431"/>
      <c r="G22" s="1402"/>
      <c r="H22" s="1264"/>
      <c r="I22" s="1419"/>
      <c r="J22" s="1264"/>
      <c r="K22" s="1419"/>
      <c r="L22" s="1264"/>
      <c r="M22" s="1419"/>
      <c r="N22" s="1264"/>
      <c r="O22" s="1419"/>
      <c r="P22" s="1264"/>
      <c r="Q22" s="1419"/>
      <c r="R22" s="1264"/>
      <c r="S22" s="1419"/>
    </row>
    <row r="23" spans="1:19">
      <c r="A23" s="1412"/>
      <c r="B23" s="380" t="s">
        <v>1742</v>
      </c>
      <c r="C23" s="23"/>
      <c r="D23" s="87">
        <v>1472</v>
      </c>
      <c r="E23" s="86" t="s">
        <v>1743</v>
      </c>
      <c r="F23" s="431"/>
      <c r="G23" s="1402"/>
      <c r="H23" s="1264" t="s">
        <v>727</v>
      </c>
      <c r="I23" s="1562">
        <v>75720</v>
      </c>
      <c r="J23" s="1273" t="s">
        <v>1035</v>
      </c>
      <c r="K23" s="1430">
        <v>93465.99</v>
      </c>
      <c r="L23" s="1264" t="s">
        <v>727</v>
      </c>
      <c r="M23" s="1562">
        <v>93465.99</v>
      </c>
      <c r="N23" s="1264" t="s">
        <v>727</v>
      </c>
      <c r="O23" s="1562">
        <v>338208.83</v>
      </c>
      <c r="P23" s="1264" t="s">
        <v>727</v>
      </c>
      <c r="Q23" s="1419">
        <v>1064909.45</v>
      </c>
      <c r="R23" s="1264"/>
      <c r="S23" s="1419"/>
    </row>
    <row r="24" spans="1:19">
      <c r="A24" s="1412"/>
      <c r="B24" s="380" t="s">
        <v>1744</v>
      </c>
      <c r="C24" s="23"/>
      <c r="D24" s="87">
        <v>5755</v>
      </c>
      <c r="E24" s="86" t="s">
        <v>1743</v>
      </c>
      <c r="F24" s="431"/>
      <c r="G24" s="1402"/>
      <c r="H24" s="1264" t="s">
        <v>727</v>
      </c>
      <c r="I24" s="1562">
        <v>255804</v>
      </c>
      <c r="J24" s="1273" t="s">
        <v>1035</v>
      </c>
      <c r="K24" s="1430">
        <v>255804</v>
      </c>
      <c r="L24" s="1264" t="s">
        <v>727</v>
      </c>
      <c r="M24" s="1562">
        <v>360461.47</v>
      </c>
      <c r="N24" s="1264"/>
      <c r="O24" s="1419"/>
      <c r="P24" s="1264"/>
      <c r="Q24" s="1419"/>
      <c r="R24" s="1264"/>
      <c r="S24" s="1419"/>
    </row>
    <row r="25" spans="1:19" ht="35.25" customHeight="1">
      <c r="A25" s="1412"/>
      <c r="B25" s="380" t="s">
        <v>1745</v>
      </c>
      <c r="C25" s="23"/>
      <c r="D25" s="87">
        <v>34861</v>
      </c>
      <c r="E25" s="86" t="s">
        <v>843</v>
      </c>
      <c r="F25" s="431"/>
      <c r="G25" s="1402"/>
      <c r="H25" s="1264" t="s">
        <v>727</v>
      </c>
      <c r="I25" s="1562">
        <v>161799</v>
      </c>
      <c r="J25" s="1264" t="s">
        <v>727</v>
      </c>
      <c r="K25" s="1562">
        <v>257600</v>
      </c>
      <c r="L25" s="1264" t="s">
        <v>727</v>
      </c>
      <c r="M25" s="1562">
        <v>221473.1</v>
      </c>
      <c r="N25" s="1264" t="s">
        <v>727</v>
      </c>
      <c r="O25" s="1562">
        <v>201336.17</v>
      </c>
      <c r="P25" s="1264"/>
      <c r="Q25" s="1419"/>
      <c r="R25" s="1264"/>
      <c r="S25" s="1419"/>
    </row>
    <row r="26" spans="1:19">
      <c r="A26" s="1412"/>
      <c r="B26" s="380" t="s">
        <v>1746</v>
      </c>
      <c r="C26" s="23"/>
      <c r="D26" s="87"/>
      <c r="E26" s="86"/>
      <c r="F26" s="431"/>
      <c r="G26" s="1402"/>
      <c r="H26" s="1273" t="s">
        <v>1035</v>
      </c>
      <c r="I26" s="1430">
        <v>3633.17</v>
      </c>
      <c r="J26" s="1273" t="s">
        <v>727</v>
      </c>
      <c r="K26" s="1562">
        <v>25000</v>
      </c>
      <c r="L26" s="1264" t="s">
        <v>727</v>
      </c>
      <c r="M26" s="1562">
        <v>3633.17</v>
      </c>
      <c r="N26" s="1264"/>
      <c r="O26" s="1419"/>
      <c r="P26" s="1264"/>
      <c r="Q26" s="1419"/>
      <c r="R26" s="1264"/>
      <c r="S26" s="1419"/>
    </row>
    <row r="27" spans="1:19">
      <c r="A27" s="1412"/>
      <c r="B27" s="380" t="s">
        <v>1747</v>
      </c>
      <c r="C27" s="23"/>
      <c r="D27" s="87"/>
      <c r="E27" s="86"/>
      <c r="F27" s="431"/>
      <c r="G27" s="1402"/>
      <c r="H27" s="1273" t="s">
        <v>1035</v>
      </c>
      <c r="I27" s="1430">
        <v>2773.08</v>
      </c>
      <c r="J27" s="1273" t="s">
        <v>727</v>
      </c>
      <c r="K27" s="1562">
        <v>9000</v>
      </c>
      <c r="L27" s="1264" t="s">
        <v>727</v>
      </c>
      <c r="M27" s="1562">
        <v>2773.08</v>
      </c>
      <c r="N27" s="1264"/>
      <c r="O27" s="1419"/>
      <c r="P27" s="1264"/>
      <c r="Q27" s="1419"/>
      <c r="R27" s="1264"/>
      <c r="S27" s="1419"/>
    </row>
    <row r="28" spans="1:19">
      <c r="A28" s="1412"/>
      <c r="B28" s="380" t="s">
        <v>1748</v>
      </c>
      <c r="C28" s="23"/>
      <c r="D28" s="87"/>
      <c r="E28" s="86"/>
      <c r="F28" s="431"/>
      <c r="G28" s="1402"/>
      <c r="H28" s="1264" t="s">
        <v>727</v>
      </c>
      <c r="I28" s="1562">
        <v>12258</v>
      </c>
      <c r="J28" s="1264" t="s">
        <v>727</v>
      </c>
      <c r="K28" s="1419"/>
      <c r="L28" s="1264" t="s">
        <v>727</v>
      </c>
      <c r="M28" s="1419"/>
      <c r="N28" s="1264" t="s">
        <v>727</v>
      </c>
      <c r="O28" s="1562">
        <v>37043.120000000003</v>
      </c>
      <c r="P28" s="1264"/>
      <c r="Q28" s="1419"/>
      <c r="R28" s="1264"/>
      <c r="S28" s="1419"/>
    </row>
    <row r="29" spans="1:19">
      <c r="A29" s="1412"/>
      <c r="B29" s="380" t="s">
        <v>1749</v>
      </c>
      <c r="C29" s="23"/>
      <c r="D29" s="87"/>
      <c r="E29" s="86"/>
      <c r="F29" s="431"/>
      <c r="G29" s="1402"/>
      <c r="H29" s="1264" t="s">
        <v>727</v>
      </c>
      <c r="I29" s="1562">
        <v>38435</v>
      </c>
      <c r="J29" s="1264" t="s">
        <v>727</v>
      </c>
      <c r="K29" s="1419"/>
      <c r="L29" s="1264" t="s">
        <v>727</v>
      </c>
      <c r="M29" s="1419"/>
      <c r="N29" s="1264" t="s">
        <v>727</v>
      </c>
      <c r="O29" s="1562">
        <v>61789.65</v>
      </c>
      <c r="P29" s="1264"/>
      <c r="Q29" s="1419"/>
      <c r="R29" s="1264"/>
      <c r="S29" s="1419"/>
    </row>
    <row r="30" spans="1:19" ht="15.75" thickBot="1">
      <c r="A30" s="1412"/>
      <c r="B30" s="380"/>
      <c r="C30" s="23"/>
      <c r="D30" s="87"/>
      <c r="E30" s="86"/>
      <c r="F30" s="431"/>
      <c r="G30" s="1402"/>
      <c r="H30" s="1264"/>
      <c r="I30" s="1419"/>
      <c r="J30" s="1264"/>
      <c r="K30" s="1419"/>
      <c r="L30" s="1264"/>
      <c r="M30" s="1419"/>
      <c r="N30" s="1264"/>
      <c r="O30" s="1419"/>
      <c r="P30" s="1264"/>
      <c r="Q30" s="1419"/>
      <c r="R30" s="1264"/>
      <c r="S30" s="1419"/>
    </row>
    <row r="31" spans="1:19" ht="15.75" thickBot="1">
      <c r="A31" s="1412"/>
      <c r="B31" s="788" t="s">
        <v>1712</v>
      </c>
      <c r="C31" s="23"/>
      <c r="D31" s="87">
        <f>D32*9</f>
        <v>71190</v>
      </c>
      <c r="E31" s="86"/>
      <c r="F31" s="431">
        <f>K32/D31</f>
        <v>2.1028234302570588</v>
      </c>
      <c r="G31" s="1402"/>
      <c r="H31" s="1264"/>
      <c r="I31" s="1419"/>
      <c r="J31" s="1264"/>
      <c r="K31" s="1419"/>
      <c r="L31" s="1264"/>
      <c r="M31" s="1419"/>
      <c r="N31" s="1264"/>
      <c r="O31" s="1419"/>
      <c r="P31" s="1264"/>
      <c r="Q31" s="1419"/>
      <c r="R31" s="1264"/>
      <c r="S31" s="1419"/>
    </row>
    <row r="32" spans="1:19">
      <c r="A32" s="1412"/>
      <c r="B32" s="380" t="s">
        <v>1750</v>
      </c>
      <c r="C32" s="23"/>
      <c r="D32" s="87">
        <v>7910</v>
      </c>
      <c r="E32" s="86" t="s">
        <v>1743</v>
      </c>
      <c r="F32" s="431">
        <f>K32/D32</f>
        <v>18.925410872313527</v>
      </c>
      <c r="G32" s="1402"/>
      <c r="H32" s="1264" t="s">
        <v>727</v>
      </c>
      <c r="I32" s="1562">
        <v>103062</v>
      </c>
      <c r="J32" s="1264" t="s">
        <v>727</v>
      </c>
      <c r="K32" s="1562">
        <v>149700</v>
      </c>
      <c r="L32" s="1264" t="s">
        <v>727</v>
      </c>
      <c r="M32" s="1562">
        <v>157684.9</v>
      </c>
      <c r="N32" s="1264" t="s">
        <v>727</v>
      </c>
      <c r="O32" s="1562">
        <v>265676.64</v>
      </c>
      <c r="P32" s="1264" t="s">
        <v>727</v>
      </c>
      <c r="Q32" s="1419">
        <v>813795.15</v>
      </c>
      <c r="R32" s="1264"/>
      <c r="S32" s="1419"/>
    </row>
    <row r="33" spans="1:19" ht="32.25" customHeight="1">
      <c r="A33" s="1412"/>
      <c r="B33" s="380" t="s">
        <v>1751</v>
      </c>
      <c r="C33" s="23"/>
      <c r="D33" s="87">
        <v>62712</v>
      </c>
      <c r="E33" s="86" t="s">
        <v>843</v>
      </c>
      <c r="F33" s="431"/>
      <c r="G33" s="1402"/>
      <c r="H33" s="1264" t="s">
        <v>727</v>
      </c>
      <c r="I33" s="1562">
        <v>273649</v>
      </c>
      <c r="J33" s="1264" t="s">
        <v>727</v>
      </c>
      <c r="K33" s="1562">
        <v>432600</v>
      </c>
      <c r="L33" s="1264" t="s">
        <v>727</v>
      </c>
      <c r="M33" s="1562">
        <v>474063.41</v>
      </c>
      <c r="N33" s="1264" t="s">
        <v>727</v>
      </c>
      <c r="O33" s="1562">
        <v>387003.78</v>
      </c>
      <c r="P33" s="1264"/>
      <c r="Q33" s="1419"/>
      <c r="R33" s="1264"/>
      <c r="S33" s="1419"/>
    </row>
    <row r="34" spans="1:19">
      <c r="A34" s="1412"/>
      <c r="B34" s="380" t="s">
        <v>1747</v>
      </c>
      <c r="C34" s="23"/>
      <c r="D34" s="87"/>
      <c r="E34" s="86"/>
      <c r="F34" s="431"/>
      <c r="G34" s="1402"/>
      <c r="H34" s="1273" t="s">
        <v>1035</v>
      </c>
      <c r="I34" s="1430">
        <v>2737.97</v>
      </c>
      <c r="J34" s="1273" t="s">
        <v>1035</v>
      </c>
      <c r="K34" s="1430">
        <v>2737.97</v>
      </c>
      <c r="L34" s="1264" t="s">
        <v>727</v>
      </c>
      <c r="M34" s="1562">
        <v>2737.97</v>
      </c>
      <c r="N34" s="1264" t="s">
        <v>727</v>
      </c>
      <c r="O34" s="1562"/>
      <c r="P34" s="1264"/>
      <c r="Q34" s="1419"/>
      <c r="R34" s="1264"/>
      <c r="S34" s="1419"/>
    </row>
    <row r="35" spans="1:19">
      <c r="A35" s="1412"/>
      <c r="B35" s="380" t="s">
        <v>1752</v>
      </c>
      <c r="C35" s="23"/>
      <c r="D35" s="87"/>
      <c r="E35" s="86"/>
      <c r="F35" s="431"/>
      <c r="G35" s="1402"/>
      <c r="H35" s="1273" t="s">
        <v>1035</v>
      </c>
      <c r="I35" s="1430">
        <v>7142.92</v>
      </c>
      <c r="J35" s="1264" t="s">
        <v>727</v>
      </c>
      <c r="K35" s="1419"/>
      <c r="L35" s="1264" t="s">
        <v>727</v>
      </c>
      <c r="M35" s="1562">
        <v>7142.92</v>
      </c>
      <c r="N35" s="1264" t="s">
        <v>727</v>
      </c>
      <c r="O35" s="1419"/>
      <c r="P35" s="1264"/>
      <c r="Q35" s="1419"/>
      <c r="R35" s="1264"/>
      <c r="S35" s="1419"/>
    </row>
    <row r="36" spans="1:19">
      <c r="A36" s="1412"/>
      <c r="B36" s="380" t="s">
        <v>1748</v>
      </c>
      <c r="C36" s="23"/>
      <c r="D36" s="87"/>
      <c r="E36" s="86"/>
      <c r="F36" s="431"/>
      <c r="G36" s="1402"/>
      <c r="H36" s="1264" t="s">
        <v>727</v>
      </c>
      <c r="I36" s="1562">
        <v>45046</v>
      </c>
      <c r="J36" s="1264" t="s">
        <v>727</v>
      </c>
      <c r="K36" s="1419"/>
      <c r="L36" s="1264" t="s">
        <v>727</v>
      </c>
      <c r="M36" s="1419"/>
      <c r="N36" s="1264" t="s">
        <v>727</v>
      </c>
      <c r="O36" s="1562">
        <v>38394.839999999997</v>
      </c>
      <c r="P36" s="1264"/>
      <c r="Q36" s="1419"/>
      <c r="R36" s="1264"/>
      <c r="S36" s="1419"/>
    </row>
    <row r="37" spans="1:19">
      <c r="A37" s="1412"/>
      <c r="B37" s="380" t="s">
        <v>1749</v>
      </c>
      <c r="C37" s="23"/>
      <c r="D37" s="87"/>
      <c r="E37" s="86"/>
      <c r="F37" s="431"/>
      <c r="G37" s="1402"/>
      <c r="H37" s="1264" t="s">
        <v>727</v>
      </c>
      <c r="I37" s="1562">
        <v>66947</v>
      </c>
      <c r="J37" s="1264" t="s">
        <v>727</v>
      </c>
      <c r="K37" s="1419"/>
      <c r="L37" s="1264" t="s">
        <v>727</v>
      </c>
      <c r="M37" s="1419"/>
      <c r="N37" s="1264" t="s">
        <v>727</v>
      </c>
      <c r="O37" s="1562">
        <v>151153.34</v>
      </c>
      <c r="P37" s="1264"/>
      <c r="Q37" s="1419"/>
      <c r="R37" s="1264"/>
      <c r="S37" s="1419"/>
    </row>
    <row r="38" spans="1:19">
      <c r="A38" s="1412"/>
      <c r="B38" s="380" t="s">
        <v>801</v>
      </c>
      <c r="C38" s="23"/>
      <c r="D38" s="87"/>
      <c r="E38" s="86"/>
      <c r="F38" s="431"/>
      <c r="G38" s="1402"/>
      <c r="H38" s="1264" t="s">
        <v>1035</v>
      </c>
      <c r="I38" s="1419"/>
      <c r="J38" s="1264"/>
      <c r="K38" s="1419"/>
      <c r="L38" s="1264"/>
      <c r="M38" s="1419"/>
      <c r="N38" s="1264"/>
      <c r="O38" s="1419"/>
      <c r="P38" s="1264"/>
      <c r="Q38" s="1419"/>
      <c r="R38" s="1264"/>
      <c r="S38" s="1419"/>
    </row>
    <row r="39" spans="1:19">
      <c r="A39" s="1412"/>
      <c r="B39" s="380"/>
      <c r="C39" s="23"/>
      <c r="D39" s="87"/>
      <c r="E39" s="86"/>
      <c r="F39" s="431"/>
      <c r="G39" s="1402"/>
      <c r="H39" s="1264"/>
      <c r="I39" s="1419"/>
      <c r="J39" s="1264"/>
      <c r="K39" s="1419"/>
      <c r="L39" s="1264"/>
      <c r="M39" s="1419"/>
      <c r="N39" s="1264"/>
      <c r="O39" s="1419"/>
      <c r="P39" s="1264"/>
      <c r="Q39" s="1419"/>
      <c r="R39" s="1264"/>
      <c r="S39" s="1419"/>
    </row>
    <row r="40" spans="1:19">
      <c r="A40" s="1412"/>
      <c r="B40" s="380"/>
      <c r="C40" s="23"/>
      <c r="D40" s="87"/>
      <c r="E40" s="86"/>
      <c r="F40" s="431"/>
      <c r="G40" s="1402"/>
      <c r="H40" s="1264"/>
      <c r="I40" s="1419"/>
      <c r="J40" s="1264"/>
      <c r="K40" s="1419"/>
      <c r="L40" s="1264"/>
      <c r="M40" s="1419"/>
      <c r="N40" s="1264"/>
      <c r="O40" s="1419"/>
      <c r="P40" s="1264"/>
      <c r="Q40" s="1419"/>
      <c r="R40" s="1264"/>
      <c r="S40" s="1419"/>
    </row>
    <row r="41" spans="1:19" ht="15.75" thickBot="1">
      <c r="A41" s="1412"/>
      <c r="B41" s="1163" t="s">
        <v>1753</v>
      </c>
      <c r="C41" s="23"/>
      <c r="D41" s="87"/>
      <c r="E41" s="86"/>
      <c r="F41" s="431"/>
      <c r="G41" s="830"/>
      <c r="H41" s="1273" t="s">
        <v>1035</v>
      </c>
      <c r="I41" s="1430">
        <v>20520</v>
      </c>
      <c r="J41" s="1273" t="s">
        <v>1035</v>
      </c>
      <c r="K41" s="1430">
        <v>20520</v>
      </c>
      <c r="L41" s="1273" t="s">
        <v>1035</v>
      </c>
      <c r="M41" s="1430">
        <v>20520</v>
      </c>
      <c r="N41" s="1273" t="s">
        <v>1035</v>
      </c>
      <c r="O41" s="1430">
        <v>20520</v>
      </c>
      <c r="P41" s="1264"/>
      <c r="Q41" s="1419"/>
      <c r="R41" s="1264"/>
      <c r="S41" s="1419"/>
    </row>
    <row r="42" spans="1:19" ht="15.75" thickTop="1">
      <c r="A42" s="296"/>
      <c r="B42" s="301"/>
      <c r="C42" s="297"/>
      <c r="D42" s="15"/>
      <c r="E42" s="16"/>
      <c r="F42" s="282" t="s">
        <v>753</v>
      </c>
      <c r="G42" s="272"/>
      <c r="H42" s="273"/>
      <c r="I42" s="273">
        <f>SUM(I12:I41)</f>
        <v>1069527.1400000001</v>
      </c>
      <c r="J42" s="273"/>
      <c r="K42" s="273">
        <f>SUM(K15:K41)</f>
        <v>1246427.96</v>
      </c>
      <c r="L42" s="273"/>
      <c r="M42" s="273">
        <f>SUM(M12:M41)</f>
        <v>1343956.0099999998</v>
      </c>
      <c r="N42" s="273"/>
      <c r="O42" s="273">
        <f>SUM(O12:O41)</f>
        <v>1501126.37</v>
      </c>
      <c r="P42" s="273"/>
      <c r="Q42" s="273">
        <f>SUM(Q15:Q41)</f>
        <v>1878704.6</v>
      </c>
      <c r="R42" s="273"/>
      <c r="S42" s="273">
        <f>SUM(S15:S41)</f>
        <v>0</v>
      </c>
    </row>
    <row r="43" spans="1:19">
      <c r="A43" s="1114"/>
      <c r="B43" s="1164"/>
      <c r="C43" s="432"/>
      <c r="D43" s="433"/>
      <c r="E43" s="434"/>
      <c r="F43" s="435" t="s">
        <v>754</v>
      </c>
      <c r="G43" s="436"/>
      <c r="H43" s="1395">
        <v>5.0000000000000001E-3</v>
      </c>
      <c r="I43" s="1166"/>
      <c r="J43" s="1165">
        <v>0</v>
      </c>
      <c r="K43" s="1166"/>
      <c r="L43" s="1165">
        <v>0</v>
      </c>
      <c r="M43" s="1166"/>
      <c r="N43" s="1165">
        <v>0</v>
      </c>
      <c r="O43" s="1166"/>
      <c r="P43" s="1165">
        <v>0</v>
      </c>
      <c r="Q43" s="1166"/>
      <c r="R43" s="1165">
        <v>0</v>
      </c>
      <c r="S43" s="1166"/>
    </row>
    <row r="44" spans="1:19">
      <c r="A44" s="1114"/>
      <c r="B44" s="1164"/>
      <c r="C44" s="432"/>
      <c r="D44" s="433"/>
      <c r="E44" s="434"/>
      <c r="F44" s="435" t="s">
        <v>755</v>
      </c>
      <c r="G44" s="436"/>
      <c r="H44" s="1166"/>
      <c r="I44" s="1166">
        <f>H43*I42</f>
        <v>5347.6357000000007</v>
      </c>
      <c r="J44" s="1166"/>
      <c r="K44" s="1166">
        <f>J43*K42</f>
        <v>0</v>
      </c>
      <c r="L44" s="1166"/>
      <c r="M44" s="1166">
        <f>L43*M42</f>
        <v>0</v>
      </c>
      <c r="N44" s="1166"/>
      <c r="O44" s="1166">
        <f>N43*O42</f>
        <v>0</v>
      </c>
      <c r="P44" s="1166"/>
      <c r="Q44" s="1166">
        <f>P43*Q42</f>
        <v>0</v>
      </c>
      <c r="R44" s="1166"/>
      <c r="S44" s="1166">
        <f>R43*S42</f>
        <v>0</v>
      </c>
    </row>
    <row r="45" spans="1:19">
      <c r="A45" s="1114"/>
      <c r="B45" s="1164"/>
      <c r="C45" s="432"/>
      <c r="D45" s="433"/>
      <c r="E45" s="434"/>
      <c r="F45" s="435"/>
      <c r="G45" s="436"/>
      <c r="H45" s="1166"/>
      <c r="I45" s="1166"/>
      <c r="J45" s="1166"/>
      <c r="K45" s="1166"/>
      <c r="L45" s="1166"/>
      <c r="M45" s="1166"/>
      <c r="N45" s="1166"/>
      <c r="O45" s="1166"/>
      <c r="P45" s="1166"/>
      <c r="Q45" s="1166"/>
      <c r="R45" s="1166"/>
      <c r="S45" s="1166"/>
    </row>
    <row r="46" spans="1:19">
      <c r="A46" s="1114"/>
      <c r="B46" s="1164"/>
      <c r="C46" s="432"/>
      <c r="D46" s="433"/>
      <c r="E46" s="434"/>
      <c r="F46" s="435" t="s">
        <v>756</v>
      </c>
      <c r="G46" s="436"/>
      <c r="H46" s="1166"/>
      <c r="I46" s="1166">
        <f>SUM(I42:I44)</f>
        <v>1074874.7757000001</v>
      </c>
      <c r="J46" s="1166"/>
      <c r="K46" s="1166">
        <f>SUM(K42:K44)</f>
        <v>1246427.96</v>
      </c>
      <c r="L46" s="1166"/>
      <c r="M46" s="1166">
        <f>SUM(M42:M44)</f>
        <v>1343956.0099999998</v>
      </c>
      <c r="N46" s="1166"/>
      <c r="O46" s="1166">
        <f>SUM(O42:O44)</f>
        <v>1501126.37</v>
      </c>
      <c r="P46" s="1166"/>
      <c r="Q46" s="1166">
        <f>SUM(Q42:Q44)</f>
        <v>1878704.6</v>
      </c>
      <c r="R46" s="1166"/>
      <c r="S46" s="1166">
        <f>SUM(S42:S44)</f>
        <v>0</v>
      </c>
    </row>
    <row r="47" spans="1:19">
      <c r="A47" s="1114"/>
      <c r="B47" s="1164"/>
      <c r="C47" s="432"/>
      <c r="D47" s="433"/>
      <c r="E47" s="434"/>
      <c r="F47" s="437" t="s">
        <v>757</v>
      </c>
      <c r="G47" s="438"/>
      <c r="H47" s="1167"/>
      <c r="I47" s="1167">
        <f>I46/'Area Calculations'!$G$4</f>
        <v>1.8575142625327696</v>
      </c>
      <c r="J47" s="1167"/>
      <c r="K47" s="1167">
        <f>K46/'Area Calculations'!$G$4</f>
        <v>2.1539790171481501</v>
      </c>
      <c r="L47" s="1167"/>
      <c r="M47" s="1167">
        <f>M46/'Area Calculations'!$G$4</f>
        <v>2.3225193420004384</v>
      </c>
      <c r="N47" s="1167"/>
      <c r="O47" s="1167">
        <f>O46/'Area Calculations'!$G$4</f>
        <v>2.5941288280052466</v>
      </c>
      <c r="P47" s="1167"/>
      <c r="Q47" s="1167">
        <f>Q46/'Area Calculations'!$G$4</f>
        <v>3.246629903760911</v>
      </c>
      <c r="R47" s="1167"/>
      <c r="S47" s="1167">
        <f>S46/'Area Calculations'!$G$4</f>
        <v>0</v>
      </c>
    </row>
    <row r="48" spans="1:19">
      <c r="A48" s="1114"/>
      <c r="B48" s="1164"/>
      <c r="C48" s="432"/>
      <c r="D48" s="433"/>
      <c r="E48" s="434"/>
      <c r="F48" s="437" t="s">
        <v>758</v>
      </c>
      <c r="G48" s="438"/>
      <c r="H48" s="1167"/>
      <c r="I48" s="1167">
        <f>I46/'Area Calculations'!$G$9</f>
        <v>10045.558651401871</v>
      </c>
      <c r="J48" s="1167"/>
      <c r="K48" s="1167">
        <f>K46/'Area Calculations'!$G$9</f>
        <v>11648.859439252336</v>
      </c>
      <c r="L48" s="1167"/>
      <c r="M48" s="1167">
        <f>M46/'Area Calculations'!$G$9</f>
        <v>12560.336542056073</v>
      </c>
      <c r="N48" s="1167"/>
      <c r="O48" s="1167">
        <f>O46/'Area Calculations'!$G$9</f>
        <v>14029.218411214953</v>
      </c>
      <c r="P48" s="1167"/>
      <c r="Q48" s="1167">
        <f>Q46/'Area Calculations'!$G$9</f>
        <v>17557.98691588785</v>
      </c>
      <c r="R48" s="1167"/>
      <c r="S48" s="1167">
        <f>S46/'Area Calculations'!$G$9</f>
        <v>0</v>
      </c>
    </row>
    <row r="49" spans="1:34" ht="15.75" thickBot="1">
      <c r="A49" s="1114"/>
      <c r="B49" s="1164"/>
      <c r="C49" s="432"/>
      <c r="D49" s="433"/>
      <c r="E49" s="434"/>
      <c r="F49" s="439"/>
      <c r="G49" s="436"/>
      <c r="H49" s="1168"/>
      <c r="I49" s="1168"/>
      <c r="J49" s="1168"/>
      <c r="K49" s="1168"/>
      <c r="L49" s="1168"/>
      <c r="M49" s="1168"/>
      <c r="N49" s="1168"/>
      <c r="O49" s="1168"/>
      <c r="P49" s="1168"/>
      <c r="Q49" s="1168"/>
      <c r="R49" s="1168"/>
      <c r="S49" s="1168"/>
    </row>
    <row r="50" spans="1:34" ht="16.5" thickTop="1" thickBot="1">
      <c r="A50" s="2331" t="s">
        <v>759</v>
      </c>
      <c r="B50" s="2332"/>
      <c r="C50" s="298"/>
      <c r="D50" s="12"/>
      <c r="E50" s="12"/>
      <c r="F50" s="12"/>
      <c r="G50" s="26"/>
      <c r="H50" s="20"/>
      <c r="I50" s="20"/>
      <c r="J50" s="20"/>
      <c r="K50" s="20"/>
      <c r="L50" s="24"/>
      <c r="M50" s="20"/>
      <c r="N50" s="20"/>
      <c r="O50" s="20"/>
      <c r="P50" s="20"/>
      <c r="Q50" s="20"/>
      <c r="R50" s="20"/>
      <c r="S50" s="20"/>
    </row>
    <row r="51" spans="1:34" ht="15.75" thickTop="1">
      <c r="A51" s="1403"/>
      <c r="B51" s="1105"/>
      <c r="C51" s="1548"/>
      <c r="D51" s="1435"/>
      <c r="E51" s="1435"/>
      <c r="F51" s="1435"/>
      <c r="G51" s="1404"/>
      <c r="H51" s="1223"/>
      <c r="I51" s="1223"/>
      <c r="J51" s="1223"/>
      <c r="K51" s="1223"/>
      <c r="L51" s="1405"/>
      <c r="M51" s="1223"/>
      <c r="N51" s="1223"/>
      <c r="O51" s="1223"/>
      <c r="P51" s="1223"/>
      <c r="Q51" s="1223"/>
      <c r="R51" s="1223"/>
      <c r="S51" s="1223"/>
    </row>
    <row r="52" spans="1:34">
      <c r="A52" s="1403"/>
      <c r="B52" s="1105"/>
      <c r="C52" s="1548"/>
      <c r="D52" s="1435"/>
      <c r="E52" s="1435"/>
      <c r="F52" s="1435"/>
      <c r="G52" s="1404"/>
      <c r="H52" s="1223"/>
      <c r="I52" s="1223"/>
      <c r="J52" s="1223"/>
      <c r="K52" s="1223"/>
      <c r="L52" s="1405"/>
      <c r="M52" s="1223"/>
      <c r="N52" s="1223"/>
      <c r="O52" s="1223"/>
      <c r="P52" s="1223"/>
      <c r="Q52" s="1223"/>
      <c r="R52" s="1223"/>
      <c r="S52" s="1223"/>
    </row>
    <row r="53" spans="1:34" ht="15.75" thickBot="1">
      <c r="A53" s="1403"/>
      <c r="B53" s="1105"/>
      <c r="C53" s="1548"/>
      <c r="D53" s="1435"/>
      <c r="E53" s="1435"/>
      <c r="F53" s="1435"/>
      <c r="G53" s="1404"/>
      <c r="H53" s="1223"/>
      <c r="I53" s="1223"/>
      <c r="J53" s="1223"/>
      <c r="K53" s="1223"/>
      <c r="L53" s="1405"/>
      <c r="M53" s="1223"/>
      <c r="N53" s="1223"/>
      <c r="O53" s="1223"/>
      <c r="P53" s="1223"/>
      <c r="Q53" s="1223"/>
      <c r="R53" s="1223"/>
      <c r="S53" s="1223"/>
    </row>
    <row r="54" spans="1:34" s="2" customFormat="1" ht="16.5" thickTop="1" thickBot="1">
      <c r="A54" s="2331" t="s">
        <v>760</v>
      </c>
      <c r="B54" s="2332"/>
      <c r="C54" s="298"/>
      <c r="D54" s="12"/>
      <c r="E54" s="12"/>
      <c r="F54" s="12"/>
      <c r="G54" s="26"/>
      <c r="H54" s="20"/>
      <c r="I54" s="20"/>
      <c r="J54" s="20"/>
      <c r="K54" s="20"/>
      <c r="L54" s="24"/>
      <c r="M54" s="20"/>
      <c r="N54" s="20"/>
      <c r="O54" s="20"/>
      <c r="P54" s="20"/>
      <c r="Q54" s="20"/>
      <c r="R54" s="20"/>
      <c r="S54" s="20"/>
      <c r="T54"/>
      <c r="U54"/>
      <c r="V54"/>
      <c r="W54"/>
      <c r="X54"/>
      <c r="Y54"/>
      <c r="Z54"/>
      <c r="AA54"/>
      <c r="AB54"/>
      <c r="AC54"/>
      <c r="AD54"/>
      <c r="AE54"/>
      <c r="AF54"/>
      <c r="AG54"/>
      <c r="AH54"/>
    </row>
    <row r="55" spans="1:34" s="2" customFormat="1" ht="15.75" thickTop="1">
      <c r="A55" s="1403"/>
      <c r="B55" s="1105"/>
      <c r="C55" s="1548"/>
      <c r="D55" s="1435"/>
      <c r="E55" s="1435"/>
      <c r="F55" s="1435"/>
      <c r="G55" s="1404"/>
      <c r="H55" s="1223"/>
      <c r="I55" s="1223"/>
      <c r="J55" s="1223"/>
      <c r="K55" s="1223"/>
      <c r="L55" s="1405"/>
      <c r="M55" s="1223"/>
      <c r="N55" s="1223"/>
      <c r="O55" s="1223"/>
      <c r="P55" s="1223"/>
      <c r="Q55" s="1223"/>
      <c r="R55" s="1223"/>
      <c r="S55" s="1223"/>
      <c r="T55"/>
      <c r="U55"/>
      <c r="V55"/>
      <c r="W55"/>
      <c r="X55"/>
      <c r="Y55"/>
      <c r="Z55"/>
      <c r="AA55"/>
      <c r="AB55"/>
      <c r="AC55"/>
      <c r="AD55"/>
      <c r="AE55"/>
      <c r="AF55"/>
      <c r="AG55"/>
      <c r="AH55"/>
    </row>
    <row r="56" spans="1:34" s="2" customFormat="1">
      <c r="A56" s="1403"/>
      <c r="B56" s="1105"/>
      <c r="C56" s="1548"/>
      <c r="D56" s="1435"/>
      <c r="E56" s="1435"/>
      <c r="F56" s="1435"/>
      <c r="G56" s="1404"/>
      <c r="H56" s="1223"/>
      <c r="I56" s="1223"/>
      <c r="J56" s="1223"/>
      <c r="K56" s="1223"/>
      <c r="L56" s="1405"/>
      <c r="M56" s="1223"/>
      <c r="N56" s="1223"/>
      <c r="O56" s="1223"/>
      <c r="P56" s="1223"/>
      <c r="Q56" s="1223"/>
      <c r="R56" s="1223"/>
      <c r="S56" s="1223"/>
      <c r="T56"/>
      <c r="U56"/>
      <c r="V56"/>
      <c r="W56"/>
      <c r="X56"/>
      <c r="Y56"/>
      <c r="Z56"/>
      <c r="AA56"/>
      <c r="AB56"/>
      <c r="AC56"/>
      <c r="AD56"/>
      <c r="AE56"/>
      <c r="AF56"/>
      <c r="AG56"/>
      <c r="AH56"/>
    </row>
    <row r="57" spans="1:34" ht="15.75" thickBot="1">
      <c r="A57" s="1403"/>
      <c r="B57" s="1105"/>
      <c r="C57" s="1548"/>
      <c r="D57" s="1435"/>
      <c r="E57" s="1435"/>
      <c r="F57" s="1435"/>
      <c r="G57" s="1404"/>
      <c r="H57" s="1223"/>
      <c r="I57" s="1223"/>
      <c r="J57" s="1223"/>
      <c r="K57" s="1223"/>
      <c r="L57" s="1405"/>
      <c r="M57" s="1223"/>
      <c r="N57" s="1223"/>
      <c r="O57" s="1223"/>
      <c r="P57" s="1223"/>
      <c r="Q57" s="1223"/>
      <c r="R57" s="1223"/>
      <c r="S57" s="1223"/>
    </row>
    <row r="58" spans="1:34" s="2" customFormat="1" ht="16.5" thickTop="1" thickBot="1">
      <c r="A58" s="2331" t="s">
        <v>761</v>
      </c>
      <c r="B58" s="2332"/>
      <c r="C58" s="298"/>
      <c r="D58" s="12"/>
      <c r="E58" s="12"/>
      <c r="F58" s="12"/>
      <c r="G58" s="26"/>
      <c r="H58" s="20"/>
      <c r="I58" s="20"/>
      <c r="J58" s="20"/>
      <c r="K58" s="20"/>
      <c r="L58" s="24"/>
      <c r="M58" s="20"/>
      <c r="N58" s="20"/>
      <c r="O58" s="20"/>
      <c r="P58" s="20"/>
      <c r="Q58" s="20"/>
      <c r="R58" s="20"/>
      <c r="S58" s="20"/>
      <c r="T58"/>
      <c r="U58"/>
      <c r="V58"/>
      <c r="W58"/>
      <c r="X58"/>
      <c r="Y58"/>
      <c r="Z58"/>
      <c r="AA58"/>
      <c r="AB58"/>
      <c r="AC58"/>
      <c r="AD58"/>
      <c r="AE58"/>
      <c r="AF58"/>
      <c r="AG58"/>
      <c r="AH58"/>
    </row>
    <row r="59" spans="1:34" s="2" customFormat="1" ht="16.5" thickTop="1">
      <c r="A59" s="1124"/>
      <c r="B59" s="880" t="s">
        <v>1754</v>
      </c>
      <c r="C59" s="415"/>
      <c r="D59" s="422"/>
      <c r="E59" s="422"/>
      <c r="F59" s="422"/>
      <c r="G59" s="831"/>
      <c r="H59" s="1173"/>
      <c r="I59" s="1173">
        <f>-124910</f>
        <v>-124910</v>
      </c>
      <c r="J59" s="1173"/>
      <c r="K59" s="1173"/>
      <c r="L59" s="440"/>
      <c r="M59" s="1173"/>
      <c r="N59" s="1173"/>
      <c r="O59" s="1173"/>
      <c r="P59" s="1173"/>
      <c r="Q59" s="1173"/>
      <c r="R59" s="1173"/>
      <c r="S59" s="1173"/>
      <c r="T59"/>
      <c r="U59"/>
      <c r="V59"/>
      <c r="W59"/>
      <c r="X59"/>
      <c r="Y59"/>
      <c r="Z59"/>
      <c r="AA59"/>
      <c r="AB59"/>
      <c r="AC59"/>
      <c r="AD59"/>
      <c r="AE59"/>
      <c r="AF59"/>
      <c r="AG59"/>
      <c r="AH59"/>
    </row>
    <row r="60" spans="1:34" s="2" customFormat="1" ht="15.75" thickBot="1">
      <c r="A60" s="1126"/>
      <c r="B60" s="1174"/>
      <c r="C60" s="415"/>
      <c r="D60" s="422"/>
      <c r="E60" s="422"/>
      <c r="F60" s="422"/>
      <c r="G60" s="831"/>
      <c r="H60" s="1175"/>
      <c r="I60" s="1175"/>
      <c r="J60" s="1175"/>
      <c r="K60" s="1175"/>
      <c r="L60" s="441"/>
      <c r="M60" s="1175"/>
      <c r="N60" s="1175"/>
      <c r="O60" s="1175"/>
      <c r="P60" s="1175"/>
      <c r="Q60" s="1175"/>
      <c r="R60" s="1175"/>
      <c r="S60" s="1175"/>
    </row>
    <row r="61" spans="1:34" s="2" customFormat="1" ht="16.5" thickTop="1" thickBot="1">
      <c r="A61" s="2331" t="s">
        <v>762</v>
      </c>
      <c r="B61" s="2332"/>
      <c r="C61" s="298"/>
      <c r="D61" s="12"/>
      <c r="E61" s="12"/>
      <c r="F61" s="12"/>
      <c r="G61" s="26"/>
      <c r="H61" s="20"/>
      <c r="I61" s="20"/>
      <c r="J61" s="20"/>
      <c r="K61" s="20"/>
      <c r="L61" s="24"/>
      <c r="M61" s="20"/>
      <c r="N61" s="20"/>
      <c r="O61" s="20"/>
      <c r="P61" s="20"/>
      <c r="Q61" s="20"/>
      <c r="R61" s="20"/>
      <c r="S61" s="20"/>
      <c r="T61"/>
      <c r="U61"/>
      <c r="V61"/>
      <c r="W61"/>
      <c r="X61"/>
      <c r="Y61"/>
      <c r="Z61"/>
      <c r="AA61"/>
      <c r="AB61"/>
      <c r="AC61"/>
      <c r="AD61"/>
      <c r="AE61"/>
      <c r="AF61"/>
      <c r="AG61"/>
      <c r="AH61"/>
    </row>
    <row r="62" spans="1:34" ht="15.75" thickTop="1">
      <c r="A62" s="1407"/>
      <c r="B62" s="1225"/>
      <c r="C62" s="1548"/>
      <c r="D62" s="1435"/>
      <c r="E62" s="1435"/>
      <c r="F62" s="1435"/>
      <c r="G62" s="1404"/>
      <c r="H62" s="1223"/>
      <c r="I62" s="1223"/>
      <c r="J62" s="1223"/>
      <c r="K62" s="1223"/>
      <c r="L62" s="1405"/>
      <c r="M62" s="1223"/>
      <c r="N62" s="1223"/>
      <c r="O62" s="1223"/>
      <c r="P62" s="1223"/>
      <c r="Q62" s="1223"/>
      <c r="R62" s="1223"/>
      <c r="S62" s="1223"/>
      <c r="T62" s="2"/>
      <c r="U62" s="2"/>
      <c r="V62" s="2"/>
      <c r="W62" s="2"/>
      <c r="X62" s="2"/>
      <c r="Y62" s="2"/>
      <c r="Z62" s="2"/>
      <c r="AA62" s="2"/>
      <c r="AB62" s="2"/>
      <c r="AC62" s="2"/>
      <c r="AD62" s="2"/>
      <c r="AE62" s="2"/>
      <c r="AF62" s="2"/>
      <c r="AG62" s="2"/>
      <c r="AH62" s="2"/>
    </row>
    <row r="63" spans="1:34">
      <c r="A63" s="1126"/>
      <c r="B63" s="1174"/>
      <c r="C63" s="415"/>
      <c r="D63" s="422"/>
      <c r="E63" s="422"/>
      <c r="F63" s="422"/>
      <c r="G63" s="831"/>
      <c r="H63" s="1178"/>
      <c r="I63" s="1178"/>
      <c r="J63" s="1178"/>
      <c r="K63" s="1178"/>
      <c r="L63" s="442"/>
      <c r="M63" s="1178"/>
      <c r="N63" s="1178"/>
      <c r="O63" s="1178"/>
      <c r="P63" s="1178"/>
      <c r="Q63" s="1178"/>
      <c r="R63" s="1178"/>
      <c r="S63" s="1178"/>
      <c r="T63" s="2"/>
      <c r="U63" s="2"/>
      <c r="V63" s="2"/>
      <c r="W63" s="2"/>
      <c r="X63" s="2"/>
      <c r="Y63" s="2"/>
      <c r="Z63" s="2"/>
      <c r="AA63" s="2"/>
      <c r="AB63" s="2"/>
      <c r="AC63" s="2"/>
      <c r="AD63" s="2"/>
      <c r="AE63" s="2"/>
      <c r="AF63" s="2"/>
      <c r="AG63" s="2"/>
      <c r="AH63" s="2"/>
    </row>
    <row r="64" spans="1:34" ht="15.75" thickBot="1">
      <c r="A64" s="1126"/>
      <c r="B64" s="1174"/>
      <c r="C64" s="415"/>
      <c r="D64" s="422"/>
      <c r="E64" s="422"/>
      <c r="F64" s="422"/>
      <c r="G64" s="831"/>
      <c r="H64" s="1178"/>
      <c r="I64" s="1178"/>
      <c r="J64" s="1178"/>
      <c r="K64" s="1178"/>
      <c r="L64" s="442"/>
      <c r="M64" s="1178"/>
      <c r="N64" s="1178"/>
      <c r="O64" s="1178"/>
      <c r="P64" s="1178"/>
      <c r="Q64" s="1178"/>
      <c r="R64" s="1178"/>
      <c r="S64" s="1178"/>
      <c r="T64" s="2"/>
      <c r="U64" s="2"/>
      <c r="V64" s="2"/>
      <c r="W64" s="2"/>
      <c r="X64" s="2"/>
      <c r="Y64" s="2"/>
      <c r="Z64" s="2"/>
      <c r="AA64" s="2"/>
      <c r="AB64" s="2"/>
      <c r="AC64" s="2"/>
      <c r="AD64" s="2"/>
      <c r="AE64" s="2"/>
      <c r="AF64" s="2"/>
      <c r="AG64" s="2"/>
      <c r="AH64" s="2"/>
    </row>
    <row r="65" spans="1:19" ht="16.5" thickTop="1" thickBot="1">
      <c r="A65" s="2331" t="s">
        <v>763</v>
      </c>
      <c r="B65" s="2332"/>
      <c r="C65" s="298"/>
      <c r="D65" s="12"/>
      <c r="E65" s="12"/>
      <c r="F65" s="12"/>
      <c r="G65" s="26"/>
      <c r="H65" s="20"/>
      <c r="I65" s="20"/>
      <c r="J65" s="20"/>
      <c r="K65" s="20"/>
      <c r="L65" s="24"/>
      <c r="M65" s="20"/>
      <c r="N65" s="20"/>
      <c r="O65" s="20"/>
      <c r="P65" s="20"/>
      <c r="Q65" s="20"/>
      <c r="R65" s="20"/>
      <c r="S65" s="20"/>
    </row>
    <row r="66" spans="1:19" ht="15.75" thickTop="1">
      <c r="A66" s="1124"/>
      <c r="B66" s="1105" t="s">
        <v>764</v>
      </c>
      <c r="C66" s="415"/>
      <c r="D66" s="422"/>
      <c r="E66" s="422"/>
      <c r="F66" s="422"/>
      <c r="G66" s="831"/>
      <c r="H66" s="1178"/>
      <c r="I66" s="1178"/>
      <c r="J66" s="1178"/>
      <c r="K66" s="1178"/>
      <c r="L66" s="442"/>
      <c r="M66" s="1178"/>
      <c r="N66" s="1178"/>
      <c r="O66" s="1178"/>
      <c r="P66" s="1178"/>
      <c r="Q66" s="1178"/>
      <c r="R66" s="1178"/>
      <c r="S66" s="1178"/>
    </row>
    <row r="67" spans="1:19">
      <c r="A67" s="1124"/>
      <c r="B67" s="1105" t="s">
        <v>765</v>
      </c>
      <c r="C67" s="415"/>
      <c r="D67" s="422"/>
      <c r="E67" s="422"/>
      <c r="F67" s="422"/>
      <c r="G67" s="831"/>
      <c r="H67" s="1178"/>
      <c r="I67" s="1178"/>
      <c r="J67" s="1178"/>
      <c r="K67" s="1178"/>
      <c r="L67" s="442"/>
      <c r="M67" s="1178"/>
      <c r="N67" s="1178"/>
      <c r="O67" s="1178"/>
      <c r="P67" s="1178"/>
      <c r="Q67" s="1178"/>
      <c r="R67" s="1178"/>
      <c r="S67" s="1178"/>
    </row>
    <row r="68" spans="1:19">
      <c r="A68" s="1124"/>
      <c r="B68" s="1105" t="s">
        <v>766</v>
      </c>
      <c r="C68" s="415"/>
      <c r="D68" s="422"/>
      <c r="E68" s="422"/>
      <c r="F68" s="422"/>
      <c r="G68" s="831"/>
      <c r="H68" s="1178"/>
      <c r="I68" s="1178"/>
      <c r="J68" s="1178"/>
      <c r="K68" s="1178"/>
      <c r="L68" s="442"/>
      <c r="M68" s="1178"/>
      <c r="N68" s="1178"/>
      <c r="O68" s="1178"/>
      <c r="P68" s="1178"/>
      <c r="Q68" s="1178"/>
      <c r="R68" s="1178"/>
      <c r="S68" s="1178"/>
    </row>
    <row r="69" spans="1:19">
      <c r="A69" s="1124"/>
      <c r="B69" s="1105" t="s">
        <v>767</v>
      </c>
      <c r="C69" s="415"/>
      <c r="D69" s="422"/>
      <c r="E69" s="422"/>
      <c r="F69" s="422"/>
      <c r="G69" s="831"/>
      <c r="H69" s="1178"/>
      <c r="I69" s="1178"/>
      <c r="J69" s="1178"/>
      <c r="K69" s="1178"/>
      <c r="L69" s="442"/>
      <c r="M69" s="1178"/>
      <c r="N69" s="1178"/>
      <c r="O69" s="1178"/>
      <c r="P69" s="1178"/>
      <c r="Q69" s="1178"/>
      <c r="R69" s="1178"/>
      <c r="S69" s="1178"/>
    </row>
    <row r="70" spans="1:19" ht="15.75" thickBot="1">
      <c r="A70" s="443"/>
      <c r="B70" s="421"/>
      <c r="C70" s="23"/>
      <c r="D70" s="86"/>
      <c r="E70" s="86"/>
      <c r="F70" s="86"/>
      <c r="G70" s="27"/>
      <c r="H70" s="444"/>
      <c r="I70" s="444"/>
      <c r="J70" s="444"/>
      <c r="K70" s="444"/>
      <c r="L70" s="25"/>
      <c r="M70" s="444"/>
      <c r="N70" s="444"/>
      <c r="O70" s="444"/>
      <c r="P70" s="444"/>
      <c r="Q70" s="444"/>
      <c r="R70" s="444"/>
      <c r="S70" s="444"/>
    </row>
    <row r="71" spans="1:19" ht="16.5" thickTop="1" thickBot="1">
      <c r="A71" s="72" t="s">
        <v>768</v>
      </c>
      <c r="B71" s="73"/>
      <c r="C71" s="298"/>
      <c r="D71" s="12"/>
      <c r="E71" s="12"/>
      <c r="F71" s="12"/>
      <c r="G71" s="26"/>
      <c r="H71" s="20"/>
      <c r="I71" s="20"/>
      <c r="J71" s="20"/>
      <c r="K71" s="20"/>
      <c r="L71" s="24"/>
      <c r="M71" s="20"/>
      <c r="N71" s="20"/>
      <c r="O71" s="20"/>
      <c r="P71" s="20"/>
      <c r="Q71" s="20"/>
      <c r="R71" s="20"/>
      <c r="S71" s="20"/>
    </row>
    <row r="72" spans="1:19" ht="15.75" thickTop="1">
      <c r="A72" s="1403"/>
      <c r="B72" s="1226" t="s">
        <v>769</v>
      </c>
      <c r="C72" s="1548"/>
      <c r="D72" s="1435"/>
      <c r="E72" s="1435"/>
      <c r="F72" s="1435"/>
      <c r="G72" s="1404"/>
      <c r="H72" s="1228"/>
      <c r="I72" s="1228"/>
      <c r="J72" s="1228"/>
      <c r="K72" s="1228"/>
      <c r="L72" s="1410"/>
      <c r="M72" s="1228"/>
      <c r="N72" s="1228"/>
      <c r="O72" s="1228"/>
      <c r="P72" s="1228"/>
      <c r="Q72" s="1228"/>
      <c r="R72" s="1228"/>
      <c r="S72" s="1228"/>
    </row>
    <row r="73" spans="1:19">
      <c r="A73" s="1124"/>
      <c r="B73" s="1105" t="s">
        <v>770</v>
      </c>
      <c r="C73" s="415"/>
      <c r="D73" s="422"/>
      <c r="E73" s="422"/>
      <c r="F73" s="422"/>
      <c r="G73" s="831"/>
      <c r="H73" s="1182"/>
      <c r="I73" s="1182"/>
      <c r="J73" s="1182"/>
      <c r="K73" s="1182"/>
      <c r="L73" s="445"/>
      <c r="M73" s="1182"/>
      <c r="N73" s="1182"/>
      <c r="O73" s="1182"/>
      <c r="P73" s="1182"/>
      <c r="Q73" s="1182"/>
      <c r="R73" s="1182"/>
      <c r="S73" s="1182"/>
    </row>
    <row r="74" spans="1:19" ht="15.75" thickBot="1">
      <c r="A74" s="1376"/>
      <c r="B74" s="1377" t="s">
        <v>771</v>
      </c>
      <c r="C74" s="1378"/>
      <c r="D74" s="1379"/>
      <c r="E74" s="1379"/>
      <c r="F74" s="1379"/>
      <c r="G74" s="1380"/>
      <c r="H74" s="1382"/>
      <c r="I74" s="1382"/>
      <c r="J74" s="1382"/>
      <c r="K74" s="1382"/>
      <c r="L74" s="1381"/>
      <c r="M74" s="1382"/>
      <c r="N74" s="1382"/>
      <c r="O74" s="1382"/>
      <c r="P74" s="1382"/>
      <c r="Q74" s="1382"/>
      <c r="R74" s="1382"/>
      <c r="S74" s="1382"/>
    </row>
    <row r="75" spans="1:19" ht="16.5" thickTop="1" thickBot="1">
      <c r="F75" s="2"/>
      <c r="G75" s="2"/>
      <c r="H75" s="2"/>
      <c r="I75" s="2"/>
      <c r="J75" s="2"/>
      <c r="K75" s="2"/>
      <c r="L75" s="2"/>
      <c r="M75" s="2"/>
      <c r="N75" s="2"/>
      <c r="O75" s="2"/>
      <c r="P75" s="2"/>
      <c r="Q75" s="2"/>
      <c r="R75" s="2"/>
      <c r="S75" s="2"/>
    </row>
    <row r="76" spans="1:19" ht="16.5" thickTop="1" thickBot="1">
      <c r="A76" s="37" t="s">
        <v>772</v>
      </c>
      <c r="B76" s="39"/>
      <c r="F76" s="2"/>
      <c r="G76" s="2"/>
      <c r="H76" s="2"/>
      <c r="I76" s="2"/>
      <c r="J76" s="2"/>
      <c r="K76" s="2"/>
      <c r="L76" s="2"/>
      <c r="M76" s="2"/>
      <c r="N76" s="2"/>
      <c r="O76" s="2"/>
      <c r="P76" s="2"/>
      <c r="Q76" s="2"/>
      <c r="R76" s="2"/>
      <c r="S76" s="2"/>
    </row>
    <row r="77" spans="1:19" ht="15.75" thickTop="1">
      <c r="A77" s="38" t="s">
        <v>693</v>
      </c>
      <c r="B77" s="1190" t="str">
        <f>H5</f>
        <v xml:space="preserve">Spraggins, Inc. </v>
      </c>
      <c r="F77" s="2"/>
      <c r="G77" s="2"/>
      <c r="H77" s="2"/>
      <c r="I77" s="2"/>
      <c r="J77" s="2"/>
      <c r="K77" s="2"/>
      <c r="L77" s="2"/>
      <c r="M77" s="2"/>
      <c r="N77" s="2"/>
      <c r="O77" s="2"/>
      <c r="P77" s="2"/>
      <c r="Q77" s="2"/>
      <c r="R77" s="2"/>
      <c r="S77" s="2"/>
    </row>
    <row r="78" spans="1:19">
      <c r="A78" s="1142" t="s">
        <v>702</v>
      </c>
      <c r="B78" s="1190" t="str">
        <f>H6</f>
        <v>Robert Riddley</v>
      </c>
      <c r="F78" s="2"/>
      <c r="G78" s="2"/>
      <c r="H78" s="2"/>
      <c r="I78" s="2"/>
      <c r="J78" s="2"/>
      <c r="K78" s="2"/>
      <c r="L78" s="2"/>
      <c r="M78" s="2"/>
      <c r="N78" s="2"/>
      <c r="O78" s="2"/>
      <c r="P78" s="2"/>
      <c r="Q78" s="2"/>
      <c r="R78" s="2"/>
      <c r="S78" s="2"/>
    </row>
    <row r="79" spans="1:19">
      <c r="A79" s="1191" t="s">
        <v>708</v>
      </c>
      <c r="B79" s="1192" t="str">
        <f>H7</f>
        <v>724-290-3332</v>
      </c>
      <c r="F79" s="2"/>
      <c r="G79" s="2"/>
      <c r="H79" s="2"/>
      <c r="I79" s="2"/>
      <c r="J79" s="2"/>
      <c r="K79" s="2"/>
      <c r="L79" s="2"/>
      <c r="M79" s="2"/>
      <c r="N79" s="2"/>
      <c r="O79" s="2"/>
      <c r="P79" s="2"/>
      <c r="Q79" s="2"/>
      <c r="R79" s="2"/>
      <c r="S79" s="2"/>
    </row>
    <row r="80" spans="1:19">
      <c r="A80" s="1191" t="s">
        <v>713</v>
      </c>
      <c r="B80" s="1193" t="str">
        <f>L8</f>
        <v>nicko.barrera@perimeterfloors.com</v>
      </c>
      <c r="F80" s="2"/>
      <c r="G80" s="2"/>
      <c r="H80" s="2"/>
      <c r="I80" s="2"/>
      <c r="J80" s="2"/>
      <c r="K80" s="2"/>
      <c r="L80" s="2"/>
      <c r="M80" s="2"/>
      <c r="N80" s="2"/>
      <c r="O80" s="2"/>
      <c r="P80" s="2"/>
      <c r="Q80" s="2"/>
      <c r="R80" s="2"/>
      <c r="S80" s="2"/>
    </row>
    <row r="81" spans="1:19" ht="15.75" thickBot="1">
      <c r="A81" s="1383" t="s">
        <v>69</v>
      </c>
      <c r="B81" s="1397">
        <f>H9</f>
        <v>1074874.7757000001</v>
      </c>
      <c r="F81" s="2"/>
      <c r="G81" s="2"/>
      <c r="H81" s="2"/>
      <c r="I81" s="2"/>
      <c r="J81" s="2"/>
      <c r="K81" s="2"/>
      <c r="L81" s="2"/>
      <c r="M81" s="2"/>
      <c r="N81" s="2"/>
      <c r="O81" s="2"/>
      <c r="P81" s="2"/>
      <c r="Q81" s="2"/>
      <c r="R81" s="2"/>
      <c r="S81" s="2"/>
    </row>
    <row r="82" spans="1:19" ht="15.75" thickTop="1"/>
  </sheetData>
  <mergeCells count="41">
    <mergeCell ref="A65:B65"/>
    <mergeCell ref="R7:S7"/>
    <mergeCell ref="A50:B50"/>
    <mergeCell ref="A54:B54"/>
    <mergeCell ref="A58:B58"/>
    <mergeCell ref="A61:B61"/>
    <mergeCell ref="R8:S8"/>
    <mergeCell ref="R9:S9"/>
    <mergeCell ref="L8:M8"/>
    <mergeCell ref="N8:O8"/>
    <mergeCell ref="H8:I8"/>
    <mergeCell ref="J8:K8"/>
    <mergeCell ref="P8:Q8"/>
    <mergeCell ref="L9:M9"/>
    <mergeCell ref="N9:O9"/>
    <mergeCell ref="H9:I9"/>
    <mergeCell ref="J9:K9"/>
    <mergeCell ref="P9:Q9"/>
    <mergeCell ref="N6:O6"/>
    <mergeCell ref="H6:I6"/>
    <mergeCell ref="J6:K6"/>
    <mergeCell ref="P6:Q6"/>
    <mergeCell ref="N7:O7"/>
    <mergeCell ref="H7:I7"/>
    <mergeCell ref="J7:K7"/>
    <mergeCell ref="L7:M7"/>
    <mergeCell ref="P7:Q7"/>
    <mergeCell ref="L6:M6"/>
    <mergeCell ref="H5:I5"/>
    <mergeCell ref="J5:K5"/>
    <mergeCell ref="P5:Q5"/>
    <mergeCell ref="H4:I4"/>
    <mergeCell ref="J4:K4"/>
    <mergeCell ref="P4:Q4"/>
    <mergeCell ref="L5:M5"/>
    <mergeCell ref="N5:O5"/>
    <mergeCell ref="R6:S6"/>
    <mergeCell ref="R5:S5"/>
    <mergeCell ref="R4:S4"/>
    <mergeCell ref="L4:M4"/>
    <mergeCell ref="N4:O4"/>
  </mergeCells>
  <conditionalFormatting sqref="H11:H19">
    <cfRule type="cellIs" dxfId="381" priority="1" operator="equal">
      <formula>"X"</formula>
    </cfRule>
    <cfRule type="cellIs" dxfId="380" priority="2" operator="equal">
      <formula>"I"</formula>
    </cfRule>
  </conditionalFormatting>
  <conditionalFormatting sqref="J11:J19 L11:L19 N11:N19 P11:P19 R11:R19 H21:H41 J21:J41 L21:L41 N21:N41 P21:P41 R21:R41">
    <cfRule type="cellIs" dxfId="379" priority="15" operator="equal">
      <formula>"X"</formula>
    </cfRule>
    <cfRule type="cellIs" dxfId="378" priority="16" operator="equal">
      <formula>"I"</formula>
    </cfRule>
  </conditionalFormatting>
  <hyperlinks>
    <hyperlink ref="B4" location="'Cost Summary'!A1" display="BACK TO SUMMARY SHEET" xr:uid="{4DD872A1-1B37-49F4-95EF-6BFEE6B39F8F}"/>
    <hyperlink ref="N8:O8" r:id="rId1" display="michael@jackwalshcarpets.com" xr:uid="{38059534-DDC7-40BD-A4CE-E27C30F48532}"/>
    <hyperlink ref="L8:M8" r:id="rId2" display="nicko.barrera@perimeterfloors.com" xr:uid="{C0A4A2F8-2A27-441C-9F44-D9F8B61BBAD4}"/>
    <hyperlink ref="H8:I8" r:id="rId3" display="rridley@spragginsinc.com" xr:uid="{60C3DA7E-089E-473A-B180-27A36D07E3B8}"/>
  </hyperlinks>
  <pageMargins left="0.7" right="0.7" top="0.75" bottom="0.75" header="0.3" footer="0.3"/>
  <pageSetup orientation="portrait"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DE67-67FE-4A35-91B5-B73C3F115C1B}">
  <dimension ref="A1:AO92"/>
  <sheetViews>
    <sheetView zoomScale="90" zoomScaleNormal="90" workbookViewId="0">
      <pane xSplit="2" ySplit="10" topLeftCell="F96" activePane="bottomRight" state="frozen"/>
      <selection pane="topRight" activeCell="C1" sqref="C1"/>
      <selection pane="bottomLeft" activeCell="A11" sqref="A11"/>
      <selection pane="bottomRight" activeCell="F96" sqref="F96"/>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J3" s="270">
        <v>9544464105</v>
      </c>
      <c r="L3" s="270">
        <v>2704855874</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690</v>
      </c>
      <c r="Q4" s="2320"/>
      <c r="R4" s="2319" t="s">
        <v>691</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1196" t="s">
        <v>335</v>
      </c>
      <c r="C6" s="415"/>
      <c r="D6" s="416"/>
      <c r="E6" s="417"/>
      <c r="F6" s="418"/>
      <c r="G6" s="419" t="s">
        <v>702</v>
      </c>
      <c r="H6" s="2325"/>
      <c r="I6" s="2326"/>
      <c r="J6" s="2325"/>
      <c r="K6" s="2326"/>
      <c r="L6" s="2325"/>
      <c r="M6" s="2326"/>
      <c r="N6" s="2325"/>
      <c r="O6" s="2326"/>
      <c r="P6" s="2313"/>
      <c r="Q6" s="2314"/>
      <c r="R6" s="2313"/>
      <c r="S6" s="2314"/>
      <c r="X6" s="261"/>
    </row>
    <row r="7" spans="1:24">
      <c r="A7" s="1082" t="s">
        <v>706</v>
      </c>
      <c r="B7" s="1197" t="s">
        <v>1755</v>
      </c>
      <c r="C7" s="415"/>
      <c r="D7" s="416"/>
      <c r="E7" s="417"/>
      <c r="F7" s="418"/>
      <c r="G7" s="829" t="s">
        <v>708</v>
      </c>
      <c r="H7" s="2325"/>
      <c r="I7" s="2326"/>
      <c r="J7" s="2325"/>
      <c r="K7" s="2326"/>
      <c r="L7" s="2325"/>
      <c r="M7" s="2326"/>
      <c r="N7" s="2325"/>
      <c r="O7" s="2326"/>
      <c r="P7" s="2313"/>
      <c r="Q7" s="2314"/>
      <c r="R7" s="2313"/>
      <c r="S7" s="2314"/>
      <c r="X7" s="261"/>
    </row>
    <row r="8" spans="1:24">
      <c r="A8" s="1082" t="s">
        <v>712</v>
      </c>
      <c r="B8" s="1198"/>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c r="I9" s="2318"/>
      <c r="J9" s="2317"/>
      <c r="K9" s="2318"/>
      <c r="L9" s="2317"/>
      <c r="M9" s="2318"/>
      <c r="N9" s="2330"/>
      <c r="O9" s="2330"/>
      <c r="P9" s="2317"/>
      <c r="Q9" s="2318"/>
      <c r="R9" s="2317"/>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412"/>
      <c r="B11" s="1283" t="s">
        <v>725</v>
      </c>
      <c r="C11" s="1554"/>
      <c r="D11" s="1435"/>
      <c r="E11" s="1435"/>
      <c r="F11" s="1416"/>
      <c r="G11" s="1417"/>
      <c r="H11" s="1286"/>
      <c r="I11" s="1420"/>
      <c r="J11" s="1286"/>
      <c r="K11" s="285"/>
      <c r="L11" s="1286"/>
      <c r="M11" s="1419"/>
      <c r="N11" s="1286"/>
      <c r="O11" s="1419"/>
      <c r="P11" s="1286"/>
      <c r="Q11" s="1419"/>
      <c r="R11" s="1286"/>
      <c r="S11" s="1419"/>
    </row>
    <row r="12" spans="1:24">
      <c r="A12" s="1412"/>
      <c r="B12" s="1263" t="s">
        <v>726</v>
      </c>
      <c r="C12" s="446"/>
      <c r="D12" s="422"/>
      <c r="E12" s="422"/>
      <c r="F12" s="418"/>
      <c r="G12" s="423"/>
      <c r="H12" s="1264"/>
      <c r="I12" s="1420"/>
      <c r="J12" s="1264"/>
      <c r="K12" s="1419"/>
      <c r="L12" s="1264"/>
      <c r="M12" s="1419"/>
      <c r="N12" s="1264"/>
      <c r="O12" s="1419"/>
      <c r="P12" s="1264"/>
      <c r="Q12" s="1419"/>
      <c r="R12" s="1264"/>
      <c r="S12" s="1419"/>
    </row>
    <row r="13" spans="1:24">
      <c r="A13" s="1097"/>
      <c r="B13" s="1263" t="s">
        <v>728</v>
      </c>
      <c r="C13" s="446"/>
      <c r="D13" s="422"/>
      <c r="E13" s="422"/>
      <c r="F13" s="418"/>
      <c r="G13" s="423"/>
      <c r="H13" s="1264"/>
      <c r="I13" s="1420"/>
      <c r="J13" s="1264"/>
      <c r="K13" s="1419"/>
      <c r="L13" s="1264"/>
      <c r="M13" s="1419"/>
      <c r="N13" s="1264"/>
      <c r="O13" s="1419"/>
      <c r="P13" s="1264"/>
      <c r="Q13" s="1419"/>
      <c r="R13" s="1264"/>
      <c r="S13" s="1419"/>
    </row>
    <row r="14" spans="1:24">
      <c r="A14" s="1412"/>
      <c r="B14" s="1265" t="s">
        <v>729</v>
      </c>
      <c r="C14" s="446"/>
      <c r="D14" s="422"/>
      <c r="E14" s="422"/>
      <c r="F14" s="418"/>
      <c r="G14" s="423"/>
      <c r="H14" s="1264"/>
      <c r="I14" s="1420"/>
      <c r="J14" s="1264"/>
      <c r="K14" s="1419"/>
      <c r="L14" s="1264"/>
      <c r="M14" s="1419"/>
      <c r="N14" s="1264"/>
      <c r="O14" s="1419"/>
      <c r="P14" s="1264"/>
      <c r="Q14" s="1419"/>
      <c r="R14" s="1264"/>
      <c r="S14" s="1419"/>
    </row>
    <row r="15" spans="1:24">
      <c r="A15" s="1097"/>
      <c r="B15" s="1265" t="s">
        <v>731</v>
      </c>
      <c r="C15" s="446"/>
      <c r="D15" s="422"/>
      <c r="E15" s="422"/>
      <c r="F15" s="418"/>
      <c r="G15" s="423"/>
      <c r="H15" s="1264"/>
      <c r="I15" s="1420"/>
      <c r="J15" s="1264"/>
      <c r="K15" s="1420"/>
      <c r="L15" s="1264"/>
      <c r="M15" s="1420"/>
      <c r="N15" s="1264"/>
      <c r="O15" s="1420"/>
      <c r="P15" s="1264"/>
      <c r="Q15" s="1420"/>
      <c r="R15" s="1264"/>
      <c r="S15" s="1420"/>
    </row>
    <row r="16" spans="1:24">
      <c r="A16" s="1412"/>
      <c r="B16" s="1265" t="s">
        <v>732</v>
      </c>
      <c r="C16" s="446"/>
      <c r="D16" s="422"/>
      <c r="E16" s="422"/>
      <c r="F16" s="418"/>
      <c r="G16" s="423"/>
      <c r="H16" s="1264"/>
      <c r="I16" s="1420"/>
      <c r="J16" s="1264"/>
      <c r="K16" s="1419"/>
      <c r="L16" s="1264"/>
      <c r="M16" s="1419"/>
      <c r="N16" s="1264"/>
      <c r="O16" s="1419"/>
      <c r="P16" s="1264"/>
      <c r="Q16" s="1419"/>
      <c r="R16" s="1264"/>
      <c r="S16" s="1419"/>
    </row>
    <row r="17" spans="1:41">
      <c r="A17" s="1097"/>
      <c r="B17" s="1265" t="s">
        <v>733</v>
      </c>
      <c r="C17" s="446"/>
      <c r="D17" s="422"/>
      <c r="E17" s="422"/>
      <c r="F17" s="418"/>
      <c r="G17" s="423"/>
      <c r="H17" s="1264"/>
      <c r="I17" s="1420"/>
      <c r="J17" s="1264"/>
      <c r="K17" s="1419"/>
      <c r="L17" s="1264"/>
      <c r="M17" s="1419"/>
      <c r="N17" s="1264"/>
      <c r="O17" s="1419"/>
      <c r="P17" s="1264"/>
      <c r="Q17" s="1419"/>
      <c r="R17" s="1264"/>
      <c r="S17" s="1419"/>
    </row>
    <row r="18" spans="1:41">
      <c r="A18" s="1412"/>
      <c r="B18" s="1154" t="s">
        <v>736</v>
      </c>
      <c r="C18" s="446"/>
      <c r="D18" s="422"/>
      <c r="E18" s="422"/>
      <c r="F18" s="418"/>
      <c r="G18" s="423"/>
      <c r="H18" s="1264"/>
      <c r="I18" s="1420"/>
      <c r="J18" s="1264"/>
      <c r="K18" s="1419"/>
      <c r="L18" s="1264"/>
      <c r="M18" s="1419"/>
      <c r="N18" s="1264"/>
      <c r="O18" s="1419"/>
      <c r="P18" s="1264"/>
      <c r="Q18" s="1419"/>
      <c r="R18" s="1264"/>
      <c r="S18" s="1419"/>
    </row>
    <row r="19" spans="1:41">
      <c r="A19" s="1097"/>
      <c r="B19" s="1555" t="s">
        <v>737</v>
      </c>
      <c r="C19" s="447"/>
      <c r="D19" s="425"/>
      <c r="E19" s="425"/>
      <c r="F19" s="426"/>
      <c r="G19" s="427"/>
      <c r="H19" s="1156"/>
      <c r="I19" s="1423"/>
      <c r="J19" s="1156"/>
      <c r="K19" s="1422"/>
      <c r="L19" s="1156"/>
      <c r="M19" s="1422"/>
      <c r="N19" s="1156"/>
      <c r="O19" s="1422"/>
      <c r="P19" s="1156"/>
      <c r="Q19" s="1422"/>
      <c r="R19" s="1156"/>
      <c r="S19" s="1422"/>
    </row>
    <row r="20" spans="1:41">
      <c r="A20" s="1412"/>
      <c r="B20" s="1369" t="s">
        <v>663</v>
      </c>
      <c r="C20" s="70"/>
      <c r="D20" s="86"/>
      <c r="E20" s="86"/>
      <c r="F20" s="280"/>
      <c r="G20" s="274"/>
      <c r="H20" s="1264"/>
      <c r="I20" s="428"/>
      <c r="J20" s="1264"/>
      <c r="K20" s="428"/>
      <c r="L20" s="1264"/>
      <c r="M20" s="428"/>
      <c r="N20" s="1264"/>
      <c r="O20" s="428"/>
      <c r="P20" s="1264"/>
      <c r="Q20" s="428"/>
      <c r="R20" s="1264"/>
      <c r="S20" s="428"/>
    </row>
    <row r="21" spans="1:41" s="69" customFormat="1">
      <c r="A21" s="1097"/>
      <c r="B21" s="1105"/>
      <c r="C21" s="415"/>
      <c r="D21" s="422"/>
      <c r="E21" s="422"/>
      <c r="F21" s="429"/>
      <c r="G21" s="423"/>
      <c r="H21" s="1264"/>
      <c r="I21" s="1107"/>
      <c r="J21" s="1264"/>
      <c r="K21" s="1106"/>
      <c r="L21" s="1264"/>
      <c r="M21" s="1106"/>
      <c r="N21" s="1264"/>
      <c r="O21" s="1107"/>
      <c r="P21" s="1264"/>
      <c r="Q21" s="1107"/>
      <c r="R21" s="1264"/>
      <c r="S21" s="1106"/>
      <c r="T21"/>
      <c r="U21"/>
      <c r="V21"/>
      <c r="W21"/>
      <c r="X21"/>
      <c r="Y21"/>
      <c r="Z21"/>
      <c r="AA21"/>
      <c r="AB21"/>
      <c r="AC21"/>
      <c r="AD21"/>
      <c r="AE21"/>
      <c r="AF21"/>
      <c r="AG21"/>
      <c r="AH21"/>
      <c r="AI21"/>
      <c r="AJ21"/>
      <c r="AK21"/>
      <c r="AL21"/>
      <c r="AM21"/>
      <c r="AN21"/>
      <c r="AO21"/>
    </row>
    <row r="22" spans="1:41">
      <c r="A22" s="1412"/>
      <c r="B22" s="1159"/>
      <c r="C22" s="1548"/>
      <c r="D22" s="1400"/>
      <c r="E22" s="1435"/>
      <c r="F22" s="1401"/>
      <c r="G22" s="1402"/>
      <c r="H22" s="1264"/>
      <c r="I22" s="1419"/>
      <c r="J22" s="1264"/>
      <c r="K22" s="1419"/>
      <c r="L22" s="1264"/>
      <c r="M22" s="1419"/>
      <c r="N22" s="1264"/>
      <c r="O22" s="1419"/>
      <c r="P22" s="1264"/>
      <c r="Q22" s="1419"/>
      <c r="R22" s="1264"/>
      <c r="S22" s="1419"/>
    </row>
    <row r="23" spans="1:41">
      <c r="A23" s="1097"/>
      <c r="B23" s="1159"/>
      <c r="C23" s="415"/>
      <c r="D23" s="430"/>
      <c r="E23" s="422"/>
      <c r="F23" s="431"/>
      <c r="G23" s="1402"/>
      <c r="H23" s="1264"/>
      <c r="I23" s="1419"/>
      <c r="J23" s="1264"/>
      <c r="K23" s="1419"/>
      <c r="L23" s="1264"/>
      <c r="M23" s="1419"/>
      <c r="N23" s="1264"/>
      <c r="O23" s="1419"/>
      <c r="P23" s="1264"/>
      <c r="Q23" s="1419"/>
      <c r="R23" s="1264"/>
      <c r="S23" s="1419"/>
    </row>
    <row r="24" spans="1:41">
      <c r="A24" s="1412"/>
      <c r="B24" s="1159"/>
      <c r="C24" s="415"/>
      <c r="D24" s="430"/>
      <c r="E24" s="422"/>
      <c r="F24" s="431"/>
      <c r="G24" s="1402"/>
      <c r="H24" s="1264"/>
      <c r="I24" s="1419"/>
      <c r="J24" s="1264"/>
      <c r="K24" s="1419"/>
      <c r="L24" s="1264"/>
      <c r="M24" s="1419"/>
      <c r="N24" s="1264"/>
      <c r="O24" s="1419"/>
      <c r="P24" s="1264"/>
      <c r="Q24" s="1419"/>
      <c r="R24" s="1264"/>
      <c r="S24" s="1419"/>
    </row>
    <row r="25" spans="1:41">
      <c r="A25" s="1097"/>
      <c r="B25" s="1159"/>
      <c r="C25" s="415"/>
      <c r="D25" s="430"/>
      <c r="E25" s="422"/>
      <c r="F25" s="431"/>
      <c r="G25" s="1402"/>
      <c r="H25" s="1264"/>
      <c r="I25" s="1419"/>
      <c r="J25" s="1264"/>
      <c r="K25" s="1419"/>
      <c r="L25" s="1264"/>
      <c r="M25" s="1419"/>
      <c r="N25" s="1264"/>
      <c r="O25" s="1419"/>
      <c r="P25" s="1264"/>
      <c r="Q25" s="1419"/>
      <c r="R25" s="1264"/>
      <c r="S25" s="1419"/>
    </row>
    <row r="26" spans="1:41">
      <c r="A26" s="1412"/>
      <c r="B26" s="1159"/>
      <c r="C26" s="415"/>
      <c r="D26" s="430"/>
      <c r="E26" s="422"/>
      <c r="F26" s="431"/>
      <c r="G26" s="1402"/>
      <c r="H26" s="1264"/>
      <c r="I26" s="1419"/>
      <c r="J26" s="1264"/>
      <c r="K26" s="1419"/>
      <c r="L26" s="1264"/>
      <c r="M26" s="1419"/>
      <c r="N26" s="1264"/>
      <c r="O26" s="1419"/>
      <c r="P26" s="1264"/>
      <c r="Q26" s="1419"/>
      <c r="R26" s="1264"/>
      <c r="S26" s="1419"/>
    </row>
    <row r="27" spans="1:41">
      <c r="A27" s="1097"/>
      <c r="B27" s="1159"/>
      <c r="C27" s="415"/>
      <c r="D27" s="430"/>
      <c r="E27" s="422"/>
      <c r="F27" s="431"/>
      <c r="G27" s="1402"/>
      <c r="H27" s="1264"/>
      <c r="I27" s="1419"/>
      <c r="J27" s="1264"/>
      <c r="K27" s="1419"/>
      <c r="L27" s="1264"/>
      <c r="M27" s="1419"/>
      <c r="N27" s="1264"/>
      <c r="O27" s="1419"/>
      <c r="P27" s="1264"/>
      <c r="Q27" s="1419"/>
      <c r="R27" s="1264"/>
      <c r="S27" s="1419"/>
    </row>
    <row r="28" spans="1:41">
      <c r="A28" s="1412"/>
      <c r="B28" s="1159"/>
      <c r="C28" s="415"/>
      <c r="D28" s="430"/>
      <c r="E28" s="422"/>
      <c r="F28" s="431"/>
      <c r="G28" s="1402"/>
      <c r="H28" s="1264"/>
      <c r="I28" s="1419"/>
      <c r="J28" s="1264"/>
      <c r="K28" s="1419"/>
      <c r="L28" s="1264"/>
      <c r="M28" s="1419"/>
      <c r="N28" s="1264"/>
      <c r="O28" s="1419"/>
      <c r="P28" s="1264"/>
      <c r="Q28" s="1419"/>
      <c r="R28" s="1264"/>
      <c r="S28" s="1419"/>
    </row>
    <row r="29" spans="1:41">
      <c r="A29" s="1097"/>
      <c r="B29" s="1159"/>
      <c r="C29" s="415"/>
      <c r="D29" s="430"/>
      <c r="E29" s="422"/>
      <c r="F29" s="431"/>
      <c r="G29" s="1402"/>
      <c r="H29" s="1264"/>
      <c r="I29" s="1419"/>
      <c r="J29" s="1264"/>
      <c r="K29" s="1419"/>
      <c r="L29" s="1264"/>
      <c r="M29" s="1419"/>
      <c r="N29" s="1264"/>
      <c r="O29" s="1419"/>
      <c r="P29" s="1264"/>
      <c r="Q29" s="1419"/>
      <c r="R29" s="1264"/>
      <c r="S29" s="1419"/>
    </row>
    <row r="30" spans="1:41">
      <c r="A30" s="1412"/>
      <c r="B30" s="1159"/>
      <c r="C30" s="415"/>
      <c r="D30" s="430"/>
      <c r="E30" s="422"/>
      <c r="F30" s="431"/>
      <c r="G30" s="1402"/>
      <c r="H30" s="1264"/>
      <c r="I30" s="1419"/>
      <c r="J30" s="1264"/>
      <c r="K30" s="1419"/>
      <c r="L30" s="1264"/>
      <c r="M30" s="1419"/>
      <c r="N30" s="1264"/>
      <c r="O30" s="1419"/>
      <c r="P30" s="1264"/>
      <c r="Q30" s="1419"/>
      <c r="R30" s="1264"/>
      <c r="S30" s="1419"/>
    </row>
    <row r="31" spans="1:41">
      <c r="A31" s="1097"/>
      <c r="B31" s="1159"/>
      <c r="C31" s="415"/>
      <c r="D31" s="430"/>
      <c r="E31" s="422"/>
      <c r="F31" s="431"/>
      <c r="G31" s="1402"/>
      <c r="H31" s="1264"/>
      <c r="I31" s="1419"/>
      <c r="J31" s="1264"/>
      <c r="K31" s="1419"/>
      <c r="L31" s="1264"/>
      <c r="M31" s="1419"/>
      <c r="N31" s="1264"/>
      <c r="O31" s="1419"/>
      <c r="P31" s="1264"/>
      <c r="Q31" s="1419"/>
      <c r="R31" s="1264"/>
      <c r="S31" s="1419"/>
    </row>
    <row r="32" spans="1:41">
      <c r="A32" s="1412"/>
      <c r="B32" s="1163"/>
      <c r="C32" s="23"/>
      <c r="D32" s="430"/>
      <c r="E32" s="422"/>
      <c r="F32" s="431"/>
      <c r="G32" s="1402"/>
      <c r="H32" s="1264"/>
      <c r="I32" s="1419"/>
      <c r="J32" s="1264"/>
      <c r="K32" s="1419"/>
      <c r="L32" s="1264"/>
      <c r="M32" s="1419"/>
      <c r="N32" s="1264"/>
      <c r="O32" s="1419"/>
      <c r="P32" s="1264"/>
      <c r="Q32" s="1419"/>
      <c r="R32" s="1264"/>
      <c r="S32" s="1419"/>
    </row>
    <row r="33" spans="1:19">
      <c r="A33" s="1097"/>
      <c r="B33" s="1163"/>
      <c r="C33" s="23"/>
      <c r="D33" s="87"/>
      <c r="E33" s="86"/>
      <c r="F33" s="431"/>
      <c r="G33" s="1402"/>
      <c r="H33" s="1264"/>
      <c r="I33" s="1419"/>
      <c r="J33" s="1264"/>
      <c r="K33" s="1419"/>
      <c r="L33" s="1264"/>
      <c r="M33" s="1419"/>
      <c r="N33" s="1264"/>
      <c r="O33" s="1419"/>
      <c r="P33" s="1264"/>
      <c r="Q33" s="1419"/>
      <c r="R33" s="1264"/>
      <c r="S33" s="1419"/>
    </row>
    <row r="34" spans="1:19">
      <c r="A34" s="1412"/>
      <c r="B34" s="1163"/>
      <c r="C34" s="23"/>
      <c r="D34" s="87"/>
      <c r="E34" s="86"/>
      <c r="F34" s="431"/>
      <c r="G34" s="1402"/>
      <c r="H34" s="1264"/>
      <c r="I34" s="1419"/>
      <c r="J34" s="1264"/>
      <c r="K34" s="1419"/>
      <c r="L34" s="1264"/>
      <c r="M34" s="1419"/>
      <c r="N34" s="1264"/>
      <c r="O34" s="1419"/>
      <c r="P34" s="1264"/>
      <c r="Q34" s="1419"/>
      <c r="R34" s="1264"/>
      <c r="S34" s="1419"/>
    </row>
    <row r="35" spans="1:19">
      <c r="A35" s="1412"/>
      <c r="B35" s="1163"/>
      <c r="C35" s="23"/>
      <c r="D35" s="87"/>
      <c r="E35" s="86"/>
      <c r="F35" s="431"/>
      <c r="G35" s="1402"/>
      <c r="H35" s="1264"/>
      <c r="I35" s="1419"/>
      <c r="J35" s="1264"/>
      <c r="K35" s="1419"/>
      <c r="L35" s="1264"/>
      <c r="M35" s="1419"/>
      <c r="N35" s="1264"/>
      <c r="O35" s="1419"/>
      <c r="P35" s="1264"/>
      <c r="Q35" s="1419"/>
      <c r="R35" s="1264"/>
      <c r="S35" s="1419"/>
    </row>
    <row r="36" spans="1:19">
      <c r="A36" s="1412"/>
      <c r="B36" s="1163"/>
      <c r="C36" s="23"/>
      <c r="D36" s="87"/>
      <c r="E36" s="86"/>
      <c r="F36" s="431"/>
      <c r="G36" s="1402"/>
      <c r="H36" s="1264"/>
      <c r="I36" s="1419"/>
      <c r="J36" s="1264"/>
      <c r="K36" s="1419"/>
      <c r="L36" s="1264"/>
      <c r="M36" s="1419"/>
      <c r="N36" s="1264"/>
      <c r="O36" s="1419"/>
      <c r="P36" s="1264"/>
      <c r="Q36" s="1419"/>
      <c r="R36" s="1264"/>
      <c r="S36" s="1419"/>
    </row>
    <row r="37" spans="1:19">
      <c r="A37" s="1412"/>
      <c r="B37" s="1163"/>
      <c r="C37" s="23"/>
      <c r="D37" s="87"/>
      <c r="E37" s="86"/>
      <c r="F37" s="431"/>
      <c r="G37" s="1402"/>
      <c r="H37" s="1264"/>
      <c r="I37" s="1419"/>
      <c r="J37" s="1264"/>
      <c r="K37" s="1419"/>
      <c r="L37" s="1264"/>
      <c r="M37" s="1419"/>
      <c r="N37" s="1264"/>
      <c r="O37" s="1419"/>
      <c r="P37" s="1264"/>
      <c r="Q37" s="1419"/>
      <c r="R37" s="1264"/>
      <c r="S37" s="1419"/>
    </row>
    <row r="38" spans="1:19">
      <c r="A38" s="1412"/>
      <c r="B38" s="1163"/>
      <c r="C38" s="23"/>
      <c r="D38" s="87"/>
      <c r="E38" s="86"/>
      <c r="F38" s="431"/>
      <c r="G38" s="1402"/>
      <c r="H38" s="1264"/>
      <c r="I38" s="1419"/>
      <c r="J38" s="1264"/>
      <c r="K38" s="1419"/>
      <c r="L38" s="1264"/>
      <c r="M38" s="1419"/>
      <c r="N38" s="1264"/>
      <c r="O38" s="1419"/>
      <c r="P38" s="1264"/>
      <c r="Q38" s="1419"/>
      <c r="R38" s="1264"/>
      <c r="S38" s="1419"/>
    </row>
    <row r="39" spans="1:19">
      <c r="A39" s="1412"/>
      <c r="B39" s="1163"/>
      <c r="C39" s="23"/>
      <c r="D39" s="87"/>
      <c r="E39" s="86"/>
      <c r="F39" s="431"/>
      <c r="G39" s="1402"/>
      <c r="H39" s="1264"/>
      <c r="I39" s="1419"/>
      <c r="J39" s="1264"/>
      <c r="K39" s="1419"/>
      <c r="L39" s="1264"/>
      <c r="M39" s="1419"/>
      <c r="N39" s="1264"/>
      <c r="O39" s="1419"/>
      <c r="P39" s="1264"/>
      <c r="Q39" s="1419"/>
      <c r="R39" s="1264"/>
      <c r="S39" s="1419"/>
    </row>
    <row r="40" spans="1:19">
      <c r="A40" s="1412"/>
      <c r="B40" s="1163"/>
      <c r="C40" s="23"/>
      <c r="D40" s="87"/>
      <c r="E40" s="86"/>
      <c r="F40" s="431"/>
      <c r="G40" s="1402"/>
      <c r="H40" s="1264"/>
      <c r="I40" s="1419"/>
      <c r="J40" s="1264"/>
      <c r="K40" s="1419"/>
      <c r="L40" s="1264"/>
      <c r="M40" s="1419"/>
      <c r="N40" s="1264"/>
      <c r="O40" s="1419"/>
      <c r="P40" s="1264"/>
      <c r="Q40" s="1419"/>
      <c r="R40" s="1264"/>
      <c r="S40" s="1419"/>
    </row>
    <row r="41" spans="1:19">
      <c r="A41" s="1412"/>
      <c r="B41" s="1163" t="s">
        <v>663</v>
      </c>
      <c r="C41" s="23"/>
      <c r="D41" s="87"/>
      <c r="E41" s="86"/>
      <c r="F41" s="431"/>
      <c r="G41" s="1402"/>
      <c r="H41" s="1264"/>
      <c r="I41" s="1419"/>
      <c r="J41" s="1264"/>
      <c r="K41" s="1419"/>
      <c r="L41" s="1264"/>
      <c r="M41" s="1419"/>
      <c r="N41" s="1264"/>
      <c r="O41" s="1419"/>
      <c r="P41" s="1264"/>
      <c r="Q41" s="1419"/>
      <c r="R41" s="1264"/>
      <c r="S41" s="1419"/>
    </row>
    <row r="42" spans="1:19">
      <c r="A42" s="1412"/>
      <c r="B42" s="1163" t="s">
        <v>663</v>
      </c>
      <c r="C42" s="23"/>
      <c r="D42" s="87"/>
      <c r="E42" s="86"/>
      <c r="F42" s="431"/>
      <c r="G42" s="1402"/>
      <c r="H42" s="1264"/>
      <c r="I42" s="1419"/>
      <c r="J42" s="1264"/>
      <c r="K42" s="1419"/>
      <c r="L42" s="1264"/>
      <c r="M42" s="1419"/>
      <c r="N42" s="1264"/>
      <c r="O42" s="1419"/>
      <c r="P42" s="1264"/>
      <c r="Q42" s="1419"/>
      <c r="R42" s="1264"/>
      <c r="S42" s="1419"/>
    </row>
    <row r="43" spans="1:19">
      <c r="A43" s="1412"/>
      <c r="B43" s="1163" t="s">
        <v>663</v>
      </c>
      <c r="C43" s="23"/>
      <c r="D43" s="87"/>
      <c r="E43" s="86"/>
      <c r="F43" s="431"/>
      <c r="G43" s="1402"/>
      <c r="H43" s="1264"/>
      <c r="I43" s="1419"/>
      <c r="J43" s="1264"/>
      <c r="K43" s="1419"/>
      <c r="L43" s="1264"/>
      <c r="M43" s="1419"/>
      <c r="N43" s="1264"/>
      <c r="O43" s="1419"/>
      <c r="P43" s="1264"/>
      <c r="Q43" s="1419"/>
      <c r="R43" s="1264"/>
      <c r="S43" s="1419"/>
    </row>
    <row r="44" spans="1:19">
      <c r="A44" s="1412"/>
      <c r="B44" s="1163" t="s">
        <v>663</v>
      </c>
      <c r="C44" s="23"/>
      <c r="D44" s="87"/>
      <c r="E44" s="86"/>
      <c r="F44" s="431"/>
      <c r="G44" s="1402"/>
      <c r="H44" s="1264"/>
      <c r="I44" s="1419"/>
      <c r="J44" s="1264"/>
      <c r="K44" s="1419"/>
      <c r="L44" s="1264"/>
      <c r="M44" s="1419"/>
      <c r="N44" s="1264"/>
      <c r="O44" s="1419"/>
      <c r="P44" s="1264"/>
      <c r="Q44" s="1419"/>
      <c r="R44" s="1264"/>
      <c r="S44" s="1419"/>
    </row>
    <row r="45" spans="1:19">
      <c r="A45" s="1412"/>
      <c r="B45" s="1163" t="s">
        <v>663</v>
      </c>
      <c r="C45" s="23"/>
      <c r="D45" s="87"/>
      <c r="E45" s="86"/>
      <c r="F45" s="431"/>
      <c r="G45" s="1402"/>
      <c r="H45" s="1264"/>
      <c r="I45" s="1419"/>
      <c r="J45" s="1264"/>
      <c r="K45" s="1419"/>
      <c r="L45" s="1264"/>
      <c r="M45" s="1419"/>
      <c r="N45" s="1264"/>
      <c r="O45" s="1419"/>
      <c r="P45" s="1264"/>
      <c r="Q45" s="1419"/>
      <c r="R45" s="1264"/>
      <c r="S45" s="1419"/>
    </row>
    <row r="46" spans="1:19">
      <c r="A46" s="1412"/>
      <c r="B46" s="1163"/>
      <c r="C46" s="23"/>
      <c r="D46" s="87"/>
      <c r="E46" s="86"/>
      <c r="F46" s="431"/>
      <c r="G46" s="1402"/>
      <c r="H46" s="1264"/>
      <c r="I46" s="1419"/>
      <c r="J46" s="1264"/>
      <c r="K46" s="1419"/>
      <c r="L46" s="1264"/>
      <c r="M46" s="1419"/>
      <c r="N46" s="1264"/>
      <c r="O46" s="1419"/>
      <c r="P46" s="1264"/>
      <c r="Q46" s="1419"/>
      <c r="R46" s="1264"/>
      <c r="S46" s="1419"/>
    </row>
    <row r="47" spans="1:19">
      <c r="A47" s="1412"/>
      <c r="B47" s="1163"/>
      <c r="C47" s="23"/>
      <c r="D47" s="87"/>
      <c r="E47" s="86"/>
      <c r="F47" s="431"/>
      <c r="G47" s="1402"/>
      <c r="H47" s="1264"/>
      <c r="I47" s="1419"/>
      <c r="J47" s="1264"/>
      <c r="K47" s="1419"/>
      <c r="L47" s="1264"/>
      <c r="M47" s="1419"/>
      <c r="N47" s="1264"/>
      <c r="O47" s="1419"/>
      <c r="P47" s="1264"/>
      <c r="Q47" s="1419"/>
      <c r="R47" s="1264"/>
      <c r="S47" s="1419"/>
    </row>
    <row r="48" spans="1:19">
      <c r="A48" s="1412"/>
      <c r="B48" s="1163"/>
      <c r="C48" s="23"/>
      <c r="D48" s="87"/>
      <c r="E48" s="86"/>
      <c r="F48" s="431"/>
      <c r="G48" s="1402"/>
      <c r="H48" s="1264"/>
      <c r="I48" s="1419"/>
      <c r="J48" s="1264"/>
      <c r="K48" s="1419"/>
      <c r="L48" s="1264"/>
      <c r="M48" s="1419"/>
      <c r="N48" s="1264"/>
      <c r="O48" s="1419"/>
      <c r="P48" s="1264"/>
      <c r="Q48" s="1419"/>
      <c r="R48" s="1264"/>
      <c r="S48" s="1419"/>
    </row>
    <row r="49" spans="1:34">
      <c r="A49" s="1412"/>
      <c r="B49" s="1163"/>
      <c r="C49" s="23"/>
      <c r="D49" s="87"/>
      <c r="E49" s="86"/>
      <c r="F49" s="431"/>
      <c r="G49" s="830"/>
      <c r="H49" s="1264"/>
      <c r="I49" s="1419"/>
      <c r="J49" s="1264"/>
      <c r="K49" s="1419"/>
      <c r="L49" s="1264"/>
      <c r="M49" s="1419"/>
      <c r="N49" s="1264"/>
      <c r="O49" s="1419"/>
      <c r="P49" s="1264"/>
      <c r="Q49" s="1419"/>
      <c r="R49" s="1264"/>
      <c r="S49" s="1419"/>
    </row>
    <row r="50" spans="1:34" ht="15.75" thickBot="1">
      <c r="A50" s="1412"/>
      <c r="B50" s="1163"/>
      <c r="C50" s="23"/>
      <c r="D50" s="87"/>
      <c r="E50" s="86"/>
      <c r="F50" s="431"/>
      <c r="G50" s="830"/>
      <c r="H50" s="1264"/>
      <c r="I50" s="1419"/>
      <c r="J50" s="1264"/>
      <c r="K50" s="1419"/>
      <c r="L50" s="1264"/>
      <c r="M50" s="1419"/>
      <c r="N50" s="1264"/>
      <c r="O50" s="1419"/>
      <c r="P50" s="1264"/>
      <c r="Q50" s="1419"/>
      <c r="R50" s="1264"/>
      <c r="S50" s="1419"/>
    </row>
    <row r="51" spans="1:34" ht="15.75" thickTop="1">
      <c r="A51" s="296"/>
      <c r="B51" s="301"/>
      <c r="C51" s="297"/>
      <c r="D51" s="15"/>
      <c r="E51" s="16"/>
      <c r="F51" s="282" t="s">
        <v>753</v>
      </c>
      <c r="G51" s="272"/>
      <c r="H51" s="273"/>
      <c r="I51" s="273">
        <f>SUM(I12:I50)</f>
        <v>0</v>
      </c>
      <c r="J51" s="273"/>
      <c r="K51" s="273">
        <f>SUM(K12:K50)</f>
        <v>0</v>
      </c>
      <c r="L51" s="273"/>
      <c r="M51" s="273">
        <f>SUM(M12:M50)</f>
        <v>0</v>
      </c>
      <c r="N51" s="273"/>
      <c r="O51" s="273">
        <f>SUM(O15:O50)</f>
        <v>0</v>
      </c>
      <c r="P51" s="273"/>
      <c r="Q51" s="273">
        <f>SUM(Q15:Q50)</f>
        <v>0</v>
      </c>
      <c r="R51" s="273"/>
      <c r="S51" s="273">
        <f>SUM(S15:S50)</f>
        <v>0</v>
      </c>
    </row>
    <row r="52" spans="1:34">
      <c r="A52" s="1114"/>
      <c r="B52" s="1164"/>
      <c r="C52" s="432"/>
      <c r="D52" s="433"/>
      <c r="E52" s="434"/>
      <c r="F52" s="435" t="s">
        <v>754</v>
      </c>
      <c r="G52" s="436"/>
      <c r="H52" s="1165">
        <v>0</v>
      </c>
      <c r="I52" s="1166"/>
      <c r="J52" s="1165">
        <v>0</v>
      </c>
      <c r="K52" s="1166"/>
      <c r="L52" s="1165">
        <v>0</v>
      </c>
      <c r="M52" s="1166"/>
      <c r="N52" s="1165">
        <v>0</v>
      </c>
      <c r="O52" s="1166"/>
      <c r="P52" s="1165">
        <v>0</v>
      </c>
      <c r="Q52" s="1166"/>
      <c r="R52" s="1165">
        <v>0</v>
      </c>
      <c r="S52" s="1166"/>
    </row>
    <row r="53" spans="1:34">
      <c r="A53" s="1114"/>
      <c r="B53" s="1164"/>
      <c r="C53" s="432"/>
      <c r="D53" s="433"/>
      <c r="E53" s="434"/>
      <c r="F53" s="435" t="s">
        <v>755</v>
      </c>
      <c r="G53" s="436"/>
      <c r="H53" s="1166"/>
      <c r="I53" s="1166">
        <f>H52*I51</f>
        <v>0</v>
      </c>
      <c r="J53" s="1166"/>
      <c r="K53" s="1166">
        <f>J52*K51</f>
        <v>0</v>
      </c>
      <c r="L53" s="1166"/>
      <c r="M53" s="1166">
        <f>L52*M51</f>
        <v>0</v>
      </c>
      <c r="N53" s="1166"/>
      <c r="O53" s="1166">
        <f>N52*O51</f>
        <v>0</v>
      </c>
      <c r="P53" s="1166"/>
      <c r="Q53" s="1166">
        <f>P52*Q51</f>
        <v>0</v>
      </c>
      <c r="R53" s="1166"/>
      <c r="S53" s="1166">
        <f>R52*S51</f>
        <v>0</v>
      </c>
    </row>
    <row r="54" spans="1:34">
      <c r="A54" s="1114"/>
      <c r="B54" s="1164"/>
      <c r="C54" s="432"/>
      <c r="D54" s="433"/>
      <c r="E54" s="434"/>
      <c r="F54" s="435"/>
      <c r="G54" s="436"/>
      <c r="H54" s="1166"/>
      <c r="I54" s="1166"/>
      <c r="J54" s="1166"/>
      <c r="K54" s="1166"/>
      <c r="L54" s="1166"/>
      <c r="M54" s="1166"/>
      <c r="N54" s="1166"/>
      <c r="O54" s="1166"/>
      <c r="P54" s="1166"/>
      <c r="Q54" s="1166"/>
      <c r="R54" s="1166"/>
      <c r="S54" s="1166"/>
    </row>
    <row r="55" spans="1:34">
      <c r="A55" s="1114"/>
      <c r="B55" s="1164"/>
      <c r="C55" s="432"/>
      <c r="D55" s="433"/>
      <c r="E55" s="434"/>
      <c r="F55" s="435" t="s">
        <v>756</v>
      </c>
      <c r="G55" s="436"/>
      <c r="H55" s="1166"/>
      <c r="I55" s="1166">
        <f>SUM(I51:I53)</f>
        <v>0</v>
      </c>
      <c r="J55" s="1166"/>
      <c r="K55" s="1166">
        <f>SUM(K51:K53)</f>
        <v>0</v>
      </c>
      <c r="L55" s="1166"/>
      <c r="M55" s="1166">
        <f>SUM(M51:M53)</f>
        <v>0</v>
      </c>
      <c r="N55" s="1166"/>
      <c r="O55" s="1166">
        <f>SUM(O51:O53)</f>
        <v>0</v>
      </c>
      <c r="P55" s="1166"/>
      <c r="Q55" s="1166">
        <f>SUM(Q51:Q53)</f>
        <v>0</v>
      </c>
      <c r="R55" s="1166"/>
      <c r="S55" s="1166">
        <f>SUM(S51:S53)</f>
        <v>0</v>
      </c>
    </row>
    <row r="56" spans="1:34">
      <c r="A56" s="1114"/>
      <c r="B56" s="1164"/>
      <c r="C56" s="432"/>
      <c r="D56" s="433"/>
      <c r="E56" s="434"/>
      <c r="F56" s="437" t="s">
        <v>757</v>
      </c>
      <c r="G56" s="438"/>
      <c r="H56" s="1167"/>
      <c r="I56" s="1167">
        <f>I55/'Area Calculations'!$G$4</f>
        <v>0</v>
      </c>
      <c r="J56" s="1167"/>
      <c r="K56" s="1167">
        <f>K55/'Area Calculations'!$G$4</f>
        <v>0</v>
      </c>
      <c r="L56" s="1167"/>
      <c r="M56" s="1167">
        <f>M55/'Area Calculations'!$G$4</f>
        <v>0</v>
      </c>
      <c r="N56" s="1167"/>
      <c r="O56" s="1167">
        <f>O55/'Area Calculations'!$G$4</f>
        <v>0</v>
      </c>
      <c r="P56" s="1167"/>
      <c r="Q56" s="1167">
        <f>Q55/'Area Calculations'!$G$4</f>
        <v>0</v>
      </c>
      <c r="R56" s="1167"/>
      <c r="S56" s="1167">
        <f>S55/'Area Calculations'!$G$4</f>
        <v>0</v>
      </c>
    </row>
    <row r="57" spans="1:34">
      <c r="A57" s="1114"/>
      <c r="B57" s="1164"/>
      <c r="C57" s="432"/>
      <c r="D57" s="433"/>
      <c r="E57" s="434"/>
      <c r="F57" s="437" t="s">
        <v>758</v>
      </c>
      <c r="G57" s="438"/>
      <c r="H57" s="1167"/>
      <c r="I57" s="1167">
        <f>I55/'Area Calculations'!$G$9</f>
        <v>0</v>
      </c>
      <c r="J57" s="1167"/>
      <c r="K57" s="1167">
        <f>K55/'Area Calculations'!$G$9</f>
        <v>0</v>
      </c>
      <c r="L57" s="1167"/>
      <c r="M57" s="1167">
        <f>M55/'Area Calculations'!$G$9</f>
        <v>0</v>
      </c>
      <c r="N57" s="1167"/>
      <c r="O57" s="1167">
        <f>O55/'Area Calculations'!$G$9</f>
        <v>0</v>
      </c>
      <c r="P57" s="1167"/>
      <c r="Q57" s="1167">
        <f>Q55/'Area Calculations'!$G$9</f>
        <v>0</v>
      </c>
      <c r="R57" s="1167"/>
      <c r="S57" s="1167">
        <f>S55/'Area Calculations'!$G$9</f>
        <v>0</v>
      </c>
    </row>
    <row r="58" spans="1:34" ht="15.75" thickBot="1">
      <c r="A58" s="1114"/>
      <c r="B58" s="1164"/>
      <c r="C58" s="432"/>
      <c r="D58" s="433"/>
      <c r="E58" s="434"/>
      <c r="F58" s="439"/>
      <c r="G58" s="436"/>
      <c r="H58" s="1168"/>
      <c r="I58" s="1168"/>
      <c r="J58" s="1168"/>
      <c r="K58" s="1168"/>
      <c r="L58" s="1168"/>
      <c r="M58" s="1168"/>
      <c r="N58" s="1168"/>
      <c r="O58" s="1168"/>
      <c r="P58" s="1168"/>
      <c r="Q58" s="1168"/>
      <c r="R58" s="1168"/>
      <c r="S58" s="1168"/>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1403"/>
      <c r="B60" s="1105"/>
      <c r="C60" s="1548"/>
      <c r="D60" s="1435"/>
      <c r="E60" s="1435"/>
      <c r="F60" s="1435"/>
      <c r="G60" s="1404"/>
      <c r="H60" s="1405"/>
      <c r="I60" s="1223"/>
      <c r="J60" s="1223"/>
      <c r="K60" s="1223"/>
      <c r="L60" s="1223"/>
      <c r="M60" s="1223"/>
      <c r="N60" s="1223"/>
      <c r="O60" s="1223"/>
      <c r="P60" s="1223"/>
      <c r="Q60" s="1223"/>
      <c r="R60" s="1223"/>
      <c r="S60" s="1223"/>
    </row>
    <row r="61" spans="1:34">
      <c r="A61" s="1403"/>
      <c r="B61" s="1105"/>
      <c r="C61" s="1548"/>
      <c r="D61" s="1435"/>
      <c r="E61" s="1435"/>
      <c r="F61" s="1435"/>
      <c r="G61" s="1404"/>
      <c r="H61" s="1405"/>
      <c r="I61" s="1223"/>
      <c r="J61" s="1223"/>
      <c r="K61" s="1223"/>
      <c r="L61" s="1223"/>
      <c r="M61" s="1223"/>
      <c r="N61" s="1223"/>
      <c r="O61" s="1223"/>
      <c r="P61" s="1223"/>
      <c r="Q61" s="1223"/>
      <c r="R61" s="1223"/>
      <c r="S61" s="1223"/>
    </row>
    <row r="62" spans="1:34" ht="15.75" thickBot="1">
      <c r="A62" s="1403"/>
      <c r="B62" s="1105"/>
      <c r="C62" s="1548"/>
      <c r="D62" s="1435"/>
      <c r="E62" s="1435"/>
      <c r="F62" s="1435"/>
      <c r="G62" s="1404"/>
      <c r="H62" s="1405"/>
      <c r="I62" s="1223"/>
      <c r="J62" s="1223"/>
      <c r="K62" s="1223"/>
      <c r="L62" s="1223"/>
      <c r="M62" s="1223"/>
      <c r="N62" s="1223"/>
      <c r="O62" s="1223"/>
      <c r="P62" s="1223"/>
      <c r="Q62" s="1223"/>
      <c r="R62" s="1223"/>
      <c r="S62" s="1223"/>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1403"/>
      <c r="B64" s="1105"/>
      <c r="C64" s="1548"/>
      <c r="D64" s="1435"/>
      <c r="E64" s="1435"/>
      <c r="F64" s="1435"/>
      <c r="G64" s="1404"/>
      <c r="H64" s="1405"/>
      <c r="I64" s="1223"/>
      <c r="J64" s="1223"/>
      <c r="K64" s="1223"/>
      <c r="L64" s="1223"/>
      <c r="M64" s="1223"/>
      <c r="N64" s="1223"/>
      <c r="O64" s="1223"/>
      <c r="P64" s="1223"/>
      <c r="Q64" s="1223"/>
      <c r="R64" s="1223"/>
      <c r="S64" s="1223"/>
      <c r="T64"/>
      <c r="U64"/>
      <c r="V64"/>
      <c r="W64"/>
      <c r="X64"/>
      <c r="Y64"/>
      <c r="Z64"/>
      <c r="AA64"/>
      <c r="AB64"/>
      <c r="AC64"/>
      <c r="AD64"/>
      <c r="AE64"/>
      <c r="AF64"/>
      <c r="AG64"/>
      <c r="AH64"/>
    </row>
    <row r="65" spans="1:34" s="2" customFormat="1">
      <c r="A65" s="1403"/>
      <c r="B65" s="1105"/>
      <c r="C65" s="1548"/>
      <c r="D65" s="1435"/>
      <c r="E65" s="1435"/>
      <c r="F65" s="1435"/>
      <c r="G65" s="1404"/>
      <c r="H65" s="1405"/>
      <c r="I65" s="1223"/>
      <c r="J65" s="1223"/>
      <c r="K65" s="1223"/>
      <c r="L65" s="1223"/>
      <c r="M65" s="1223"/>
      <c r="N65" s="1223"/>
      <c r="O65" s="1223"/>
      <c r="P65" s="1223"/>
      <c r="Q65" s="1223"/>
      <c r="R65" s="1223"/>
      <c r="S65" s="1223"/>
      <c r="T65"/>
      <c r="U65"/>
      <c r="V65"/>
      <c r="W65"/>
      <c r="X65"/>
      <c r="Y65"/>
      <c r="Z65"/>
      <c r="AA65"/>
      <c r="AB65"/>
      <c r="AC65"/>
      <c r="AD65"/>
      <c r="AE65"/>
      <c r="AF65"/>
      <c r="AG65"/>
      <c r="AH65"/>
    </row>
    <row r="66" spans="1:34" ht="15.75" thickBot="1">
      <c r="A66" s="1403"/>
      <c r="B66" s="1105"/>
      <c r="C66" s="1548"/>
      <c r="D66" s="1435"/>
      <c r="E66" s="1435"/>
      <c r="F66" s="1435"/>
      <c r="G66" s="1404"/>
      <c r="H66" s="1405"/>
      <c r="I66" s="1223"/>
      <c r="J66" s="1223"/>
      <c r="K66" s="1223"/>
      <c r="L66" s="1223"/>
      <c r="M66" s="1223"/>
      <c r="N66" s="1223"/>
      <c r="O66" s="1223"/>
      <c r="P66" s="1223"/>
      <c r="Q66" s="1223"/>
      <c r="R66" s="1223"/>
      <c r="S66" s="1223"/>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1403"/>
      <c r="B68" s="1105"/>
      <c r="C68" s="1548"/>
      <c r="D68" s="1435"/>
      <c r="E68" s="1435"/>
      <c r="F68" s="1435"/>
      <c r="G68" s="1404"/>
      <c r="H68" s="1405"/>
      <c r="I68" s="1223"/>
      <c r="J68" s="1223"/>
      <c r="K68" s="1223"/>
      <c r="L68" s="1223"/>
      <c r="M68" s="1223"/>
      <c r="N68" s="1223"/>
      <c r="O68" s="1223"/>
      <c r="P68" s="1223"/>
      <c r="Q68" s="1223"/>
      <c r="R68" s="1223"/>
      <c r="S68" s="1223"/>
      <c r="T68"/>
      <c r="U68"/>
      <c r="V68"/>
      <c r="W68"/>
      <c r="X68"/>
      <c r="Y68"/>
      <c r="Z68"/>
      <c r="AA68"/>
      <c r="AB68"/>
      <c r="AC68"/>
      <c r="AD68"/>
      <c r="AE68"/>
      <c r="AF68"/>
      <c r="AG68"/>
      <c r="AH68"/>
    </row>
    <row r="69" spans="1:34" s="2" customFormat="1">
      <c r="A69" s="1124"/>
      <c r="B69" s="1105"/>
      <c r="C69" s="415"/>
      <c r="D69" s="422"/>
      <c r="E69" s="422"/>
      <c r="F69" s="422"/>
      <c r="G69" s="831"/>
      <c r="H69" s="440"/>
      <c r="I69" s="1173"/>
      <c r="J69" s="1173"/>
      <c r="K69" s="1173"/>
      <c r="L69" s="1173"/>
      <c r="M69" s="1173"/>
      <c r="N69" s="1173"/>
      <c r="O69" s="1173"/>
      <c r="P69" s="1173"/>
      <c r="Q69" s="1173"/>
      <c r="R69" s="1173"/>
      <c r="S69" s="1173"/>
      <c r="T69"/>
      <c r="U69"/>
      <c r="V69"/>
      <c r="W69"/>
      <c r="X69"/>
      <c r="Y69"/>
      <c r="Z69"/>
      <c r="AA69"/>
      <c r="AB69"/>
      <c r="AC69"/>
      <c r="AD69"/>
      <c r="AE69"/>
      <c r="AF69"/>
      <c r="AG69"/>
      <c r="AH69"/>
    </row>
    <row r="70" spans="1:34" s="2" customFormat="1" ht="15.75" thickBot="1">
      <c r="A70" s="1126"/>
      <c r="B70" s="1174"/>
      <c r="C70" s="415"/>
      <c r="D70" s="422"/>
      <c r="E70" s="422"/>
      <c r="F70" s="422"/>
      <c r="G70" s="831"/>
      <c r="H70" s="441"/>
      <c r="I70" s="1175"/>
      <c r="J70" s="1175"/>
      <c r="K70" s="1175"/>
      <c r="L70" s="1175"/>
      <c r="M70" s="1175"/>
      <c r="N70" s="1175"/>
      <c r="O70" s="1175"/>
      <c r="P70" s="1175"/>
      <c r="Q70" s="1175"/>
      <c r="R70" s="1175"/>
      <c r="S70" s="1175"/>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1407"/>
      <c r="B72" s="1225"/>
      <c r="C72" s="1548"/>
      <c r="D72" s="1435"/>
      <c r="E72" s="1435"/>
      <c r="F72" s="1435"/>
      <c r="G72" s="1404"/>
      <c r="H72" s="1405"/>
      <c r="I72" s="1223"/>
      <c r="J72" s="1223"/>
      <c r="K72" s="1223"/>
      <c r="L72" s="1223"/>
      <c r="M72" s="1223"/>
      <c r="N72" s="1223"/>
      <c r="O72" s="1223"/>
      <c r="P72" s="1223"/>
      <c r="Q72" s="1223"/>
      <c r="R72" s="1223"/>
      <c r="S72" s="1223"/>
      <c r="T72" s="2"/>
      <c r="U72" s="2"/>
      <c r="V72" s="2"/>
      <c r="W72" s="2"/>
      <c r="X72" s="2"/>
      <c r="Y72" s="2"/>
      <c r="Z72" s="2"/>
      <c r="AA72" s="2"/>
      <c r="AB72" s="2"/>
      <c r="AC72" s="2"/>
      <c r="AD72" s="2"/>
      <c r="AE72" s="2"/>
      <c r="AF72" s="2"/>
      <c r="AG72" s="2"/>
      <c r="AH72" s="2"/>
    </row>
    <row r="73" spans="1:34">
      <c r="A73" s="1126"/>
      <c r="B73" s="1174"/>
      <c r="C73" s="415"/>
      <c r="D73" s="422"/>
      <c r="E73" s="422"/>
      <c r="F73" s="422"/>
      <c r="G73" s="831"/>
      <c r="H73" s="442"/>
      <c r="I73" s="1178"/>
      <c r="J73" s="1178"/>
      <c r="K73" s="1178"/>
      <c r="L73" s="1178"/>
      <c r="M73" s="1178"/>
      <c r="N73" s="1178"/>
      <c r="O73" s="1178"/>
      <c r="P73" s="1178"/>
      <c r="Q73" s="1178"/>
      <c r="R73" s="1178"/>
      <c r="S73" s="1178"/>
      <c r="T73" s="2"/>
      <c r="U73" s="2"/>
      <c r="V73" s="2"/>
      <c r="W73" s="2"/>
      <c r="X73" s="2"/>
      <c r="Y73" s="2"/>
      <c r="Z73" s="2"/>
      <c r="AA73" s="2"/>
      <c r="AB73" s="2"/>
      <c r="AC73" s="2"/>
      <c r="AD73" s="2"/>
      <c r="AE73" s="2"/>
      <c r="AF73" s="2"/>
      <c r="AG73" s="2"/>
      <c r="AH73" s="2"/>
    </row>
    <row r="74" spans="1:34" ht="15.75" thickBot="1">
      <c r="A74" s="1126"/>
      <c r="B74" s="1174"/>
      <c r="C74" s="415"/>
      <c r="D74" s="422"/>
      <c r="E74" s="422"/>
      <c r="F74" s="422"/>
      <c r="G74" s="831"/>
      <c r="H74" s="442"/>
      <c r="I74" s="1178"/>
      <c r="J74" s="1178"/>
      <c r="K74" s="1178"/>
      <c r="L74" s="1178"/>
      <c r="M74" s="1178"/>
      <c r="N74" s="1178"/>
      <c r="O74" s="1178"/>
      <c r="P74" s="1178"/>
      <c r="Q74" s="1178"/>
      <c r="R74" s="1178"/>
      <c r="S74" s="1178"/>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1105" t="s">
        <v>764</v>
      </c>
      <c r="C76" s="415"/>
      <c r="D76" s="422"/>
      <c r="E76" s="422"/>
      <c r="F76" s="422"/>
      <c r="G76" s="831"/>
      <c r="H76" s="442"/>
      <c r="I76" s="1178"/>
      <c r="J76" s="1178"/>
      <c r="K76" s="1178"/>
      <c r="L76" s="1178"/>
      <c r="M76" s="1178"/>
      <c r="N76" s="1178"/>
      <c r="O76" s="1178"/>
      <c r="P76" s="1178"/>
      <c r="Q76" s="1178"/>
      <c r="R76" s="1178"/>
      <c r="S76" s="1178"/>
    </row>
    <row r="77" spans="1:34">
      <c r="A77" s="1124"/>
      <c r="B77" s="1105" t="s">
        <v>765</v>
      </c>
      <c r="C77" s="415"/>
      <c r="D77" s="422"/>
      <c r="E77" s="422"/>
      <c r="F77" s="422"/>
      <c r="G77" s="831"/>
      <c r="H77" s="442"/>
      <c r="I77" s="1178"/>
      <c r="J77" s="1178"/>
      <c r="K77" s="1178"/>
      <c r="L77" s="1178"/>
      <c r="M77" s="1178"/>
      <c r="N77" s="1178"/>
      <c r="O77" s="1178"/>
      <c r="P77" s="1178"/>
      <c r="Q77" s="1178"/>
      <c r="R77" s="1178"/>
      <c r="S77" s="1178"/>
    </row>
    <row r="78" spans="1:34">
      <c r="A78" s="1124"/>
      <c r="B78" s="1105" t="s">
        <v>766</v>
      </c>
      <c r="C78" s="415"/>
      <c r="D78" s="422"/>
      <c r="E78" s="422"/>
      <c r="F78" s="422"/>
      <c r="G78" s="831"/>
      <c r="H78" s="442"/>
      <c r="I78" s="1178"/>
      <c r="J78" s="1178"/>
      <c r="K78" s="1178"/>
      <c r="L78" s="1178"/>
      <c r="M78" s="1178"/>
      <c r="N78" s="1178"/>
      <c r="O78" s="1178"/>
      <c r="P78" s="1178"/>
      <c r="Q78" s="1178"/>
      <c r="R78" s="1178"/>
      <c r="S78" s="1178"/>
    </row>
    <row r="79" spans="1:34">
      <c r="A79" s="1124"/>
      <c r="B79" s="1105" t="s">
        <v>767</v>
      </c>
      <c r="C79" s="415"/>
      <c r="D79" s="422"/>
      <c r="E79" s="422"/>
      <c r="F79" s="422"/>
      <c r="G79" s="831"/>
      <c r="H79" s="442"/>
      <c r="I79" s="1178"/>
      <c r="J79" s="1178"/>
      <c r="K79" s="1178"/>
      <c r="L79" s="1178"/>
      <c r="M79" s="1178"/>
      <c r="N79" s="1178"/>
      <c r="O79" s="1178"/>
      <c r="P79" s="1178"/>
      <c r="Q79" s="1178"/>
      <c r="R79" s="1178"/>
      <c r="S79" s="1178"/>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1403"/>
      <c r="B82" s="1226" t="s">
        <v>769</v>
      </c>
      <c r="C82" s="1548"/>
      <c r="D82" s="1435"/>
      <c r="E82" s="1435"/>
      <c r="F82" s="1435"/>
      <c r="G82" s="1404"/>
      <c r="H82" s="1410"/>
      <c r="I82" s="1228"/>
      <c r="J82" s="1228"/>
      <c r="K82" s="1228"/>
      <c r="L82" s="1228"/>
      <c r="M82" s="1228"/>
      <c r="N82" s="1228"/>
      <c r="O82" s="1228"/>
      <c r="P82" s="1228"/>
      <c r="Q82" s="1228"/>
      <c r="R82" s="1228"/>
      <c r="S82" s="1228"/>
    </row>
    <row r="83" spans="1:19">
      <c r="A83" s="1124"/>
      <c r="B83" s="1105" t="s">
        <v>770</v>
      </c>
      <c r="C83" s="415"/>
      <c r="D83" s="422"/>
      <c r="E83" s="422"/>
      <c r="F83" s="422"/>
      <c r="G83" s="831"/>
      <c r="H83" s="445"/>
      <c r="I83" s="1182"/>
      <c r="J83" s="1182"/>
      <c r="K83" s="1182"/>
      <c r="L83" s="1182"/>
      <c r="M83" s="1182"/>
      <c r="N83" s="1182"/>
      <c r="O83" s="1182"/>
      <c r="P83" s="1182"/>
      <c r="Q83" s="1182"/>
      <c r="R83" s="1182"/>
      <c r="S83" s="1182"/>
    </row>
    <row r="84" spans="1:19" ht="15.75" thickBot="1">
      <c r="A84" s="1376"/>
      <c r="B84" s="1377" t="s">
        <v>771</v>
      </c>
      <c r="C84" s="1378"/>
      <c r="D84" s="1379"/>
      <c r="E84" s="1379"/>
      <c r="F84" s="1379"/>
      <c r="G84" s="1380"/>
      <c r="H84" s="1381"/>
      <c r="I84" s="1382"/>
      <c r="J84" s="1382"/>
      <c r="K84" s="1382"/>
      <c r="L84" s="1382"/>
      <c r="M84" s="1382"/>
      <c r="N84" s="1382"/>
      <c r="O84" s="1382"/>
      <c r="P84" s="1382"/>
      <c r="Q84" s="1382"/>
      <c r="R84" s="1382"/>
      <c r="S84" s="1382"/>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1190"/>
      <c r="F87" s="2"/>
      <c r="G87" s="2"/>
      <c r="H87" s="2"/>
      <c r="I87" s="2"/>
      <c r="J87" s="2"/>
      <c r="K87" s="2"/>
      <c r="L87" s="2"/>
      <c r="M87" s="2"/>
      <c r="N87" s="2"/>
      <c r="O87" s="2"/>
      <c r="P87" s="2"/>
      <c r="Q87" s="2"/>
      <c r="R87" s="2"/>
      <c r="S87" s="2"/>
    </row>
    <row r="88" spans="1:19">
      <c r="A88" s="1142" t="s">
        <v>702</v>
      </c>
      <c r="B88" s="1190"/>
      <c r="F88" s="2"/>
      <c r="G88" s="2"/>
      <c r="H88" s="2"/>
      <c r="I88" s="2"/>
      <c r="J88" s="2"/>
      <c r="K88" s="2"/>
      <c r="L88" s="2"/>
      <c r="M88" s="2"/>
      <c r="N88" s="2"/>
      <c r="O88" s="2"/>
      <c r="P88" s="2"/>
      <c r="Q88" s="2"/>
      <c r="R88" s="2"/>
      <c r="S88" s="2"/>
    </row>
    <row r="89" spans="1:19">
      <c r="A89" s="1191" t="s">
        <v>708</v>
      </c>
      <c r="B89" s="1192"/>
      <c r="F89" s="2"/>
      <c r="G89" s="2"/>
      <c r="H89" s="2"/>
      <c r="I89" s="2"/>
      <c r="J89" s="2"/>
      <c r="K89" s="2"/>
      <c r="L89" s="2"/>
      <c r="M89" s="2"/>
      <c r="N89" s="2"/>
      <c r="O89" s="2"/>
      <c r="P89" s="2"/>
      <c r="Q89" s="2"/>
      <c r="R89" s="2"/>
      <c r="S89" s="2"/>
    </row>
    <row r="90" spans="1:19">
      <c r="A90" s="1191" t="s">
        <v>713</v>
      </c>
      <c r="B90" s="1193"/>
      <c r="F90" s="2"/>
      <c r="G90" s="2"/>
      <c r="H90" s="2"/>
      <c r="I90" s="2"/>
      <c r="J90" s="2"/>
      <c r="K90" s="2"/>
      <c r="L90" s="2"/>
      <c r="M90" s="2"/>
      <c r="N90" s="2"/>
      <c r="O90" s="2"/>
      <c r="P90" s="2"/>
      <c r="Q90" s="2"/>
      <c r="R90" s="2"/>
      <c r="S90" s="2"/>
    </row>
    <row r="91" spans="1:19" ht="15.75" thickBot="1">
      <c r="A91" s="1383" t="s">
        <v>69</v>
      </c>
      <c r="B91" s="1384"/>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8:S8"/>
    <mergeCell ref="R9:S9"/>
    <mergeCell ref="H8:I8"/>
    <mergeCell ref="J8:K8"/>
    <mergeCell ref="L8:M8"/>
    <mergeCell ref="N8:O8"/>
    <mergeCell ref="P8:Q8"/>
    <mergeCell ref="H9:I9"/>
    <mergeCell ref="J9:K9"/>
    <mergeCell ref="L9:M9"/>
    <mergeCell ref="N9:O9"/>
    <mergeCell ref="P9:Q9"/>
    <mergeCell ref="J5:K5"/>
    <mergeCell ref="L5:M5"/>
    <mergeCell ref="N5:O5"/>
    <mergeCell ref="P5:Q5"/>
    <mergeCell ref="J7:K7"/>
    <mergeCell ref="L7:M7"/>
    <mergeCell ref="N7:O7"/>
    <mergeCell ref="P7:Q7"/>
    <mergeCell ref="R7:S7"/>
    <mergeCell ref="H7:I7"/>
    <mergeCell ref="R4:S4"/>
    <mergeCell ref="H4:I4"/>
    <mergeCell ref="J4:K4"/>
    <mergeCell ref="L4:M4"/>
    <mergeCell ref="N4:O4"/>
    <mergeCell ref="P4:Q4"/>
    <mergeCell ref="R6:S6"/>
    <mergeCell ref="R5:S5"/>
    <mergeCell ref="H6:I6"/>
    <mergeCell ref="J6:K6"/>
    <mergeCell ref="L6:M6"/>
    <mergeCell ref="N6:O6"/>
    <mergeCell ref="P6:Q6"/>
    <mergeCell ref="H5:I5"/>
  </mergeCells>
  <conditionalFormatting sqref="H11:H18 J11:J18 L11:L18 N11:N18 P11:P18 R11:R18">
    <cfRule type="cellIs" dxfId="377" priority="13" operator="equal">
      <formula>"X"</formula>
    </cfRule>
    <cfRule type="cellIs" dxfId="376" priority="14" operator="equal">
      <formula>"I"</formula>
    </cfRule>
  </conditionalFormatting>
  <conditionalFormatting sqref="H20:H50">
    <cfRule type="cellIs" dxfId="375" priority="1" operator="equal">
      <formula>"X"</formula>
    </cfRule>
    <cfRule type="cellIs" dxfId="374" priority="2" operator="equal">
      <formula>"I"</formula>
    </cfRule>
  </conditionalFormatting>
  <conditionalFormatting sqref="J20:J50">
    <cfRule type="cellIs" dxfId="373" priority="3" operator="equal">
      <formula>"X"</formula>
    </cfRule>
    <cfRule type="cellIs" dxfId="372" priority="4" operator="equal">
      <formula>"I"</formula>
    </cfRule>
  </conditionalFormatting>
  <conditionalFormatting sqref="L20:L50">
    <cfRule type="cellIs" dxfId="371" priority="5" operator="equal">
      <formula>"X"</formula>
    </cfRule>
    <cfRule type="cellIs" dxfId="370" priority="6" operator="equal">
      <formula>"I"</formula>
    </cfRule>
  </conditionalFormatting>
  <conditionalFormatting sqref="N20:N50">
    <cfRule type="cellIs" dxfId="369" priority="7" operator="equal">
      <formula>"X"</formula>
    </cfRule>
    <cfRule type="cellIs" dxfId="368" priority="8" operator="equal">
      <formula>"I"</formula>
    </cfRule>
  </conditionalFormatting>
  <conditionalFormatting sqref="P20:P50">
    <cfRule type="cellIs" dxfId="367" priority="9" operator="equal">
      <formula>"X"</formula>
    </cfRule>
    <cfRule type="cellIs" dxfId="366" priority="10" operator="equal">
      <formula>"I"</formula>
    </cfRule>
  </conditionalFormatting>
  <conditionalFormatting sqref="R20:R50">
    <cfRule type="cellIs" dxfId="365" priority="11" operator="equal">
      <formula>"X"</formula>
    </cfRule>
    <cfRule type="cellIs" dxfId="364" priority="12" operator="equal">
      <formula>"I"</formula>
    </cfRule>
  </conditionalFormatting>
  <hyperlinks>
    <hyperlink ref="B4" location="'Cost Summary'!A1" display="BACK TO SUMMARY SHEET" xr:uid="{BF280644-87DE-4828-8438-9274B90400A1}"/>
  </hyperlink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E337-0062-45FB-9729-B39A9F981BA1}">
  <sheetPr>
    <tabColor theme="9" tint="0.39997558519241921"/>
  </sheetPr>
  <dimension ref="A1:AO91"/>
  <sheetViews>
    <sheetView zoomScale="90" zoomScaleNormal="90" workbookViewId="0">
      <pane xSplit="2" ySplit="10" topLeftCell="G66" activePane="bottomRight" state="frozen"/>
      <selection pane="topRight" activeCell="C1" sqref="C1"/>
      <selection pane="bottomLeft" activeCell="A10" sqref="A10"/>
      <selection pane="bottomRight" activeCell="G43" sqref="G43"/>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23" t="s">
        <v>687</v>
      </c>
      <c r="K4" s="2324"/>
      <c r="L4" s="2319" t="s">
        <v>688</v>
      </c>
      <c r="M4" s="2320"/>
      <c r="N4" s="2319" t="s">
        <v>689</v>
      </c>
      <c r="O4" s="2320"/>
      <c r="P4" s="2319" t="s">
        <v>690</v>
      </c>
      <c r="Q4" s="2320"/>
      <c r="R4" s="2319" t="s">
        <v>691</v>
      </c>
      <c r="S4" s="2320"/>
      <c r="X4" s="261"/>
    </row>
    <row r="5" spans="1:24" ht="15.75" thickTop="1">
      <c r="A5" s="292" t="s">
        <v>692</v>
      </c>
      <c r="B5" s="299" t="str">
        <f>'Area Calculations'!B4</f>
        <v>ERAU Residential Hall &amp; Garage Building</v>
      </c>
      <c r="C5" s="294"/>
      <c r="D5" s="263"/>
      <c r="E5" s="264"/>
      <c r="F5" s="279"/>
      <c r="G5" s="271" t="s">
        <v>693</v>
      </c>
      <c r="H5" s="2333" t="s">
        <v>1756</v>
      </c>
      <c r="I5" s="2334"/>
      <c r="J5" s="2333" t="s">
        <v>1757</v>
      </c>
      <c r="K5" s="2334"/>
      <c r="L5" s="2321" t="s">
        <v>1758</v>
      </c>
      <c r="M5" s="2322"/>
      <c r="N5" s="2333" t="s">
        <v>1759</v>
      </c>
      <c r="O5" s="2334"/>
      <c r="P5" s="2366" t="s">
        <v>1760</v>
      </c>
      <c r="Q5" s="2367"/>
      <c r="R5" s="2366" t="s">
        <v>1761</v>
      </c>
      <c r="S5" s="2367"/>
      <c r="X5" s="261"/>
    </row>
    <row r="6" spans="1:24">
      <c r="A6" s="1082" t="s">
        <v>700</v>
      </c>
      <c r="B6" s="1196" t="s">
        <v>119</v>
      </c>
      <c r="C6" s="415"/>
      <c r="D6" s="416"/>
      <c r="E6" s="417"/>
      <c r="F6" s="418"/>
      <c r="G6" s="419" t="s">
        <v>702</v>
      </c>
      <c r="H6" s="2313" t="s">
        <v>1762</v>
      </c>
      <c r="I6" s="2314"/>
      <c r="J6" s="2313" t="s">
        <v>1763</v>
      </c>
      <c r="K6" s="2314"/>
      <c r="L6" s="2313" t="s">
        <v>1764</v>
      </c>
      <c r="M6" s="2314"/>
      <c r="N6" s="2313" t="s">
        <v>1765</v>
      </c>
      <c r="O6" s="2314"/>
      <c r="P6" s="2368" t="s">
        <v>1766</v>
      </c>
      <c r="Q6" s="2369"/>
      <c r="R6" s="2368" t="s">
        <v>1767</v>
      </c>
      <c r="S6" s="2369"/>
      <c r="X6" s="261"/>
    </row>
    <row r="7" spans="1:24">
      <c r="A7" s="1082" t="s">
        <v>706</v>
      </c>
      <c r="B7" s="1197" t="s">
        <v>336</v>
      </c>
      <c r="C7" s="415"/>
      <c r="D7" s="416"/>
      <c r="E7" s="417"/>
      <c r="F7" s="418"/>
      <c r="G7" s="829" t="s">
        <v>708</v>
      </c>
      <c r="H7" s="2313" t="s">
        <v>1768</v>
      </c>
      <c r="I7" s="2314"/>
      <c r="J7" s="2313" t="s">
        <v>1769</v>
      </c>
      <c r="K7" s="2314"/>
      <c r="L7" s="2313" t="s">
        <v>1770</v>
      </c>
      <c r="M7" s="2314"/>
      <c r="N7" s="2313" t="s">
        <v>1771</v>
      </c>
      <c r="O7" s="2314"/>
      <c r="P7" s="2368" t="s">
        <v>1772</v>
      </c>
      <c r="Q7" s="2369"/>
      <c r="R7" s="2368" t="s">
        <v>1773</v>
      </c>
      <c r="S7" s="2369"/>
      <c r="X7" s="261"/>
    </row>
    <row r="8" spans="1:24">
      <c r="A8" s="1082" t="s">
        <v>712</v>
      </c>
      <c r="B8" s="1198"/>
      <c r="C8" s="415"/>
      <c r="D8" s="416"/>
      <c r="E8" s="417"/>
      <c r="F8" s="418"/>
      <c r="G8" s="829" t="s">
        <v>713</v>
      </c>
      <c r="H8" s="2373" t="s">
        <v>1774</v>
      </c>
      <c r="I8" s="2344"/>
      <c r="J8" s="2343" t="s">
        <v>1775</v>
      </c>
      <c r="K8" s="2344"/>
      <c r="L8" s="2327" t="s">
        <v>1776</v>
      </c>
      <c r="M8" s="2346"/>
      <c r="N8" s="2373" t="s">
        <v>1777</v>
      </c>
      <c r="O8" s="2344"/>
      <c r="P8" s="2343" t="s">
        <v>1778</v>
      </c>
      <c r="Q8" s="2344"/>
      <c r="R8" s="2343" t="s">
        <v>1779</v>
      </c>
      <c r="S8" s="2344"/>
      <c r="X8" s="261"/>
    </row>
    <row r="9" spans="1:24" ht="15.75" thickBot="1">
      <c r="A9" s="420"/>
      <c r="B9" s="421"/>
      <c r="C9" s="23"/>
      <c r="D9" s="265"/>
      <c r="E9" s="266"/>
      <c r="F9" s="283"/>
      <c r="G9" s="284" t="s">
        <v>717</v>
      </c>
      <c r="H9" s="2317">
        <f>I52</f>
        <v>824705</v>
      </c>
      <c r="I9" s="2318"/>
      <c r="J9" s="2317">
        <f>K52</f>
        <v>843992.8</v>
      </c>
      <c r="K9" s="2318"/>
      <c r="L9" s="2374">
        <f>M48</f>
        <v>855845</v>
      </c>
      <c r="M9" s="2375"/>
      <c r="N9" s="2317">
        <f>O48</f>
        <v>861574</v>
      </c>
      <c r="O9" s="2318"/>
      <c r="P9" s="2317">
        <f>Q52</f>
        <v>1321800</v>
      </c>
      <c r="Q9" s="2318"/>
      <c r="R9" s="2330">
        <f>S48</f>
        <v>1371040</v>
      </c>
      <c r="S9" s="2330"/>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1" t="s">
        <v>724</v>
      </c>
      <c r="P10" s="290" t="s">
        <v>723</v>
      </c>
      <c r="Q10" s="290" t="s">
        <v>724</v>
      </c>
      <c r="R10" s="290" t="s">
        <v>723</v>
      </c>
      <c r="S10" s="290" t="s">
        <v>724</v>
      </c>
      <c r="X10" s="268"/>
    </row>
    <row r="11" spans="1:24" ht="15.75">
      <c r="A11" s="1412"/>
      <c r="B11" s="1283" t="s">
        <v>725</v>
      </c>
      <c r="C11" s="1554"/>
      <c r="D11" s="1435"/>
      <c r="E11" s="1435"/>
      <c r="F11" s="1416"/>
      <c r="G11" s="1417"/>
      <c r="H11" s="1286"/>
      <c r="I11" s="285"/>
      <c r="J11" s="1286"/>
      <c r="K11" s="1420"/>
      <c r="L11" s="1286"/>
      <c r="M11" s="1419"/>
      <c r="N11" s="1286"/>
      <c r="O11" s="1419"/>
      <c r="P11" s="1286"/>
      <c r="Q11" s="1419"/>
      <c r="R11" s="1286"/>
      <c r="S11" s="1419"/>
    </row>
    <row r="12" spans="1:24">
      <c r="A12" s="1412"/>
      <c r="B12" s="1263" t="s">
        <v>726</v>
      </c>
      <c r="C12" s="446"/>
      <c r="D12" s="422"/>
      <c r="E12" s="422"/>
      <c r="F12" s="418"/>
      <c r="G12" s="423"/>
      <c r="H12" s="1264" t="s">
        <v>727</v>
      </c>
      <c r="I12" s="1419"/>
      <c r="J12" s="1264" t="s">
        <v>727</v>
      </c>
      <c r="K12" s="1420"/>
      <c r="L12" s="1264" t="s">
        <v>727</v>
      </c>
      <c r="M12" s="1419"/>
      <c r="N12" s="1264" t="s">
        <v>727</v>
      </c>
      <c r="O12" s="1419"/>
      <c r="P12" s="1264" t="s">
        <v>727</v>
      </c>
      <c r="Q12" s="1419"/>
      <c r="R12" s="1264" t="s">
        <v>727</v>
      </c>
      <c r="S12" s="1419"/>
    </row>
    <row r="13" spans="1:24">
      <c r="A13" s="1097"/>
      <c r="B13" s="1263" t="s">
        <v>728</v>
      </c>
      <c r="C13" s="446"/>
      <c r="D13" s="422"/>
      <c r="E13" s="422"/>
      <c r="F13" s="418"/>
      <c r="G13" s="423"/>
      <c r="H13" s="1264" t="s">
        <v>727</v>
      </c>
      <c r="I13" s="1419"/>
      <c r="J13" s="1264" t="s">
        <v>727</v>
      </c>
      <c r="K13" s="1420"/>
      <c r="L13" s="1264" t="s">
        <v>727</v>
      </c>
      <c r="M13" s="1419"/>
      <c r="N13" s="1264" t="s">
        <v>727</v>
      </c>
      <c r="O13" s="1419"/>
      <c r="P13" s="1264" t="s">
        <v>727</v>
      </c>
      <c r="Q13" s="1419"/>
      <c r="R13" s="1264" t="s">
        <v>727</v>
      </c>
      <c r="S13" s="1419"/>
    </row>
    <row r="14" spans="1:24">
      <c r="A14" s="1412"/>
      <c r="B14" s="1265" t="s">
        <v>729</v>
      </c>
      <c r="C14" s="446"/>
      <c r="D14" s="422"/>
      <c r="E14" s="422"/>
      <c r="F14" s="418"/>
      <c r="G14" s="423"/>
      <c r="H14" s="1264" t="s">
        <v>730</v>
      </c>
      <c r="I14" s="1419"/>
      <c r="J14" s="1264" t="s">
        <v>730</v>
      </c>
      <c r="K14" s="1420" t="s">
        <v>1019</v>
      </c>
      <c r="L14" s="1264" t="s">
        <v>730</v>
      </c>
      <c r="M14" s="1419"/>
      <c r="N14" s="1264" t="s">
        <v>730</v>
      </c>
      <c r="O14" s="1419"/>
      <c r="P14" s="1264" t="s">
        <v>730</v>
      </c>
      <c r="Q14" s="1419"/>
      <c r="R14" s="1264" t="s">
        <v>730</v>
      </c>
      <c r="S14" s="1419"/>
    </row>
    <row r="15" spans="1:24">
      <c r="A15" s="1097"/>
      <c r="B15" s="1265" t="s">
        <v>731</v>
      </c>
      <c r="C15" s="446"/>
      <c r="D15" s="422"/>
      <c r="E15" s="422"/>
      <c r="F15" s="418"/>
      <c r="G15" s="423"/>
      <c r="H15" s="1264" t="s">
        <v>727</v>
      </c>
      <c r="I15" s="1420"/>
      <c r="J15" s="1264" t="s">
        <v>727</v>
      </c>
      <c r="K15" s="1420"/>
      <c r="L15" s="1264" t="s">
        <v>727</v>
      </c>
      <c r="M15" s="1420"/>
      <c r="N15" s="1264" t="s">
        <v>727</v>
      </c>
      <c r="O15" s="1420"/>
      <c r="P15" s="1264" t="s">
        <v>727</v>
      </c>
      <c r="Q15" s="1420"/>
      <c r="R15" s="1264" t="s">
        <v>727</v>
      </c>
      <c r="S15" s="1420"/>
    </row>
    <row r="16" spans="1:24">
      <c r="A16" s="1412"/>
      <c r="B16" s="1265" t="s">
        <v>732</v>
      </c>
      <c r="C16" s="446"/>
      <c r="D16" s="422"/>
      <c r="E16" s="422"/>
      <c r="F16" s="418"/>
      <c r="G16" s="423"/>
      <c r="H16" s="1264" t="s">
        <v>727</v>
      </c>
      <c r="I16" s="1419"/>
      <c r="J16" s="1264" t="s">
        <v>727</v>
      </c>
      <c r="K16" s="1420"/>
      <c r="L16" s="1264" t="s">
        <v>727</v>
      </c>
      <c r="M16" s="1419"/>
      <c r="N16" s="1264" t="s">
        <v>727</v>
      </c>
      <c r="O16" s="1419"/>
      <c r="P16" s="1264" t="s">
        <v>727</v>
      </c>
      <c r="Q16" s="1419"/>
      <c r="R16" s="1264" t="s">
        <v>727</v>
      </c>
      <c r="S16" s="1419"/>
    </row>
    <row r="17" spans="1:41">
      <c r="A17" s="1097"/>
      <c r="B17" s="1265" t="s">
        <v>733</v>
      </c>
      <c r="C17" s="446"/>
      <c r="D17" s="422"/>
      <c r="E17" s="422"/>
      <c r="F17" s="418"/>
      <c r="G17" s="423"/>
      <c r="H17" s="1264" t="s">
        <v>727</v>
      </c>
      <c r="I17" s="1419"/>
      <c r="J17" s="1264" t="s">
        <v>727</v>
      </c>
      <c r="K17" s="1420"/>
      <c r="L17" s="1264" t="s">
        <v>727</v>
      </c>
      <c r="M17" s="1419"/>
      <c r="N17" s="1264" t="s">
        <v>727</v>
      </c>
      <c r="O17" s="1419"/>
      <c r="P17" s="1264" t="s">
        <v>727</v>
      </c>
      <c r="Q17" s="1419"/>
      <c r="R17" s="1264" t="s">
        <v>727</v>
      </c>
      <c r="S17" s="1419"/>
    </row>
    <row r="18" spans="1:41">
      <c r="A18" s="1412"/>
      <c r="B18" s="534" t="s">
        <v>734</v>
      </c>
      <c r="C18" s="446"/>
      <c r="D18" s="422"/>
      <c r="E18" s="422"/>
      <c r="F18" s="418"/>
      <c r="G18" s="423"/>
      <c r="H18" s="1264" t="s">
        <v>730</v>
      </c>
      <c r="I18" s="1419" t="s">
        <v>917</v>
      </c>
      <c r="J18" s="1264" t="s">
        <v>730</v>
      </c>
      <c r="K18" s="1419" t="s">
        <v>1780</v>
      </c>
      <c r="L18" s="1264" t="s">
        <v>730</v>
      </c>
      <c r="M18" s="1419"/>
      <c r="N18" s="1264" t="s">
        <v>730</v>
      </c>
      <c r="O18" s="1419"/>
      <c r="P18" s="1264" t="s">
        <v>730</v>
      </c>
      <c r="Q18" s="1419"/>
      <c r="R18" s="1264" t="s">
        <v>730</v>
      </c>
      <c r="S18" s="1419"/>
    </row>
    <row r="19" spans="1:41">
      <c r="A19" s="1412"/>
      <c r="B19" s="1154" t="s">
        <v>736</v>
      </c>
      <c r="C19" s="446"/>
      <c r="D19" s="422"/>
      <c r="E19" s="422"/>
      <c r="F19" s="418"/>
      <c r="G19" s="423"/>
      <c r="H19" s="1264"/>
      <c r="I19" s="1419"/>
      <c r="J19" s="1264"/>
      <c r="K19" s="1420"/>
      <c r="L19" s="1264"/>
      <c r="M19" s="1419"/>
      <c r="N19" s="1264"/>
      <c r="O19" s="1419"/>
      <c r="P19" s="1264"/>
      <c r="Q19" s="1419"/>
      <c r="R19" s="1264"/>
      <c r="S19" s="1419"/>
    </row>
    <row r="20" spans="1:41">
      <c r="A20" s="1097"/>
      <c r="B20" s="1555" t="s">
        <v>737</v>
      </c>
      <c r="C20" s="447"/>
      <c r="D20" s="425"/>
      <c r="E20" s="425"/>
      <c r="F20" s="426"/>
      <c r="G20" s="427"/>
      <c r="H20" s="1156"/>
      <c r="I20" s="1422"/>
      <c r="J20" s="1156"/>
      <c r="K20" s="1423"/>
      <c r="L20" s="1156"/>
      <c r="M20" s="1422"/>
      <c r="N20" s="1156"/>
      <c r="O20" s="1422"/>
      <c r="P20" s="1156"/>
      <c r="Q20" s="1422"/>
      <c r="R20" s="1156"/>
      <c r="S20" s="1422"/>
    </row>
    <row r="21" spans="1:41">
      <c r="A21" s="1412"/>
      <c r="B21" s="1369"/>
      <c r="C21" s="70"/>
      <c r="D21" s="86"/>
      <c r="E21" s="86"/>
      <c r="F21" s="280"/>
      <c r="G21" s="274"/>
      <c r="H21" s="1264"/>
      <c r="I21" s="428"/>
      <c r="J21" s="1264"/>
      <c r="K21" s="428"/>
      <c r="L21" s="1264"/>
      <c r="M21" s="428"/>
      <c r="N21" s="1264"/>
      <c r="O21" s="428"/>
      <c r="P21" s="1264"/>
      <c r="Q21" s="428"/>
      <c r="R21" s="1264"/>
      <c r="S21" s="428"/>
    </row>
    <row r="22" spans="1:41" s="69" customFormat="1">
      <c r="A22" s="1097"/>
      <c r="B22" s="1566" t="s">
        <v>1781</v>
      </c>
      <c r="C22" s="415"/>
      <c r="D22" s="422"/>
      <c r="E22" s="422"/>
      <c r="F22" s="429"/>
      <c r="G22" s="423"/>
      <c r="H22" s="1264" t="s">
        <v>727</v>
      </c>
      <c r="I22" s="1567">
        <v>23046</v>
      </c>
      <c r="J22" s="1264" t="s">
        <v>727</v>
      </c>
      <c r="K22" s="1568"/>
      <c r="L22" s="1264" t="s">
        <v>682</v>
      </c>
      <c r="M22" s="1569">
        <v>769999</v>
      </c>
      <c r="N22" s="1264" t="s">
        <v>727</v>
      </c>
      <c r="O22" s="1567">
        <v>861574</v>
      </c>
      <c r="P22" s="1264" t="s">
        <v>727</v>
      </c>
      <c r="Q22" s="1567">
        <v>1321800</v>
      </c>
      <c r="R22" s="1264" t="s">
        <v>727</v>
      </c>
      <c r="S22" s="1569">
        <v>1371040</v>
      </c>
      <c r="T22"/>
      <c r="U22"/>
      <c r="V22"/>
      <c r="W22"/>
      <c r="X22"/>
      <c r="Y22"/>
      <c r="Z22"/>
      <c r="AA22"/>
      <c r="AB22"/>
      <c r="AC22"/>
      <c r="AD22"/>
      <c r="AE22"/>
      <c r="AF22"/>
      <c r="AG22"/>
      <c r="AH22"/>
      <c r="AI22"/>
      <c r="AJ22"/>
      <c r="AK22"/>
      <c r="AL22"/>
      <c r="AM22"/>
      <c r="AN22"/>
      <c r="AO22"/>
    </row>
    <row r="23" spans="1:41">
      <c r="A23" s="1412"/>
      <c r="B23" s="1570" t="s">
        <v>1782</v>
      </c>
      <c r="C23" s="1548"/>
      <c r="D23" s="1400"/>
      <c r="E23" s="1435"/>
      <c r="F23" s="1401"/>
      <c r="G23" s="1402"/>
      <c r="H23" s="1264" t="s">
        <v>727</v>
      </c>
      <c r="I23" s="1419"/>
      <c r="J23" s="1264" t="s">
        <v>727</v>
      </c>
      <c r="K23" s="1419"/>
      <c r="L23" s="1264" t="s">
        <v>682</v>
      </c>
      <c r="M23" s="1419"/>
      <c r="N23" s="1264" t="s">
        <v>727</v>
      </c>
      <c r="O23" s="1419"/>
      <c r="P23" s="1264" t="s">
        <v>727</v>
      </c>
      <c r="Q23" s="1419"/>
      <c r="R23" s="1264" t="s">
        <v>727</v>
      </c>
      <c r="S23" s="1419"/>
    </row>
    <row r="24" spans="1:41">
      <c r="A24" s="1097"/>
      <c r="B24" s="1570" t="s">
        <v>1783</v>
      </c>
      <c r="C24" s="415"/>
      <c r="D24" s="430"/>
      <c r="E24" s="422"/>
      <c r="F24" s="431"/>
      <c r="G24" s="1402"/>
      <c r="H24" s="1264" t="s">
        <v>727</v>
      </c>
      <c r="I24" s="1419"/>
      <c r="J24" s="1264" t="s">
        <v>727</v>
      </c>
      <c r="K24" s="1419"/>
      <c r="L24" s="1264" t="s">
        <v>682</v>
      </c>
      <c r="M24" s="1419"/>
      <c r="N24" s="1264" t="s">
        <v>727</v>
      </c>
      <c r="O24" s="1419"/>
      <c r="P24" s="1264" t="s">
        <v>727</v>
      </c>
      <c r="Q24" s="1419"/>
      <c r="R24" s="1264" t="s">
        <v>727</v>
      </c>
      <c r="S24" s="1419"/>
    </row>
    <row r="25" spans="1:41">
      <c r="A25" s="1412"/>
      <c r="B25" s="1570" t="s">
        <v>1784</v>
      </c>
      <c r="C25" s="415"/>
      <c r="D25" s="430"/>
      <c r="E25" s="422"/>
      <c r="F25" s="431"/>
      <c r="G25" s="1402"/>
      <c r="H25" s="1264" t="s">
        <v>727</v>
      </c>
      <c r="I25" s="1419"/>
      <c r="J25" s="1264" t="s">
        <v>727</v>
      </c>
      <c r="K25" s="1419"/>
      <c r="L25" s="1264" t="s">
        <v>682</v>
      </c>
      <c r="M25" s="1419"/>
      <c r="N25" s="1264" t="s">
        <v>727</v>
      </c>
      <c r="O25" s="1419"/>
      <c r="P25" s="1264" t="s">
        <v>727</v>
      </c>
      <c r="Q25" s="1419"/>
      <c r="R25" s="1264" t="s">
        <v>727</v>
      </c>
      <c r="S25" s="1419"/>
    </row>
    <row r="26" spans="1:41">
      <c r="A26" s="1097"/>
      <c r="B26" s="1570" t="s">
        <v>1785</v>
      </c>
      <c r="C26" s="415"/>
      <c r="D26" s="430"/>
      <c r="E26" s="422"/>
      <c r="F26" s="431"/>
      <c r="G26" s="1402"/>
      <c r="H26" s="1264" t="s">
        <v>727</v>
      </c>
      <c r="I26" s="1419"/>
      <c r="J26" s="1264" t="s">
        <v>727</v>
      </c>
      <c r="K26" s="1419"/>
      <c r="L26" s="1264" t="s">
        <v>682</v>
      </c>
      <c r="M26" s="1419"/>
      <c r="N26" s="1264" t="s">
        <v>727</v>
      </c>
      <c r="O26" s="1419"/>
      <c r="P26" s="1264" t="s">
        <v>727</v>
      </c>
      <c r="Q26" s="1419"/>
      <c r="R26" s="1264" t="s">
        <v>727</v>
      </c>
      <c r="S26" s="1419"/>
    </row>
    <row r="27" spans="1:41">
      <c r="A27" s="1412"/>
      <c r="B27" s="1570" t="s">
        <v>1786</v>
      </c>
      <c r="C27" s="415"/>
      <c r="D27" s="430"/>
      <c r="E27" s="422"/>
      <c r="F27" s="431"/>
      <c r="G27" s="1402"/>
      <c r="H27" s="1264" t="s">
        <v>727</v>
      </c>
      <c r="I27" s="1419"/>
      <c r="J27" s="1264" t="s">
        <v>727</v>
      </c>
      <c r="K27" s="1419"/>
      <c r="L27" s="1264" t="s">
        <v>682</v>
      </c>
      <c r="M27" s="1419"/>
      <c r="N27" s="1264" t="s">
        <v>727</v>
      </c>
      <c r="O27" s="1419"/>
      <c r="P27" s="1264" t="s">
        <v>727</v>
      </c>
      <c r="Q27" s="1419"/>
      <c r="R27" s="1264" t="s">
        <v>727</v>
      </c>
      <c r="S27" s="1419"/>
    </row>
    <row r="28" spans="1:41">
      <c r="A28" s="1097"/>
      <c r="B28" s="1570" t="s">
        <v>1787</v>
      </c>
      <c r="C28" s="415"/>
      <c r="D28" s="430"/>
      <c r="E28" s="422"/>
      <c r="F28" s="431"/>
      <c r="G28" s="1402"/>
      <c r="H28" s="1264" t="s">
        <v>727</v>
      </c>
      <c r="I28" s="1419"/>
      <c r="J28" s="1264" t="s">
        <v>727</v>
      </c>
      <c r="K28" s="1419"/>
      <c r="L28" s="1264" t="s">
        <v>682</v>
      </c>
      <c r="M28" s="1419"/>
      <c r="N28" s="1264" t="s">
        <v>727</v>
      </c>
      <c r="O28" s="1419"/>
      <c r="P28" s="1264" t="s">
        <v>727</v>
      </c>
      <c r="Q28" s="1419"/>
      <c r="R28" s="1264" t="s">
        <v>727</v>
      </c>
      <c r="S28" s="1419"/>
    </row>
    <row r="29" spans="1:41">
      <c r="A29" s="1412"/>
      <c r="B29" s="1570" t="s">
        <v>1788</v>
      </c>
      <c r="C29" s="415"/>
      <c r="D29" s="430"/>
      <c r="E29" s="422"/>
      <c r="F29" s="431"/>
      <c r="G29" s="1402"/>
      <c r="H29" s="1264" t="s">
        <v>727</v>
      </c>
      <c r="I29" s="1419"/>
      <c r="J29" s="1264" t="s">
        <v>727</v>
      </c>
      <c r="K29" s="1419"/>
      <c r="L29" s="1264" t="s">
        <v>682</v>
      </c>
      <c r="M29" s="1419"/>
      <c r="N29" s="1264" t="s">
        <v>727</v>
      </c>
      <c r="O29" s="1419"/>
      <c r="P29" s="1264" t="s">
        <v>727</v>
      </c>
      <c r="Q29" s="1419"/>
      <c r="R29" s="1264" t="s">
        <v>727</v>
      </c>
      <c r="S29" s="1419"/>
    </row>
    <row r="30" spans="1:41">
      <c r="A30" s="1097"/>
      <c r="B30" s="1571"/>
      <c r="C30" s="415"/>
      <c r="D30" s="430"/>
      <c r="E30" s="422"/>
      <c r="F30" s="431"/>
      <c r="G30" s="1402"/>
      <c r="H30" s="1264"/>
      <c r="I30" s="1419"/>
      <c r="J30" s="1264"/>
      <c r="K30" s="1419"/>
      <c r="L30" s="1264"/>
      <c r="M30" s="1419"/>
      <c r="N30" s="1264"/>
      <c r="O30" s="1419"/>
      <c r="P30" s="1264"/>
      <c r="Q30" s="1419"/>
      <c r="R30" s="1264"/>
      <c r="S30" s="1419"/>
    </row>
    <row r="31" spans="1:41">
      <c r="A31" s="1097"/>
      <c r="B31" s="1572" t="s">
        <v>1789</v>
      </c>
      <c r="C31" s="415"/>
      <c r="D31" s="430"/>
      <c r="E31" s="422"/>
      <c r="F31" s="431"/>
      <c r="G31" s="1402"/>
      <c r="H31" s="1264" t="s">
        <v>727</v>
      </c>
      <c r="I31" s="1573">
        <v>718613</v>
      </c>
      <c r="J31" s="1264" t="s">
        <v>727</v>
      </c>
      <c r="K31" s="1573">
        <v>175000</v>
      </c>
      <c r="L31" s="1264" t="s">
        <v>727</v>
      </c>
      <c r="M31" s="1419"/>
      <c r="N31" s="1264" t="s">
        <v>727</v>
      </c>
      <c r="O31" s="1419"/>
      <c r="P31" s="1264" t="s">
        <v>727</v>
      </c>
      <c r="Q31" s="1419"/>
      <c r="R31" s="1264" t="s">
        <v>727</v>
      </c>
      <c r="S31" s="1419"/>
    </row>
    <row r="32" spans="1:41">
      <c r="A32" s="1412"/>
      <c r="B32" s="1571" t="s">
        <v>1790</v>
      </c>
      <c r="C32" s="23"/>
      <c r="D32" s="430"/>
      <c r="E32" s="422"/>
      <c r="F32" s="431"/>
      <c r="G32" s="1402"/>
      <c r="H32" s="1264" t="s">
        <v>727</v>
      </c>
      <c r="I32" s="1419"/>
      <c r="J32" s="1264" t="s">
        <v>727</v>
      </c>
      <c r="K32" s="1419"/>
      <c r="L32" s="1264" t="s">
        <v>727</v>
      </c>
      <c r="M32" s="1419"/>
      <c r="N32" s="1264" t="s">
        <v>727</v>
      </c>
      <c r="O32" s="1419"/>
      <c r="P32" s="1264" t="s">
        <v>727</v>
      </c>
      <c r="Q32" s="1419"/>
      <c r="R32" s="1264" t="s">
        <v>727</v>
      </c>
      <c r="S32" s="1419"/>
    </row>
    <row r="33" spans="1:19">
      <c r="A33" s="1097"/>
      <c r="B33" s="1571" t="s">
        <v>1791</v>
      </c>
      <c r="C33" s="23"/>
      <c r="D33" s="87"/>
      <c r="E33" s="86"/>
      <c r="F33" s="431"/>
      <c r="G33" s="1402"/>
      <c r="H33" s="1264" t="s">
        <v>727</v>
      </c>
      <c r="I33" s="1419"/>
      <c r="J33" s="1264" t="s">
        <v>727</v>
      </c>
      <c r="K33" s="1574"/>
      <c r="L33" s="1264" t="s">
        <v>727</v>
      </c>
      <c r="M33" s="1419"/>
      <c r="N33" s="1264" t="s">
        <v>727</v>
      </c>
      <c r="O33" s="1419"/>
      <c r="P33" s="1264" t="s">
        <v>727</v>
      </c>
      <c r="Q33" s="1419"/>
      <c r="R33" s="1264" t="s">
        <v>727</v>
      </c>
      <c r="S33" s="1419"/>
    </row>
    <row r="34" spans="1:19">
      <c r="A34" s="1412"/>
      <c r="B34" s="1571" t="s">
        <v>1792</v>
      </c>
      <c r="C34" s="23"/>
      <c r="D34" s="87"/>
      <c r="E34" s="86"/>
      <c r="F34" s="431"/>
      <c r="G34" s="1402"/>
      <c r="H34" s="1264" t="s">
        <v>727</v>
      </c>
      <c r="I34" s="1419"/>
      <c r="J34" s="1264" t="s">
        <v>727</v>
      </c>
      <c r="K34" s="1419"/>
      <c r="L34" s="1264" t="s">
        <v>727</v>
      </c>
      <c r="M34" s="1419"/>
      <c r="N34" s="1264" t="s">
        <v>727</v>
      </c>
      <c r="O34" s="1419"/>
      <c r="P34" s="1264" t="s">
        <v>727</v>
      </c>
      <c r="Q34" s="1419"/>
      <c r="R34" s="1264" t="s">
        <v>727</v>
      </c>
      <c r="S34" s="1419"/>
    </row>
    <row r="35" spans="1:19">
      <c r="A35" s="1412"/>
      <c r="B35" s="1571" t="s">
        <v>1793</v>
      </c>
      <c r="C35" s="23"/>
      <c r="D35" s="87"/>
      <c r="E35" s="86"/>
      <c r="F35" s="431"/>
      <c r="G35" s="1402"/>
      <c r="H35" s="1264" t="s">
        <v>727</v>
      </c>
      <c r="I35" s="1419"/>
      <c r="J35" s="1264" t="s">
        <v>727</v>
      </c>
      <c r="K35" s="1573">
        <v>54720</v>
      </c>
      <c r="L35" s="1264" t="s">
        <v>727</v>
      </c>
      <c r="M35" s="1419"/>
      <c r="N35" s="1264" t="s">
        <v>727</v>
      </c>
      <c r="O35" s="1419"/>
      <c r="P35" s="1264" t="s">
        <v>727</v>
      </c>
      <c r="Q35" s="1419"/>
      <c r="R35" s="1264" t="s">
        <v>727</v>
      </c>
      <c r="S35" s="1419"/>
    </row>
    <row r="36" spans="1:19">
      <c r="A36" s="1412"/>
      <c r="B36" s="1571"/>
      <c r="C36" s="23"/>
      <c r="D36" s="87"/>
      <c r="E36" s="86"/>
      <c r="F36" s="431"/>
      <c r="G36" s="1402"/>
      <c r="H36" s="1264"/>
      <c r="I36" s="1419"/>
      <c r="J36" s="1264"/>
      <c r="K36" s="1419"/>
      <c r="L36" s="1264"/>
      <c r="M36" s="1419"/>
      <c r="N36" s="1264"/>
      <c r="O36" s="1419"/>
      <c r="P36" s="1264"/>
      <c r="Q36" s="1419"/>
      <c r="R36" s="1264"/>
      <c r="S36" s="1419"/>
    </row>
    <row r="37" spans="1:19">
      <c r="A37" s="1412"/>
      <c r="B37" s="1572" t="s">
        <v>1794</v>
      </c>
      <c r="C37" s="23"/>
      <c r="D37" s="87"/>
      <c r="E37" s="86"/>
      <c r="F37" s="431"/>
      <c r="G37" s="1402"/>
      <c r="H37" s="1264"/>
      <c r="I37" s="1419"/>
      <c r="J37" s="1264"/>
      <c r="K37" s="1419"/>
      <c r="L37" s="1264"/>
      <c r="M37" s="1419"/>
      <c r="N37" s="1264"/>
      <c r="O37" s="1419"/>
      <c r="P37" s="1264"/>
      <c r="Q37" s="1419"/>
      <c r="R37" s="1264"/>
      <c r="S37" s="1419"/>
    </row>
    <row r="38" spans="1:19">
      <c r="A38" s="1412"/>
      <c r="B38" s="1571" t="s">
        <v>1790</v>
      </c>
      <c r="C38" s="23"/>
      <c r="D38" s="87"/>
      <c r="E38" s="86"/>
      <c r="F38" s="431"/>
      <c r="G38" s="1402"/>
      <c r="H38" s="1264" t="s">
        <v>727</v>
      </c>
      <c r="I38" s="1573">
        <v>45100</v>
      </c>
      <c r="J38" s="1264" t="s">
        <v>727</v>
      </c>
      <c r="K38" s="1573">
        <v>495000</v>
      </c>
      <c r="L38" s="1264" t="s">
        <v>727</v>
      </c>
      <c r="M38" s="1419"/>
      <c r="N38" s="1264" t="s">
        <v>727</v>
      </c>
      <c r="O38" s="1419"/>
      <c r="P38" s="1264" t="s">
        <v>727</v>
      </c>
      <c r="Q38" s="1419"/>
      <c r="R38" s="1264" t="s">
        <v>727</v>
      </c>
      <c r="S38" s="1419"/>
    </row>
    <row r="39" spans="1:19">
      <c r="A39" s="1412"/>
      <c r="B39" s="1571" t="s">
        <v>1795</v>
      </c>
      <c r="C39" s="23"/>
      <c r="D39" s="87"/>
      <c r="E39" s="86"/>
      <c r="F39" s="431"/>
      <c r="G39" s="1402"/>
      <c r="H39" s="1264" t="s">
        <v>727</v>
      </c>
      <c r="I39" s="1419"/>
      <c r="J39" s="1264" t="s">
        <v>727</v>
      </c>
      <c r="K39" s="1419"/>
      <c r="L39" s="1264" t="s">
        <v>727</v>
      </c>
      <c r="M39" s="1419"/>
      <c r="N39" s="1264" t="s">
        <v>727</v>
      </c>
      <c r="O39" s="1419"/>
      <c r="P39" s="1264" t="s">
        <v>727</v>
      </c>
      <c r="Q39" s="1419"/>
      <c r="R39" s="1264" t="s">
        <v>727</v>
      </c>
      <c r="S39" s="1419"/>
    </row>
    <row r="40" spans="1:19">
      <c r="A40" s="1412"/>
      <c r="B40" s="1571" t="s">
        <v>1796</v>
      </c>
      <c r="C40" s="23"/>
      <c r="D40" s="87"/>
      <c r="E40" s="86"/>
      <c r="F40" s="431"/>
      <c r="G40" s="1402"/>
      <c r="H40" s="1264" t="s">
        <v>727</v>
      </c>
      <c r="I40" s="1419"/>
      <c r="J40" s="1264" t="s">
        <v>727</v>
      </c>
      <c r="K40" s="1419"/>
      <c r="L40" s="1264" t="s">
        <v>727</v>
      </c>
      <c r="M40" s="1419"/>
      <c r="N40" s="1264" t="s">
        <v>727</v>
      </c>
      <c r="O40" s="1419"/>
      <c r="P40" s="1264" t="s">
        <v>727</v>
      </c>
      <c r="Q40" s="1419"/>
      <c r="R40" s="1264" t="s">
        <v>727</v>
      </c>
      <c r="S40" s="1419"/>
    </row>
    <row r="41" spans="1:19">
      <c r="A41" s="1412"/>
      <c r="B41" s="1571"/>
      <c r="C41" s="23"/>
      <c r="D41" s="87"/>
      <c r="E41" s="86"/>
      <c r="F41" s="431"/>
      <c r="G41" s="1402"/>
      <c r="H41" s="1264"/>
      <c r="I41" s="1419"/>
      <c r="J41" s="1264"/>
      <c r="K41" s="1419"/>
      <c r="L41" s="1264"/>
      <c r="M41" s="1419"/>
      <c r="N41" s="1264"/>
      <c r="O41" s="1419"/>
      <c r="P41" s="1264"/>
      <c r="Q41" s="1419"/>
      <c r="R41" s="1264"/>
      <c r="S41" s="1419"/>
    </row>
    <row r="42" spans="1:19">
      <c r="A42" s="1412"/>
      <c r="B42" s="1575" t="s">
        <v>1797</v>
      </c>
      <c r="C42" s="23"/>
      <c r="D42" s="87"/>
      <c r="E42" s="86"/>
      <c r="F42" s="431"/>
      <c r="G42" s="1402"/>
      <c r="H42" s="1264"/>
      <c r="I42" s="1419"/>
      <c r="J42" s="1264"/>
      <c r="K42" s="1419"/>
      <c r="L42" s="1264"/>
      <c r="M42" s="1419"/>
      <c r="N42" s="1264"/>
      <c r="O42" s="1419"/>
      <c r="P42" s="1264"/>
      <c r="Q42" s="1419"/>
      <c r="R42" s="1264"/>
      <c r="S42" s="1419"/>
    </row>
    <row r="43" spans="1:19">
      <c r="A43" s="1412"/>
      <c r="B43" s="1576" t="s">
        <v>1798</v>
      </c>
      <c r="C43" s="23"/>
      <c r="D43" s="87"/>
      <c r="E43" s="86"/>
      <c r="F43" s="431"/>
      <c r="G43" s="1402"/>
      <c r="H43" s="1264" t="s">
        <v>727</v>
      </c>
      <c r="I43" s="1573">
        <v>4500</v>
      </c>
      <c r="J43" s="1264" t="s">
        <v>727</v>
      </c>
      <c r="K43" s="1573">
        <f>52400+44400</f>
        <v>96800</v>
      </c>
      <c r="L43" s="1577" t="s">
        <v>682</v>
      </c>
      <c r="M43" s="1573">
        <v>52400</v>
      </c>
      <c r="N43" s="1264" t="s">
        <v>682</v>
      </c>
      <c r="O43" s="1419"/>
      <c r="P43" s="1264" t="s">
        <v>727</v>
      </c>
      <c r="Q43" s="1419"/>
      <c r="R43" s="1264" t="s">
        <v>727</v>
      </c>
      <c r="S43" s="1419"/>
    </row>
    <row r="44" spans="1:19">
      <c r="A44" s="1412"/>
      <c r="B44" s="1578" t="s">
        <v>1799</v>
      </c>
      <c r="C44" s="23"/>
      <c r="D44" s="87"/>
      <c r="E44" s="86"/>
      <c r="F44" s="431"/>
      <c r="G44" s="1402"/>
      <c r="H44" s="1577" t="s">
        <v>727</v>
      </c>
      <c r="I44" s="1573">
        <v>33446</v>
      </c>
      <c r="J44" s="1264" t="s">
        <v>727</v>
      </c>
      <c r="K44" s="1573">
        <v>10000</v>
      </c>
      <c r="L44" s="1273" t="s">
        <v>1035</v>
      </c>
      <c r="M44" s="1579">
        <v>33446</v>
      </c>
      <c r="N44" s="1264" t="s">
        <v>682</v>
      </c>
      <c r="O44" s="1419"/>
      <c r="P44" s="1264" t="s">
        <v>727</v>
      </c>
      <c r="Q44" s="1419"/>
      <c r="R44" s="1264" t="s">
        <v>727</v>
      </c>
      <c r="S44" s="1419"/>
    </row>
    <row r="45" spans="1:19">
      <c r="A45" s="1412"/>
      <c r="B45" s="1163"/>
      <c r="C45" s="23"/>
      <c r="D45" s="87"/>
      <c r="E45" s="86"/>
      <c r="F45" s="431"/>
      <c r="G45" s="1402"/>
      <c r="H45" s="1264"/>
      <c r="I45" s="1419"/>
      <c r="J45" s="1264"/>
      <c r="K45" s="1419"/>
      <c r="L45" s="1264"/>
      <c r="M45" s="1419"/>
      <c r="N45" s="1264"/>
      <c r="O45" s="1419"/>
      <c r="P45" s="1264"/>
      <c r="Q45" s="1419"/>
      <c r="R45" s="1264"/>
      <c r="S45" s="1419"/>
    </row>
    <row r="46" spans="1:19">
      <c r="A46" s="1412"/>
      <c r="B46" s="1575"/>
      <c r="C46" s="23"/>
      <c r="D46" s="87"/>
      <c r="E46" s="86"/>
      <c r="F46" s="431"/>
      <c r="G46" s="830"/>
      <c r="H46" s="1264"/>
      <c r="I46" s="1419"/>
      <c r="J46" s="1264"/>
      <c r="K46" s="1419"/>
      <c r="L46" s="1264"/>
      <c r="M46" s="1419"/>
      <c r="N46" s="1264"/>
      <c r="O46" s="1419"/>
      <c r="P46" s="1264"/>
      <c r="Q46" s="1419"/>
      <c r="R46" s="1264"/>
      <c r="S46" s="1419"/>
    </row>
    <row r="47" spans="1:19" ht="15.75" thickBot="1">
      <c r="A47" s="1412"/>
      <c r="B47" s="1163"/>
      <c r="C47" s="23"/>
      <c r="D47" s="87"/>
      <c r="E47" s="86"/>
      <c r="F47" s="431"/>
      <c r="G47" s="830"/>
      <c r="H47" s="1264"/>
      <c r="I47" s="1419"/>
      <c r="J47" s="1264"/>
      <c r="K47" s="1419"/>
      <c r="L47" s="1264"/>
      <c r="M47" s="1419"/>
      <c r="N47" s="1264"/>
      <c r="O47" s="1419"/>
      <c r="P47" s="1264"/>
      <c r="Q47" s="1419"/>
      <c r="R47" s="1264"/>
      <c r="S47" s="1419"/>
    </row>
    <row r="48" spans="1:19" ht="15.75" thickTop="1">
      <c r="A48" s="296"/>
      <c r="B48" s="301"/>
      <c r="C48" s="297"/>
      <c r="D48" s="15"/>
      <c r="E48" s="16"/>
      <c r="F48" s="282" t="s">
        <v>753</v>
      </c>
      <c r="G48" s="272"/>
      <c r="H48" s="273"/>
      <c r="I48" s="273">
        <f>SUM(I12:I47)</f>
        <v>824705</v>
      </c>
      <c r="J48" s="273"/>
      <c r="K48" s="273">
        <f>SUM(K12:K47)</f>
        <v>831520</v>
      </c>
      <c r="L48" s="273"/>
      <c r="M48" s="273">
        <f>SUM(M12:M47)</f>
        <v>855845</v>
      </c>
      <c r="N48" s="273"/>
      <c r="O48" s="273">
        <f>SUM(O12:O47)</f>
        <v>861574</v>
      </c>
      <c r="P48" s="273"/>
      <c r="Q48" s="273">
        <f>SUM(Q12:Q47)</f>
        <v>1321800</v>
      </c>
      <c r="R48" s="273"/>
      <c r="S48" s="273">
        <f>SUM(S12:S47)</f>
        <v>1371040</v>
      </c>
    </row>
    <row r="49" spans="1:34">
      <c r="A49" s="1114"/>
      <c r="B49" s="1164"/>
      <c r="C49" s="432"/>
      <c r="D49" s="433"/>
      <c r="E49" s="434"/>
      <c r="F49" s="435" t="s">
        <v>754</v>
      </c>
      <c r="G49" s="436"/>
      <c r="H49" s="1165">
        <v>0</v>
      </c>
      <c r="I49" s="1166"/>
      <c r="J49" s="1395">
        <v>1.4999999999999999E-2</v>
      </c>
      <c r="K49" s="1166"/>
      <c r="L49" s="1165">
        <v>0</v>
      </c>
      <c r="M49" s="1166"/>
      <c r="N49" s="1165">
        <v>0</v>
      </c>
      <c r="O49" s="1166"/>
      <c r="P49" s="1165">
        <v>0</v>
      </c>
      <c r="Q49" s="1166"/>
      <c r="R49" s="1165">
        <v>0</v>
      </c>
      <c r="S49" s="1166"/>
    </row>
    <row r="50" spans="1:34">
      <c r="A50" s="1114"/>
      <c r="B50" s="1164"/>
      <c r="C50" s="432"/>
      <c r="D50" s="433"/>
      <c r="E50" s="434"/>
      <c r="F50" s="435" t="s">
        <v>755</v>
      </c>
      <c r="G50" s="436"/>
      <c r="H50" s="1166"/>
      <c r="I50" s="1166">
        <f>I48*H49</f>
        <v>0</v>
      </c>
      <c r="J50" s="1166"/>
      <c r="K50" s="1166">
        <f>K48*J49</f>
        <v>12472.8</v>
      </c>
      <c r="L50" s="1166"/>
      <c r="M50" s="1166">
        <f>M48*L49</f>
        <v>0</v>
      </c>
      <c r="N50" s="1166"/>
      <c r="O50" s="1166">
        <f>O48*N49</f>
        <v>0</v>
      </c>
      <c r="P50" s="1166"/>
      <c r="Q50" s="1166">
        <f>Q48*P49</f>
        <v>0</v>
      </c>
      <c r="R50" s="1166"/>
      <c r="S50" s="1166">
        <f>S48*R49</f>
        <v>0</v>
      </c>
    </row>
    <row r="51" spans="1:34">
      <c r="A51" s="1114"/>
      <c r="B51" s="1164"/>
      <c r="C51" s="432"/>
      <c r="D51" s="433"/>
      <c r="E51" s="434"/>
      <c r="F51" s="435"/>
      <c r="G51" s="436"/>
      <c r="H51" s="1166"/>
      <c r="I51" s="1166"/>
      <c r="J51" s="1166"/>
      <c r="K51" s="1166"/>
      <c r="L51" s="1166"/>
      <c r="M51" s="1166"/>
      <c r="N51" s="1166"/>
      <c r="O51" s="1166"/>
      <c r="P51" s="1166"/>
      <c r="Q51" s="1166"/>
      <c r="R51" s="1166"/>
      <c r="S51" s="1166"/>
    </row>
    <row r="52" spans="1:34">
      <c r="A52" s="1114"/>
      <c r="B52" s="1164"/>
      <c r="C52" s="432"/>
      <c r="D52" s="433"/>
      <c r="E52" s="434"/>
      <c r="F52" s="435" t="s">
        <v>756</v>
      </c>
      <c r="G52" s="436"/>
      <c r="H52" s="1166"/>
      <c r="I52" s="1166">
        <f>SUM(I48:I50)</f>
        <v>824705</v>
      </c>
      <c r="J52" s="1166"/>
      <c r="K52" s="1166">
        <f>SUM(K48:K50)</f>
        <v>843992.8</v>
      </c>
      <c r="L52" s="1166"/>
      <c r="M52" s="1166">
        <f>SUM(M48:M50)</f>
        <v>855845</v>
      </c>
      <c r="N52" s="1166"/>
      <c r="O52" s="1166">
        <f>SUM(O48:O50)</f>
        <v>861574</v>
      </c>
      <c r="P52" s="1166"/>
      <c r="Q52" s="1166">
        <f>SUM(Q48:Q50)</f>
        <v>1321800</v>
      </c>
      <c r="R52" s="1166"/>
      <c r="S52" s="1166">
        <f>SUM(S48:S50)</f>
        <v>1371040</v>
      </c>
    </row>
    <row r="53" spans="1:34">
      <c r="A53" s="1114"/>
      <c r="B53" s="1164"/>
      <c r="C53" s="432"/>
      <c r="D53" s="433"/>
      <c r="E53" s="434"/>
      <c r="F53" s="437" t="s">
        <v>757</v>
      </c>
      <c r="G53" s="438"/>
      <c r="H53" s="1167"/>
      <c r="I53" s="1167">
        <f>I52/'Area Calculations'!$G$4</f>
        <v>1.4251904821977559</v>
      </c>
      <c r="J53" s="1167"/>
      <c r="K53" s="1167">
        <f>K52/'Area Calculations'!$G$4</f>
        <v>1.4585221450135917</v>
      </c>
      <c r="L53" s="1167"/>
      <c r="M53" s="1167">
        <f>M52/'Area Calculations'!$G$4</f>
        <v>1.4790041872385136</v>
      </c>
      <c r="N53" s="1167"/>
      <c r="O53" s="1167">
        <f>O52/'Area Calculations'!$G$4</f>
        <v>1.4889045955936357</v>
      </c>
      <c r="P53" s="1167"/>
      <c r="Q53" s="1167">
        <f>Q52/'Area Calculations'!$G$4</f>
        <v>2.2842310636760947</v>
      </c>
      <c r="R53" s="1167"/>
      <c r="S53" s="1167">
        <f>S52/'Area Calculations'!$G$4</f>
        <v>2.3693237687565993</v>
      </c>
    </row>
    <row r="54" spans="1:34">
      <c r="A54" s="1114"/>
      <c r="B54" s="1164"/>
      <c r="C54" s="432"/>
      <c r="D54" s="433"/>
      <c r="E54" s="434"/>
      <c r="F54" s="437" t="s">
        <v>758</v>
      </c>
      <c r="G54" s="438"/>
      <c r="H54" s="1167"/>
      <c r="I54" s="1167">
        <f>I52/'Area Calculations'!$G$9</f>
        <v>7707.5233644859809</v>
      </c>
      <c r="J54" s="1167"/>
      <c r="K54" s="1167">
        <f>K52/'Area Calculations'!$G$9</f>
        <v>7887.7831775700943</v>
      </c>
      <c r="L54" s="1167"/>
      <c r="M54" s="1167">
        <f>M52/'Area Calculations'!$G$9</f>
        <v>7998.5514018691592</v>
      </c>
      <c r="N54" s="1167"/>
      <c r="O54" s="1167">
        <f>O52/'Area Calculations'!$G$9</f>
        <v>8052.0934579439254</v>
      </c>
      <c r="P54" s="1167"/>
      <c r="Q54" s="1167">
        <f>Q52/'Area Calculations'!$G$9</f>
        <v>12353.271028037383</v>
      </c>
      <c r="R54" s="1167"/>
      <c r="S54" s="1167">
        <f>S52/'Area Calculations'!$G$9</f>
        <v>12813.457943925234</v>
      </c>
    </row>
    <row r="55" spans="1:34" ht="15.75" thickBot="1">
      <c r="A55" s="1114"/>
      <c r="B55" s="1164"/>
      <c r="C55" s="432"/>
      <c r="D55" s="433"/>
      <c r="E55" s="434"/>
      <c r="F55" s="439"/>
      <c r="G55" s="436"/>
      <c r="H55" s="1168"/>
      <c r="I55" s="1168"/>
      <c r="J55" s="1168"/>
      <c r="K55" s="1168"/>
      <c r="L55" s="1168"/>
      <c r="M55" s="1168"/>
      <c r="N55" s="1168"/>
      <c r="O55" s="1168"/>
      <c r="P55" s="1168"/>
      <c r="Q55" s="1168"/>
      <c r="R55" s="1168"/>
      <c r="S55" s="1168"/>
    </row>
    <row r="56" spans="1:34" ht="16.5" thickTop="1" thickBot="1">
      <c r="A56" s="2331" t="s">
        <v>759</v>
      </c>
      <c r="B56" s="2332"/>
      <c r="C56" s="298"/>
      <c r="D56" s="12"/>
      <c r="E56" s="12"/>
      <c r="F56" s="12"/>
      <c r="G56" s="26"/>
      <c r="H56" s="20"/>
      <c r="I56" s="20"/>
      <c r="J56" s="24"/>
      <c r="K56" s="20"/>
      <c r="L56" s="20"/>
      <c r="M56" s="20"/>
      <c r="N56" s="20"/>
      <c r="O56" s="20"/>
      <c r="P56" s="20"/>
      <c r="Q56" s="20"/>
      <c r="R56" s="20"/>
      <c r="S56" s="20"/>
    </row>
    <row r="57" spans="1:34" ht="15.75" thickTop="1">
      <c r="A57" s="1580"/>
      <c r="B57" s="1105"/>
      <c r="C57" s="1548"/>
      <c r="D57" s="1435"/>
      <c r="E57" s="1435"/>
      <c r="F57" s="1435"/>
      <c r="G57" s="1581"/>
      <c r="H57" s="1582"/>
      <c r="I57" s="1582"/>
      <c r="J57" s="1583"/>
      <c r="K57" s="1582"/>
      <c r="L57" s="1582"/>
      <c r="M57" s="1582"/>
      <c r="N57" s="1582"/>
      <c r="O57" s="1582"/>
      <c r="P57" s="1582"/>
      <c r="Q57" s="1582"/>
      <c r="R57" s="1582"/>
      <c r="S57" s="1582"/>
    </row>
    <row r="58" spans="1:34">
      <c r="A58" s="1580"/>
      <c r="B58" s="1105"/>
      <c r="C58" s="1548"/>
      <c r="D58" s="1435"/>
      <c r="E58" s="1435"/>
      <c r="F58" s="1435"/>
      <c r="G58" s="1581"/>
      <c r="H58" s="1582"/>
      <c r="I58" s="1582"/>
      <c r="J58" s="1583"/>
      <c r="K58" s="1582"/>
      <c r="L58" s="1582"/>
      <c r="M58" s="1582"/>
      <c r="N58" s="1582"/>
      <c r="O58" s="1582"/>
      <c r="P58" s="1582"/>
      <c r="Q58" s="1582"/>
      <c r="R58" s="1582"/>
      <c r="S58" s="1582"/>
    </row>
    <row r="59" spans="1:34" ht="15.75" thickBot="1">
      <c r="A59" s="1580"/>
      <c r="B59" s="1105"/>
      <c r="C59" s="1548"/>
      <c r="D59" s="1435"/>
      <c r="E59" s="1435"/>
      <c r="F59" s="1435"/>
      <c r="G59" s="1581"/>
      <c r="H59" s="1582"/>
      <c r="I59" s="1582"/>
      <c r="J59" s="1583"/>
      <c r="K59" s="1582"/>
      <c r="L59" s="1582"/>
      <c r="M59" s="1582"/>
      <c r="N59" s="1582"/>
      <c r="O59" s="1582"/>
      <c r="P59" s="1582"/>
      <c r="Q59" s="1582"/>
      <c r="R59" s="1582"/>
      <c r="S59" s="1582"/>
    </row>
    <row r="60" spans="1:34" s="2" customFormat="1" ht="16.5" thickTop="1" thickBot="1">
      <c r="A60" s="2331" t="s">
        <v>760</v>
      </c>
      <c r="B60" s="2332"/>
      <c r="C60" s="298"/>
      <c r="D60" s="12"/>
      <c r="E60" s="12"/>
      <c r="F60" s="12"/>
      <c r="G60" s="26"/>
      <c r="H60" s="20"/>
      <c r="I60" s="20"/>
      <c r="J60" s="24"/>
      <c r="K60" s="20"/>
      <c r="L60" s="20"/>
      <c r="M60" s="20"/>
      <c r="N60" s="20"/>
      <c r="O60" s="20"/>
      <c r="P60" s="20"/>
      <c r="Q60" s="20"/>
      <c r="R60" s="20"/>
      <c r="S60" s="20"/>
      <c r="T60"/>
      <c r="U60"/>
      <c r="V60"/>
      <c r="W60"/>
      <c r="X60"/>
      <c r="Y60"/>
      <c r="Z60"/>
      <c r="AA60"/>
      <c r="AB60"/>
      <c r="AC60"/>
      <c r="AD60"/>
      <c r="AE60"/>
      <c r="AF60"/>
      <c r="AG60"/>
      <c r="AH60"/>
    </row>
    <row r="61" spans="1:34" s="2" customFormat="1" ht="15.75" thickTop="1">
      <c r="A61" s="1580"/>
      <c r="B61" s="1105"/>
      <c r="C61" s="1548"/>
      <c r="D61" s="1435"/>
      <c r="E61" s="1435"/>
      <c r="F61" s="1435"/>
      <c r="G61" s="1581"/>
      <c r="H61" s="1582"/>
      <c r="I61" s="1582"/>
      <c r="J61" s="1583"/>
      <c r="K61" s="1582"/>
      <c r="L61" s="1582"/>
      <c r="M61" s="1582"/>
      <c r="N61" s="1582"/>
      <c r="O61" s="1582"/>
      <c r="P61" s="1582"/>
      <c r="Q61" s="1582"/>
      <c r="R61" s="1582"/>
      <c r="S61" s="1582"/>
      <c r="T61"/>
      <c r="U61"/>
      <c r="V61"/>
      <c r="W61"/>
      <c r="X61"/>
      <c r="Y61"/>
      <c r="Z61"/>
      <c r="AA61"/>
      <c r="AB61"/>
      <c r="AC61"/>
      <c r="AD61"/>
      <c r="AE61"/>
      <c r="AF61"/>
      <c r="AG61"/>
      <c r="AH61"/>
    </row>
    <row r="62" spans="1:34" s="2" customFormat="1">
      <c r="A62" s="1580"/>
      <c r="B62" s="1105"/>
      <c r="C62" s="1548"/>
      <c r="D62" s="1435"/>
      <c r="E62" s="1435"/>
      <c r="F62" s="1435"/>
      <c r="G62" s="1581"/>
      <c r="H62" s="1582"/>
      <c r="I62" s="1582"/>
      <c r="J62" s="1583"/>
      <c r="K62" s="1582"/>
      <c r="L62" s="1582"/>
      <c r="M62" s="1582"/>
      <c r="N62" s="1582"/>
      <c r="O62" s="1582"/>
      <c r="P62" s="1582"/>
      <c r="Q62" s="1582"/>
      <c r="R62" s="1582"/>
      <c r="S62" s="1582"/>
      <c r="T62"/>
      <c r="U62"/>
      <c r="V62"/>
      <c r="W62"/>
      <c r="X62"/>
      <c r="Y62"/>
      <c r="Z62"/>
      <c r="AA62"/>
      <c r="AB62"/>
      <c r="AC62"/>
      <c r="AD62"/>
      <c r="AE62"/>
      <c r="AF62"/>
      <c r="AG62"/>
      <c r="AH62"/>
    </row>
    <row r="63" spans="1:34" ht="15.75" thickBot="1">
      <c r="A63" s="1580"/>
      <c r="B63" s="1105"/>
      <c r="C63" s="1548"/>
      <c r="D63" s="1435"/>
      <c r="E63" s="1435"/>
      <c r="F63" s="1435"/>
      <c r="G63" s="1581"/>
      <c r="H63" s="1582"/>
      <c r="I63" s="1582"/>
      <c r="J63" s="1583"/>
      <c r="K63" s="1582"/>
      <c r="L63" s="1582"/>
      <c r="M63" s="1582"/>
      <c r="N63" s="1582"/>
      <c r="O63" s="1582"/>
      <c r="P63" s="1582"/>
      <c r="Q63" s="1582"/>
      <c r="R63" s="1582"/>
      <c r="S63" s="1582"/>
    </row>
    <row r="64" spans="1:34" s="2" customFormat="1" ht="16.5" thickTop="1" thickBot="1">
      <c r="A64" s="2331" t="s">
        <v>761</v>
      </c>
      <c r="B64" s="2332"/>
      <c r="C64" s="298"/>
      <c r="D64" s="12"/>
      <c r="E64" s="12"/>
      <c r="F64" s="12"/>
      <c r="G64" s="26"/>
      <c r="H64" s="20"/>
      <c r="I64" s="20"/>
      <c r="J64" s="24"/>
      <c r="K64" s="20"/>
      <c r="L64" s="20"/>
      <c r="M64" s="20"/>
      <c r="N64" s="20"/>
      <c r="O64" s="20"/>
      <c r="P64" s="20"/>
      <c r="Q64" s="20"/>
      <c r="R64" s="20"/>
      <c r="S64" s="20"/>
      <c r="T64"/>
      <c r="U64"/>
      <c r="V64"/>
      <c r="W64"/>
      <c r="X64"/>
      <c r="Y64"/>
      <c r="Z64"/>
      <c r="AA64"/>
      <c r="AB64"/>
      <c r="AC64"/>
      <c r="AD64"/>
      <c r="AE64"/>
      <c r="AF64"/>
      <c r="AG64"/>
      <c r="AH64"/>
    </row>
    <row r="65" spans="1:34" s="2" customFormat="1" ht="15.75" thickTop="1">
      <c r="A65" s="1580"/>
      <c r="B65" s="1105" t="s">
        <v>1800</v>
      </c>
      <c r="C65" s="1548"/>
      <c r="D65" s="1435"/>
      <c r="E65" s="1435"/>
      <c r="F65" s="1435"/>
      <c r="G65" s="1584">
        <v>303578</v>
      </c>
      <c r="H65" s="1582"/>
      <c r="I65" s="1582"/>
      <c r="J65" s="1583"/>
      <c r="K65" s="1582"/>
      <c r="L65" s="1582"/>
      <c r="M65" s="1582"/>
      <c r="N65" s="1582"/>
      <c r="O65" s="1582">
        <v>252216</v>
      </c>
      <c r="P65" s="1582"/>
      <c r="Q65" s="1582"/>
      <c r="R65" s="1582"/>
      <c r="S65" s="1582">
        <v>57660</v>
      </c>
      <c r="T65"/>
      <c r="U65"/>
      <c r="V65"/>
      <c r="W65"/>
      <c r="X65"/>
      <c r="Y65"/>
      <c r="Z65"/>
      <c r="AA65"/>
      <c r="AB65"/>
      <c r="AC65"/>
      <c r="AD65"/>
      <c r="AE65"/>
      <c r="AF65"/>
      <c r="AG65"/>
      <c r="AH65"/>
    </row>
    <row r="66" spans="1:34" s="2" customFormat="1" ht="30">
      <c r="A66" s="1124"/>
      <c r="B66" s="1105" t="s">
        <v>1116</v>
      </c>
      <c r="C66" s="415"/>
      <c r="D66" s="422"/>
      <c r="E66" s="422"/>
      <c r="F66" s="422"/>
      <c r="G66" s="831"/>
      <c r="H66" s="1173"/>
      <c r="I66" s="1173"/>
      <c r="J66" s="1264" t="s">
        <v>727</v>
      </c>
      <c r="K66" s="1173">
        <v>-42400</v>
      </c>
      <c r="L66" s="1173"/>
      <c r="M66" s="1173">
        <v>25995</v>
      </c>
      <c r="N66" s="1173"/>
      <c r="O66" s="1173">
        <v>29807</v>
      </c>
      <c r="P66" s="1173"/>
      <c r="Q66" s="1173"/>
      <c r="R66" s="1173"/>
      <c r="S66" s="1173"/>
      <c r="T66"/>
      <c r="U66"/>
      <c r="V66"/>
      <c r="W66"/>
      <c r="X66"/>
      <c r="Y66"/>
      <c r="Z66"/>
      <c r="AA66"/>
      <c r="AB66"/>
      <c r="AC66"/>
      <c r="AD66"/>
      <c r="AE66"/>
      <c r="AF66"/>
      <c r="AG66"/>
      <c r="AH66"/>
    </row>
    <row r="67" spans="1:34" s="2" customFormat="1">
      <c r="A67" s="1126"/>
      <c r="B67" s="1174" t="s">
        <v>1801</v>
      </c>
      <c r="C67" s="415"/>
      <c r="D67" s="422"/>
      <c r="E67" s="422"/>
      <c r="F67" s="422"/>
      <c r="G67" s="831"/>
      <c r="H67" s="1175"/>
      <c r="I67" s="1175">
        <v>149488</v>
      </c>
      <c r="J67" s="441"/>
      <c r="K67" s="1175"/>
      <c r="L67" s="1175"/>
      <c r="M67" s="1175">
        <v>38975</v>
      </c>
      <c r="N67" s="1175"/>
      <c r="O67" s="1175">
        <v>19503</v>
      </c>
      <c r="P67" s="1175"/>
      <c r="Q67" s="1175"/>
      <c r="R67" s="1175"/>
      <c r="S67" s="1175">
        <v>16504</v>
      </c>
    </row>
    <row r="68" spans="1:34" s="2" customFormat="1">
      <c r="A68" s="728"/>
      <c r="B68" s="729" t="s">
        <v>1802</v>
      </c>
      <c r="C68" s="730"/>
      <c r="D68" s="29"/>
      <c r="E68" s="29"/>
      <c r="F68" s="29"/>
      <c r="G68" s="731"/>
      <c r="H68" s="733"/>
      <c r="I68" s="733"/>
      <c r="J68" s="732"/>
      <c r="K68" s="733">
        <v>620000</v>
      </c>
      <c r="L68" s="733"/>
      <c r="M68" s="733"/>
      <c r="N68" s="733"/>
      <c r="O68" s="733"/>
      <c r="P68" s="733"/>
      <c r="Q68" s="733"/>
      <c r="R68" s="733"/>
      <c r="S68" s="733"/>
    </row>
    <row r="69" spans="1:34" s="2" customFormat="1" ht="15.75" thickBot="1">
      <c r="A69" s="728"/>
      <c r="B69" s="729" t="s">
        <v>1803</v>
      </c>
      <c r="C69" s="730"/>
      <c r="D69" s="29"/>
      <c r="E69" s="29"/>
      <c r="F69" s="29"/>
      <c r="G69" s="731"/>
      <c r="H69" s="733"/>
      <c r="I69" s="733"/>
      <c r="J69" s="732"/>
      <c r="K69" s="733">
        <v>315000</v>
      </c>
      <c r="L69" s="733"/>
      <c r="M69" s="733"/>
      <c r="N69" s="733"/>
      <c r="O69" s="733"/>
      <c r="P69" s="733"/>
      <c r="Q69" s="733"/>
      <c r="R69" s="733"/>
      <c r="S69" s="733"/>
    </row>
    <row r="70" spans="1:34" s="2" customFormat="1" ht="16.5" thickTop="1" thickBot="1">
      <c r="A70" s="2331" t="s">
        <v>762</v>
      </c>
      <c r="B70" s="2332"/>
      <c r="C70" s="298"/>
      <c r="D70" s="12"/>
      <c r="E70" s="12"/>
      <c r="F70" s="12"/>
      <c r="G70" s="26"/>
      <c r="H70" s="20"/>
      <c r="I70" s="20"/>
      <c r="J70" s="24"/>
      <c r="K70" s="20"/>
      <c r="L70" s="20"/>
      <c r="M70" s="20"/>
      <c r="N70" s="20"/>
      <c r="O70" s="20"/>
      <c r="P70" s="20"/>
      <c r="Q70" s="20"/>
      <c r="R70" s="20"/>
      <c r="S70" s="20"/>
      <c r="T70"/>
      <c r="U70"/>
      <c r="V70"/>
      <c r="W70"/>
      <c r="X70"/>
      <c r="Y70"/>
      <c r="Z70"/>
      <c r="AA70"/>
      <c r="AB70"/>
      <c r="AC70"/>
      <c r="AD70"/>
      <c r="AE70"/>
      <c r="AF70"/>
      <c r="AG70"/>
      <c r="AH70"/>
    </row>
    <row r="71" spans="1:34" ht="15.75" thickTop="1">
      <c r="A71" s="1585"/>
      <c r="B71" s="1586"/>
      <c r="C71" s="1548"/>
      <c r="D71" s="1435"/>
      <c r="E71" s="1435"/>
      <c r="F71" s="1435"/>
      <c r="G71" s="1581"/>
      <c r="H71" s="1582"/>
      <c r="I71" s="1582"/>
      <c r="J71" s="1583"/>
      <c r="K71" s="1582"/>
      <c r="L71" s="1582"/>
      <c r="M71" s="1582"/>
      <c r="N71" s="1582"/>
      <c r="O71" s="1582"/>
      <c r="P71" s="1582"/>
      <c r="Q71" s="1582"/>
      <c r="R71" s="1582"/>
      <c r="S71" s="1582"/>
      <c r="T71" s="2"/>
      <c r="U71" s="2"/>
      <c r="V71" s="2"/>
      <c r="W71" s="2"/>
      <c r="X71" s="2"/>
      <c r="Y71" s="2"/>
      <c r="Z71" s="2"/>
      <c r="AA71" s="2"/>
      <c r="AB71" s="2"/>
      <c r="AC71" s="2"/>
      <c r="AD71" s="2"/>
      <c r="AE71" s="2"/>
      <c r="AF71" s="2"/>
      <c r="AG71" s="2"/>
      <c r="AH71" s="2"/>
    </row>
    <row r="72" spans="1:34">
      <c r="A72" s="1126"/>
      <c r="B72" s="1174"/>
      <c r="C72" s="415"/>
      <c r="D72" s="422"/>
      <c r="E72" s="422"/>
      <c r="F72" s="422"/>
      <c r="G72" s="831"/>
      <c r="H72" s="1178"/>
      <c r="I72" s="1178"/>
      <c r="J72" s="442"/>
      <c r="K72" s="1178"/>
      <c r="L72" s="1178"/>
      <c r="M72" s="1178"/>
      <c r="N72" s="1178"/>
      <c r="O72" s="1178"/>
      <c r="P72" s="1178"/>
      <c r="Q72" s="1178"/>
      <c r="R72" s="1178"/>
      <c r="S72" s="1178"/>
      <c r="T72" s="2"/>
      <c r="U72" s="2"/>
      <c r="V72" s="2"/>
      <c r="W72" s="2"/>
      <c r="X72" s="2"/>
      <c r="Y72" s="2"/>
      <c r="Z72" s="2"/>
      <c r="AA72" s="2"/>
      <c r="AB72" s="2"/>
      <c r="AC72" s="2"/>
      <c r="AD72" s="2"/>
      <c r="AE72" s="2"/>
      <c r="AF72" s="2"/>
      <c r="AG72" s="2"/>
      <c r="AH72" s="2"/>
    </row>
    <row r="73" spans="1:34" ht="15.75" thickBot="1">
      <c r="A73" s="1126"/>
      <c r="B73" s="1174"/>
      <c r="C73" s="415"/>
      <c r="D73" s="422"/>
      <c r="E73" s="422"/>
      <c r="F73" s="422"/>
      <c r="G73" s="831"/>
      <c r="H73" s="1178"/>
      <c r="I73" s="1178"/>
      <c r="J73" s="442"/>
      <c r="K73" s="1178"/>
      <c r="L73" s="1178"/>
      <c r="M73" s="1178"/>
      <c r="N73" s="1178"/>
      <c r="O73" s="1178"/>
      <c r="P73" s="1178"/>
      <c r="Q73" s="1178"/>
      <c r="R73" s="1178"/>
      <c r="S73" s="1178"/>
      <c r="T73" s="2"/>
      <c r="U73" s="2"/>
      <c r="V73" s="2"/>
      <c r="W73" s="2"/>
      <c r="X73" s="2"/>
      <c r="Y73" s="2"/>
      <c r="Z73" s="2"/>
      <c r="AA73" s="2"/>
      <c r="AB73" s="2"/>
      <c r="AC73" s="2"/>
      <c r="AD73" s="2"/>
      <c r="AE73" s="2"/>
      <c r="AF73" s="2"/>
      <c r="AG73" s="2"/>
      <c r="AH73" s="2"/>
    </row>
    <row r="74" spans="1:34" ht="16.5" thickTop="1" thickBot="1">
      <c r="A74" s="2331" t="s">
        <v>763</v>
      </c>
      <c r="B74" s="2332"/>
      <c r="C74" s="298"/>
      <c r="D74" s="12"/>
      <c r="E74" s="12"/>
      <c r="F74" s="12"/>
      <c r="G74" s="26"/>
      <c r="H74" s="20"/>
      <c r="I74" s="20"/>
      <c r="J74" s="24"/>
      <c r="K74" s="20"/>
      <c r="L74" s="20"/>
      <c r="M74" s="20"/>
      <c r="N74" s="20"/>
      <c r="O74" s="20"/>
      <c r="P74" s="20"/>
      <c r="Q74" s="20"/>
      <c r="R74" s="20"/>
      <c r="S74" s="20"/>
    </row>
    <row r="75" spans="1:34" ht="15.75" thickTop="1">
      <c r="A75" s="1124"/>
      <c r="B75" s="1105" t="s">
        <v>764</v>
      </c>
      <c r="C75" s="415"/>
      <c r="D75" s="422"/>
      <c r="E75" s="422"/>
      <c r="F75" s="422"/>
      <c r="G75" s="831"/>
      <c r="H75" s="1178"/>
      <c r="I75" s="1178"/>
      <c r="J75" s="442"/>
      <c r="K75" s="1178"/>
      <c r="L75" s="1178"/>
      <c r="M75" s="1178"/>
      <c r="N75" s="1178"/>
      <c r="O75" s="1178"/>
      <c r="P75" s="1178"/>
      <c r="Q75" s="1178"/>
      <c r="R75" s="1178"/>
      <c r="S75" s="1178"/>
    </row>
    <row r="76" spans="1:34">
      <c r="A76" s="1124"/>
      <c r="B76" s="1105" t="s">
        <v>765</v>
      </c>
      <c r="C76" s="415"/>
      <c r="D76" s="422"/>
      <c r="E76" s="422"/>
      <c r="F76" s="422"/>
      <c r="G76" s="831"/>
      <c r="H76" s="1178"/>
      <c r="I76" s="1178"/>
      <c r="J76" s="442"/>
      <c r="K76" s="1178"/>
      <c r="L76" s="1178"/>
      <c r="M76" s="1178"/>
      <c r="N76" s="1178"/>
      <c r="O76" s="1178"/>
      <c r="P76" s="1178"/>
      <c r="Q76" s="1178"/>
      <c r="R76" s="1178"/>
      <c r="S76" s="1178"/>
    </row>
    <row r="77" spans="1:34">
      <c r="A77" s="1124"/>
      <c r="B77" s="1105" t="s">
        <v>766</v>
      </c>
      <c r="C77" s="415"/>
      <c r="D77" s="422"/>
      <c r="E77" s="422"/>
      <c r="F77" s="422"/>
      <c r="G77" s="831"/>
      <c r="H77" s="1178"/>
      <c r="I77" s="1178"/>
      <c r="J77" s="442"/>
      <c r="K77" s="1178"/>
      <c r="L77" s="1178"/>
      <c r="M77" s="1178"/>
      <c r="N77" s="1178"/>
      <c r="O77" s="1178"/>
      <c r="P77" s="1178"/>
      <c r="Q77" s="1178"/>
      <c r="R77" s="1178"/>
      <c r="S77" s="1178"/>
    </row>
    <row r="78" spans="1:34">
      <c r="A78" s="1124"/>
      <c r="B78" s="1105" t="s">
        <v>767</v>
      </c>
      <c r="C78" s="415"/>
      <c r="D78" s="422"/>
      <c r="E78" s="422"/>
      <c r="F78" s="422"/>
      <c r="G78" s="831"/>
      <c r="H78" s="1178"/>
      <c r="I78" s="1178"/>
      <c r="J78" s="442"/>
      <c r="K78" s="1178"/>
      <c r="L78" s="1178"/>
      <c r="M78" s="1178"/>
      <c r="N78" s="1178"/>
      <c r="O78" s="1178"/>
      <c r="P78" s="1178"/>
      <c r="Q78" s="1178"/>
      <c r="R78" s="1178"/>
      <c r="S78" s="1178"/>
    </row>
    <row r="79" spans="1:34" ht="15.75" thickBot="1">
      <c r="A79" s="443"/>
      <c r="B79" s="421"/>
      <c r="C79" s="23"/>
      <c r="D79" s="86"/>
      <c r="E79" s="86"/>
      <c r="F79" s="86"/>
      <c r="G79" s="27"/>
      <c r="H79" s="444"/>
      <c r="I79" s="444"/>
      <c r="J79" s="25"/>
      <c r="K79" s="444"/>
      <c r="L79" s="444"/>
      <c r="M79" s="444"/>
      <c r="N79" s="444"/>
      <c r="O79" s="444"/>
      <c r="P79" s="444"/>
      <c r="Q79" s="444"/>
      <c r="R79" s="444"/>
      <c r="S79" s="444"/>
    </row>
    <row r="80" spans="1:34" ht="16.5" thickTop="1" thickBot="1">
      <c r="A80" s="72" t="s">
        <v>768</v>
      </c>
      <c r="B80" s="73"/>
      <c r="C80" s="298"/>
      <c r="D80" s="12"/>
      <c r="E80" s="12"/>
      <c r="F80" s="12"/>
      <c r="G80" s="26"/>
      <c r="H80" s="20"/>
      <c r="I80" s="20"/>
      <c r="J80" s="24"/>
      <c r="K80" s="20"/>
      <c r="L80" s="20"/>
      <c r="M80" s="20"/>
      <c r="N80" s="20"/>
      <c r="O80" s="20"/>
      <c r="P80" s="20"/>
      <c r="Q80" s="20"/>
      <c r="R80" s="20"/>
      <c r="S80" s="20"/>
    </row>
    <row r="81" spans="1:19" ht="15.75" thickTop="1">
      <c r="A81" s="1580"/>
      <c r="B81" s="1587" t="s">
        <v>769</v>
      </c>
      <c r="C81" s="1548"/>
      <c r="D81" s="1435"/>
      <c r="E81" s="1435"/>
      <c r="F81" s="1435"/>
      <c r="G81" s="1581"/>
      <c r="H81" s="1588"/>
      <c r="I81" s="1588"/>
      <c r="J81" s="1410"/>
      <c r="K81" s="1588"/>
      <c r="L81" s="1588"/>
      <c r="M81" s="1588"/>
      <c r="N81" s="1588"/>
      <c r="O81" s="1588"/>
      <c r="P81" s="1588"/>
      <c r="Q81" s="1588"/>
      <c r="R81" s="1588"/>
      <c r="S81" s="1588"/>
    </row>
    <row r="82" spans="1:19">
      <c r="A82" s="1124"/>
      <c r="B82" s="1105" t="s">
        <v>770</v>
      </c>
      <c r="C82" s="415"/>
      <c r="D82" s="422"/>
      <c r="E82" s="422"/>
      <c r="F82" s="422"/>
      <c r="G82" s="831"/>
      <c r="H82" s="1182"/>
      <c r="I82" s="1182"/>
      <c r="J82" s="445"/>
      <c r="K82" s="1182"/>
      <c r="L82" s="1182"/>
      <c r="M82" s="1182"/>
      <c r="N82" s="1182"/>
      <c r="O82" s="1182"/>
      <c r="P82" s="1182"/>
      <c r="Q82" s="1182"/>
      <c r="R82" s="1182"/>
      <c r="S82" s="1182"/>
    </row>
    <row r="83" spans="1:19" ht="15.75" thickBot="1">
      <c r="A83" s="1183"/>
      <c r="B83" s="1184" t="s">
        <v>771</v>
      </c>
      <c r="C83" s="1185"/>
      <c r="D83" s="1186"/>
      <c r="E83" s="1186"/>
      <c r="F83" s="1186"/>
      <c r="G83" s="1187"/>
      <c r="H83" s="1189"/>
      <c r="I83" s="1189"/>
      <c r="J83" s="1188"/>
      <c r="K83" s="1189"/>
      <c r="L83" s="1189"/>
      <c r="M83" s="1189"/>
      <c r="N83" s="1189"/>
      <c r="O83" s="1189"/>
      <c r="P83" s="1189"/>
      <c r="Q83" s="1189"/>
      <c r="R83" s="1189"/>
      <c r="S83" s="1189"/>
    </row>
    <row r="84" spans="1:19" ht="16.5" thickTop="1" thickBot="1">
      <c r="F84" s="2"/>
      <c r="G84" s="2"/>
      <c r="H84" s="2"/>
      <c r="I84" s="2"/>
      <c r="J84" s="2"/>
      <c r="K84" s="2"/>
      <c r="L84" s="2"/>
      <c r="M84" s="2"/>
      <c r="N84" s="2"/>
      <c r="O84" s="2"/>
      <c r="P84" s="2"/>
      <c r="Q84" s="2"/>
      <c r="R84" s="2"/>
      <c r="S84" s="2"/>
    </row>
    <row r="85" spans="1:19" ht="16.5" thickTop="1" thickBot="1">
      <c r="A85" s="37" t="s">
        <v>772</v>
      </c>
      <c r="B85" s="39"/>
      <c r="F85" s="2"/>
      <c r="G85" s="2"/>
      <c r="H85" s="2"/>
      <c r="I85" s="2"/>
      <c r="J85" s="2"/>
      <c r="K85" s="2"/>
      <c r="L85" s="2"/>
      <c r="M85" s="2"/>
      <c r="N85" s="2"/>
      <c r="O85" s="2"/>
      <c r="P85" s="2"/>
      <c r="Q85" s="2"/>
      <c r="R85" s="2"/>
      <c r="S85" s="2"/>
    </row>
    <row r="86" spans="1:19" ht="15.75" thickTop="1">
      <c r="A86" s="38" t="s">
        <v>693</v>
      </c>
      <c r="B86" s="1277" t="str">
        <f>J5</f>
        <v>MTD Painting</v>
      </c>
      <c r="F86" s="2"/>
      <c r="G86" s="2"/>
      <c r="H86" s="2"/>
      <c r="I86" s="2"/>
      <c r="J86" s="2"/>
      <c r="K86" s="2"/>
      <c r="L86" s="2"/>
      <c r="M86" s="2"/>
      <c r="N86" s="2"/>
      <c r="O86" s="2"/>
      <c r="P86" s="2"/>
      <c r="Q86" s="2"/>
      <c r="R86" s="2"/>
      <c r="S86" s="2"/>
    </row>
    <row r="87" spans="1:19">
      <c r="A87" s="1142" t="s">
        <v>702</v>
      </c>
      <c r="B87" s="1277" t="str">
        <f>J6</f>
        <v>Mike Tietjen</v>
      </c>
      <c r="F87" s="2"/>
      <c r="G87" s="2"/>
      <c r="H87" s="2"/>
      <c r="I87" s="2"/>
      <c r="J87" s="2"/>
      <c r="K87" s="2"/>
      <c r="L87" s="2"/>
      <c r="M87" s="2"/>
      <c r="N87" s="2"/>
      <c r="O87" s="2"/>
      <c r="P87" s="2"/>
      <c r="Q87" s="2"/>
      <c r="R87" s="2"/>
      <c r="S87" s="2"/>
    </row>
    <row r="88" spans="1:19">
      <c r="A88" s="1191" t="s">
        <v>708</v>
      </c>
      <c r="B88" s="1192" t="str">
        <f>J7</f>
        <v>321-381-6724</v>
      </c>
      <c r="F88" s="2"/>
      <c r="G88" s="2"/>
      <c r="H88" s="2"/>
      <c r="I88" s="2"/>
      <c r="J88" s="2"/>
      <c r="K88" s="2"/>
      <c r="L88" s="2"/>
      <c r="M88" s="2"/>
      <c r="N88" s="2"/>
      <c r="O88" s="2"/>
      <c r="P88" s="2"/>
      <c r="Q88" s="2"/>
      <c r="R88" s="2"/>
      <c r="S88" s="2"/>
    </row>
    <row r="89" spans="1:19">
      <c r="A89" s="1191" t="s">
        <v>713</v>
      </c>
      <c r="B89" s="1278" t="str">
        <f>J8</f>
        <v>mike.t@mtdpainting.com</v>
      </c>
      <c r="F89" s="2"/>
      <c r="G89" s="2"/>
      <c r="H89" s="2"/>
      <c r="I89" s="2"/>
      <c r="J89" s="2"/>
      <c r="K89" s="2"/>
      <c r="L89" s="2"/>
      <c r="M89" s="2"/>
      <c r="N89" s="2"/>
      <c r="O89" s="2"/>
      <c r="P89" s="2"/>
      <c r="Q89" s="2"/>
      <c r="R89" s="2"/>
      <c r="S89" s="2"/>
    </row>
    <row r="90" spans="1:19" ht="15.75" thickBot="1">
      <c r="A90" s="1194" t="s">
        <v>69</v>
      </c>
      <c r="B90" s="1231">
        <f>J9</f>
        <v>843992.8</v>
      </c>
      <c r="F90" s="2"/>
      <c r="G90" s="2"/>
      <c r="H90" s="2"/>
      <c r="I90" s="2"/>
      <c r="J90" s="2"/>
      <c r="K90" s="2"/>
      <c r="L90" s="2"/>
      <c r="M90" s="2"/>
      <c r="N90" s="2"/>
      <c r="O90" s="2"/>
      <c r="P90" s="2"/>
      <c r="Q90" s="2"/>
      <c r="R90" s="2"/>
      <c r="S90" s="2"/>
    </row>
    <row r="91" spans="1:19" ht="15.75" thickTop="1"/>
  </sheetData>
  <mergeCells count="41">
    <mergeCell ref="A56:B56"/>
    <mergeCell ref="A60:B60"/>
    <mergeCell ref="A64:B64"/>
    <mergeCell ref="A70:B70"/>
    <mergeCell ref="A74:B74"/>
    <mergeCell ref="P5:Q5"/>
    <mergeCell ref="P6:Q6"/>
    <mergeCell ref="P7:Q7"/>
    <mergeCell ref="P8:Q8"/>
    <mergeCell ref="P9:Q9"/>
    <mergeCell ref="H5:I5"/>
    <mergeCell ref="H6:I6"/>
    <mergeCell ref="H7:I7"/>
    <mergeCell ref="H8:I8"/>
    <mergeCell ref="H9:I9"/>
    <mergeCell ref="J5:K5"/>
    <mergeCell ref="J6:K6"/>
    <mergeCell ref="J7:K7"/>
    <mergeCell ref="J8:K8"/>
    <mergeCell ref="J9:K9"/>
    <mergeCell ref="N4:O4"/>
    <mergeCell ref="J4:K4"/>
    <mergeCell ref="H4:I4"/>
    <mergeCell ref="P4:Q4"/>
    <mergeCell ref="R4:S4"/>
    <mergeCell ref="L4:M4"/>
    <mergeCell ref="R5:S5"/>
    <mergeCell ref="R6:S6"/>
    <mergeCell ref="R7:S7"/>
    <mergeCell ref="R8:S8"/>
    <mergeCell ref="R9:S9"/>
    <mergeCell ref="L5:M5"/>
    <mergeCell ref="L6:M6"/>
    <mergeCell ref="L7:M7"/>
    <mergeCell ref="L8:M8"/>
    <mergeCell ref="L9:M9"/>
    <mergeCell ref="N5:O5"/>
    <mergeCell ref="N6:O6"/>
    <mergeCell ref="N7:O7"/>
    <mergeCell ref="N8:O8"/>
    <mergeCell ref="N9:O9"/>
  </mergeCells>
  <conditionalFormatting sqref="H11:H19">
    <cfRule type="cellIs" dxfId="363" priority="17" operator="equal">
      <formula>"X"</formula>
    </cfRule>
    <cfRule type="cellIs" dxfId="362" priority="18" operator="equal">
      <formula>"I"</formula>
    </cfRule>
  </conditionalFormatting>
  <conditionalFormatting sqref="J11:J19 H21:H47 J21:J47 L21:L47 N21:N47 P21:P47 R21:R47">
    <cfRule type="cellIs" dxfId="361" priority="19" operator="equal">
      <formula>"X"</formula>
    </cfRule>
    <cfRule type="cellIs" dxfId="360" priority="20" operator="equal">
      <formula>"I"</formula>
    </cfRule>
  </conditionalFormatting>
  <conditionalFormatting sqref="J66">
    <cfRule type="cellIs" dxfId="359" priority="9" operator="equal">
      <formula>"X"</formula>
    </cfRule>
    <cfRule type="cellIs" dxfId="358" priority="10" operator="equal">
      <formula>"I"</formula>
    </cfRule>
  </conditionalFormatting>
  <conditionalFormatting sqref="L11:L19">
    <cfRule type="cellIs" dxfId="357" priority="5" operator="equal">
      <formula>"X"</formula>
    </cfRule>
    <cfRule type="cellIs" dxfId="356" priority="6" operator="equal">
      <formula>"I"</formula>
    </cfRule>
  </conditionalFormatting>
  <conditionalFormatting sqref="N11:N19">
    <cfRule type="cellIs" dxfId="355" priority="1" operator="equal">
      <formula>"X"</formula>
    </cfRule>
    <cfRule type="cellIs" dxfId="354" priority="2" operator="equal">
      <formula>"I"</formula>
    </cfRule>
  </conditionalFormatting>
  <conditionalFormatting sqref="P11:P19">
    <cfRule type="cellIs" dxfId="353" priority="7" operator="equal">
      <formula>"X"</formula>
    </cfRule>
    <cfRule type="cellIs" dxfId="352" priority="8" operator="equal">
      <formula>"I"</formula>
    </cfRule>
  </conditionalFormatting>
  <conditionalFormatting sqref="R11:R19">
    <cfRule type="cellIs" dxfId="351" priority="3" operator="equal">
      <formula>"X"</formula>
    </cfRule>
    <cfRule type="cellIs" dxfId="350" priority="4" operator="equal">
      <formula>"I"</formula>
    </cfRule>
  </conditionalFormatting>
  <hyperlinks>
    <hyperlink ref="B4" location="'Cost Summary'!A1" display="BACK TO SUMMARY SHEET" xr:uid="{68A35B1B-FC94-46AD-BF47-66DFC833CCA1}"/>
    <hyperlink ref="H8:I8" r:id="rId1" display="bids@sprservices.com" xr:uid="{A67CA3E5-8AF2-441E-8D7B-24DC1484A96D}"/>
    <hyperlink ref="J8:K8" r:id="rId2" display="mike.t@mtdpainting.com" xr:uid="{31EADFF5-8AFC-4ADE-AFC9-55C5732FB443}"/>
    <hyperlink ref="P8:Q8" r:id="rId3" display="Steve@sdavid.com" xr:uid="{0744CC38-CFB5-417D-86F4-7D241D662428}"/>
    <hyperlink ref="R8:S8" r:id="rId4" display="patrickb@vintagepaintinginc.com" xr:uid="{BAFF228A-AB41-44AF-8C7E-B6B6D5CDC6DB}"/>
    <hyperlink ref="L8:M8" r:id="rId5" display="estimating@dunkmanpaint.com" xr:uid="{081F34D0-934C-4D3E-A4BB-411076901AEA}"/>
    <hyperlink ref="N8:O8" r:id="rId6" display="edanow@pccusa.com" xr:uid="{19C9CB65-E420-4BE7-A305-E72111B2299D}"/>
  </hyperlinks>
  <pageMargins left="0.7" right="0.7" top="0.75" bottom="0.75" header="0.3" footer="0.3"/>
  <pageSetup orientation="portrait" r:id="rId7"/>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2542-F97A-478D-B7BC-3D52A5CB35B1}">
  <sheetPr>
    <tabColor theme="9" tint="0.39997558519241921"/>
  </sheetPr>
  <dimension ref="A1:AH75"/>
  <sheetViews>
    <sheetView zoomScale="90" zoomScaleNormal="90" workbookViewId="0">
      <pane xSplit="2" ySplit="10" topLeftCell="C11" activePane="bottomRight" state="frozen"/>
      <selection pane="topRight" activeCell="C1" sqref="C1"/>
      <selection pane="bottomLeft" activeCell="A11" sqref="A11"/>
      <selection pane="bottomRight" activeCell="F23" sqref="F23"/>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23" t="s">
        <v>686</v>
      </c>
      <c r="I4" s="2324"/>
      <c r="J4" s="2319" t="s">
        <v>687</v>
      </c>
      <c r="K4" s="2320"/>
      <c r="L4" s="2319" t="s">
        <v>688</v>
      </c>
      <c r="M4" s="2320"/>
      <c r="N4" s="2319" t="s">
        <v>689</v>
      </c>
      <c r="O4" s="2320"/>
      <c r="P4" s="2319" t="s">
        <v>690</v>
      </c>
      <c r="Q4" s="2320"/>
      <c r="R4" s="2319" t="s">
        <v>691</v>
      </c>
      <c r="S4" s="2320"/>
      <c r="X4" s="261"/>
    </row>
    <row r="5" spans="1:24" ht="15.75" thickTop="1">
      <c r="A5" s="292" t="s">
        <v>692</v>
      </c>
      <c r="B5" s="299" t="str">
        <f>'Area Calculations'!B4</f>
        <v>ERAU Residential Hall &amp; Garage Building</v>
      </c>
      <c r="C5" s="294"/>
      <c r="D5" s="263"/>
      <c r="E5" s="264"/>
      <c r="F5" s="279"/>
      <c r="G5" s="271" t="s">
        <v>693</v>
      </c>
      <c r="H5" s="2333" t="s">
        <v>1759</v>
      </c>
      <c r="I5" s="2334"/>
      <c r="J5" s="2333" t="s">
        <v>1804</v>
      </c>
      <c r="K5" s="2334"/>
      <c r="L5" s="2333" t="s">
        <v>1805</v>
      </c>
      <c r="M5" s="2334"/>
      <c r="N5" s="2321"/>
      <c r="O5" s="2322"/>
      <c r="P5" s="2333"/>
      <c r="Q5" s="2334"/>
      <c r="R5" s="2333"/>
      <c r="S5" s="2334"/>
      <c r="X5" s="261"/>
    </row>
    <row r="6" spans="1:24">
      <c r="A6" s="1082" t="s">
        <v>700</v>
      </c>
      <c r="B6" s="1196" t="s">
        <v>1806</v>
      </c>
      <c r="C6" s="415"/>
      <c r="D6" s="416"/>
      <c r="E6" s="417"/>
      <c r="F6" s="418"/>
      <c r="G6" s="419" t="s">
        <v>702</v>
      </c>
      <c r="H6" s="2313" t="s">
        <v>1765</v>
      </c>
      <c r="I6" s="2314"/>
      <c r="J6" s="2313" t="s">
        <v>1807</v>
      </c>
      <c r="K6" s="2314"/>
      <c r="L6" s="2313" t="s">
        <v>1808</v>
      </c>
      <c r="M6" s="2314"/>
      <c r="N6" s="2325"/>
      <c r="O6" s="2326"/>
      <c r="P6" s="2313"/>
      <c r="Q6" s="2314"/>
      <c r="R6" s="2313"/>
      <c r="S6" s="2314"/>
      <c r="X6" s="261"/>
    </row>
    <row r="7" spans="1:24">
      <c r="A7" s="1082" t="s">
        <v>706</v>
      </c>
      <c r="B7" s="1197" t="s">
        <v>334</v>
      </c>
      <c r="C7" s="415"/>
      <c r="D7" s="416"/>
      <c r="E7" s="417"/>
      <c r="F7" s="418"/>
      <c r="G7" s="829" t="s">
        <v>708</v>
      </c>
      <c r="H7" s="2313" t="s">
        <v>1771</v>
      </c>
      <c r="I7" s="2314"/>
      <c r="J7" s="2313" t="s">
        <v>1809</v>
      </c>
      <c r="K7" s="2314"/>
      <c r="L7" s="2313" t="s">
        <v>1810</v>
      </c>
      <c r="M7" s="2314"/>
      <c r="N7" s="2325"/>
      <c r="O7" s="2326"/>
      <c r="P7" s="2313"/>
      <c r="Q7" s="2314"/>
      <c r="R7" s="2313"/>
      <c r="S7" s="2314"/>
      <c r="X7" s="261"/>
    </row>
    <row r="8" spans="1:24">
      <c r="A8" s="1082" t="s">
        <v>712</v>
      </c>
      <c r="B8" s="1198"/>
      <c r="C8" s="415"/>
      <c r="D8" s="416"/>
      <c r="E8" s="417"/>
      <c r="F8" s="418"/>
      <c r="G8" s="829" t="s">
        <v>713</v>
      </c>
      <c r="H8" s="2373" t="s">
        <v>1777</v>
      </c>
      <c r="I8" s="2344"/>
      <c r="J8" s="2343" t="s">
        <v>1811</v>
      </c>
      <c r="K8" s="2344"/>
      <c r="L8" s="2343" t="s">
        <v>1812</v>
      </c>
      <c r="M8" s="2344"/>
      <c r="N8" s="2329"/>
      <c r="O8" s="2328"/>
      <c r="P8" s="2315"/>
      <c r="Q8" s="2316"/>
      <c r="R8" s="2315"/>
      <c r="S8" s="2316"/>
      <c r="X8" s="261"/>
    </row>
    <row r="9" spans="1:24" ht="15.75" thickBot="1">
      <c r="A9" s="420"/>
      <c r="B9" s="421"/>
      <c r="C9" s="23"/>
      <c r="D9" s="265"/>
      <c r="E9" s="266"/>
      <c r="F9" s="283"/>
      <c r="G9" s="284" t="s">
        <v>717</v>
      </c>
      <c r="H9" s="2317">
        <f>I37</f>
        <v>112682.67</v>
      </c>
      <c r="I9" s="2318"/>
      <c r="J9" s="2317">
        <f>K37</f>
        <v>161690</v>
      </c>
      <c r="K9" s="2318"/>
      <c r="L9" s="2317">
        <f>M37</f>
        <v>260000</v>
      </c>
      <c r="M9" s="2318"/>
      <c r="N9" s="2330"/>
      <c r="O9" s="2330"/>
      <c r="P9" s="2317"/>
      <c r="Q9" s="2318"/>
      <c r="R9" s="2317"/>
      <c r="S9" s="2318"/>
      <c r="X9" s="261"/>
    </row>
    <row r="10" spans="1:24" s="267" customFormat="1" ht="32.1" customHeight="1" thickBot="1">
      <c r="A10" s="293"/>
      <c r="B10" s="300"/>
      <c r="C10" s="295" t="s">
        <v>718</v>
      </c>
      <c r="D10" s="287" t="s">
        <v>719</v>
      </c>
      <c r="E10" s="286" t="s">
        <v>720</v>
      </c>
      <c r="F10" s="288" t="s">
        <v>721</v>
      </c>
      <c r="G10" s="289" t="s">
        <v>722</v>
      </c>
      <c r="H10" s="734" t="s">
        <v>794</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589"/>
      <c r="B11" s="1590" t="s">
        <v>725</v>
      </c>
      <c r="C11" s="1554"/>
      <c r="D11" s="1435"/>
      <c r="E11" s="1435"/>
      <c r="F11" s="1416"/>
      <c r="G11" s="1417"/>
      <c r="H11" s="1591"/>
      <c r="I11" s="285"/>
      <c r="J11" s="1591"/>
      <c r="K11" s="1419"/>
      <c r="L11" s="1591"/>
      <c r="M11" s="1420"/>
      <c r="N11" s="1591"/>
      <c r="O11" s="1419"/>
      <c r="P11" s="1591"/>
      <c r="Q11" s="1419"/>
      <c r="R11" s="1591"/>
      <c r="S11" s="1419"/>
    </row>
    <row r="12" spans="1:24">
      <c r="A12" s="1589"/>
      <c r="B12" s="1263" t="s">
        <v>726</v>
      </c>
      <c r="C12" s="446"/>
      <c r="D12" s="422"/>
      <c r="E12" s="422"/>
      <c r="F12" s="418"/>
      <c r="G12" s="423"/>
      <c r="H12" s="1264" t="s">
        <v>727</v>
      </c>
      <c r="I12" s="1419"/>
      <c r="J12" s="1264" t="s">
        <v>727</v>
      </c>
      <c r="K12" s="1419"/>
      <c r="L12" s="1264" t="s">
        <v>727</v>
      </c>
      <c r="M12" s="1420"/>
      <c r="N12" s="1264"/>
      <c r="O12" s="1419"/>
      <c r="P12" s="1264"/>
      <c r="Q12" s="1419"/>
      <c r="R12" s="1264"/>
      <c r="S12" s="1419"/>
    </row>
    <row r="13" spans="1:24">
      <c r="A13" s="1097"/>
      <c r="B13" s="1263" t="s">
        <v>728</v>
      </c>
      <c r="C13" s="446"/>
      <c r="D13" s="422"/>
      <c r="E13" s="422"/>
      <c r="F13" s="418"/>
      <c r="G13" s="423"/>
      <c r="H13" s="1264" t="s">
        <v>727</v>
      </c>
      <c r="I13" s="1419"/>
      <c r="J13" s="1264" t="s">
        <v>727</v>
      </c>
      <c r="K13" s="1419"/>
      <c r="L13" s="1264" t="s">
        <v>727</v>
      </c>
      <c r="M13" s="1420"/>
      <c r="N13" s="1264"/>
      <c r="O13" s="1419"/>
      <c r="P13" s="1264"/>
      <c r="Q13" s="1419"/>
      <c r="R13" s="1264"/>
      <c r="S13" s="1419"/>
    </row>
    <row r="14" spans="1:24">
      <c r="A14" s="1589"/>
      <c r="B14" s="1265" t="s">
        <v>729</v>
      </c>
      <c r="C14" s="446"/>
      <c r="D14" s="422"/>
      <c r="E14" s="422"/>
      <c r="F14" s="418"/>
      <c r="G14" s="423"/>
      <c r="H14" s="1264" t="s">
        <v>730</v>
      </c>
      <c r="I14" s="1419" t="s">
        <v>1813</v>
      </c>
      <c r="J14" s="1264" t="s">
        <v>730</v>
      </c>
      <c r="K14" s="1419"/>
      <c r="L14" s="1264" t="s">
        <v>730</v>
      </c>
      <c r="M14" s="1420"/>
      <c r="N14" s="1264"/>
      <c r="O14" s="1419"/>
      <c r="P14" s="1264"/>
      <c r="Q14" s="1419"/>
      <c r="R14" s="1264"/>
      <c r="S14" s="1419"/>
    </row>
    <row r="15" spans="1:24">
      <c r="A15" s="1097"/>
      <c r="B15" s="1265" t="s">
        <v>731</v>
      </c>
      <c r="C15" s="446"/>
      <c r="D15" s="422"/>
      <c r="E15" s="422"/>
      <c r="F15" s="418"/>
      <c r="G15" s="423"/>
      <c r="H15" s="1264" t="s">
        <v>727</v>
      </c>
      <c r="I15" s="1420"/>
      <c r="J15" s="1264" t="s">
        <v>727</v>
      </c>
      <c r="K15" s="1420"/>
      <c r="L15" s="1264" t="s">
        <v>727</v>
      </c>
      <c r="M15" s="1420"/>
      <c r="N15" s="1264"/>
      <c r="O15" s="1420"/>
      <c r="P15" s="1264"/>
      <c r="Q15" s="1420"/>
      <c r="R15" s="1264"/>
      <c r="S15" s="1420"/>
    </row>
    <row r="16" spans="1:24">
      <c r="A16" s="1589"/>
      <c r="B16" s="1265" t="s">
        <v>732</v>
      </c>
      <c r="C16" s="446"/>
      <c r="D16" s="422"/>
      <c r="E16" s="422"/>
      <c r="F16" s="418"/>
      <c r="G16" s="423"/>
      <c r="H16" s="1264" t="s">
        <v>727</v>
      </c>
      <c r="I16" s="1419"/>
      <c r="J16" s="1264" t="s">
        <v>727</v>
      </c>
      <c r="K16" s="1419"/>
      <c r="L16" s="1264" t="s">
        <v>727</v>
      </c>
      <c r="M16" s="1420"/>
      <c r="N16" s="1264"/>
      <c r="O16" s="1419"/>
      <c r="P16" s="1264"/>
      <c r="Q16" s="1419"/>
      <c r="R16" s="1264"/>
      <c r="S16" s="1419"/>
    </row>
    <row r="17" spans="1:19">
      <c r="A17" s="1097"/>
      <c r="B17" s="1265" t="s">
        <v>733</v>
      </c>
      <c r="C17" s="446"/>
      <c r="D17" s="422"/>
      <c r="E17" s="422"/>
      <c r="F17" s="418"/>
      <c r="G17" s="423"/>
      <c r="H17" s="1264" t="s">
        <v>727</v>
      </c>
      <c r="I17" s="1419"/>
      <c r="J17" s="1264" t="s">
        <v>727</v>
      </c>
      <c r="K17" s="1419"/>
      <c r="L17" s="1264" t="s">
        <v>727</v>
      </c>
      <c r="M17" s="1420"/>
      <c r="N17" s="1264"/>
      <c r="O17" s="1419"/>
      <c r="P17" s="1264"/>
      <c r="Q17" s="1419"/>
      <c r="R17" s="1264"/>
      <c r="S17" s="1419"/>
    </row>
    <row r="18" spans="1:19">
      <c r="A18" s="1589"/>
      <c r="B18" s="534" t="s">
        <v>734</v>
      </c>
      <c r="C18" s="446"/>
      <c r="D18" s="422"/>
      <c r="E18" s="422"/>
      <c r="F18" s="418"/>
      <c r="G18" s="423"/>
      <c r="H18" s="1264" t="s">
        <v>730</v>
      </c>
      <c r="I18" s="1419" t="s">
        <v>1780</v>
      </c>
      <c r="J18" s="1264" t="s">
        <v>730</v>
      </c>
      <c r="K18" s="1419"/>
      <c r="L18" s="1264" t="s">
        <v>730</v>
      </c>
      <c r="M18" s="1420"/>
      <c r="N18" s="1264"/>
      <c r="O18" s="1419"/>
      <c r="P18" s="1264"/>
      <c r="Q18" s="1419"/>
      <c r="R18" s="1264"/>
      <c r="S18" s="1419"/>
    </row>
    <row r="19" spans="1:19">
      <c r="A19" s="1589"/>
      <c r="B19" s="1154" t="s">
        <v>736</v>
      </c>
      <c r="C19" s="446"/>
      <c r="D19" s="422"/>
      <c r="E19" s="422"/>
      <c r="F19" s="418"/>
      <c r="G19" s="423"/>
      <c r="H19" s="1264"/>
      <c r="I19" s="1419"/>
      <c r="J19" s="1264"/>
      <c r="K19" s="1419"/>
      <c r="L19" s="1264"/>
      <c r="M19" s="1420"/>
      <c r="N19" s="1264"/>
      <c r="O19" s="1419"/>
      <c r="P19" s="1264"/>
      <c r="Q19" s="1419"/>
      <c r="R19" s="1264"/>
      <c r="S19" s="1419"/>
    </row>
    <row r="20" spans="1:19">
      <c r="A20" s="1097"/>
      <c r="B20" s="1555" t="s">
        <v>737</v>
      </c>
      <c r="C20" s="447"/>
      <c r="D20" s="425">
        <f>D27+D29</f>
        <v>58574</v>
      </c>
      <c r="E20" s="425"/>
      <c r="F20" s="426">
        <f>K20/D20</f>
        <v>2.7604397855703895</v>
      </c>
      <c r="G20" s="427"/>
      <c r="H20" s="1156"/>
      <c r="I20" s="1422">
        <v>111567</v>
      </c>
      <c r="J20" s="1156"/>
      <c r="K20" s="1422">
        <v>161690</v>
      </c>
      <c r="L20" s="1156"/>
      <c r="M20" s="1423">
        <v>260000</v>
      </c>
      <c r="N20" s="1156"/>
      <c r="O20" s="1422"/>
      <c r="P20" s="1156"/>
      <c r="Q20" s="1422"/>
      <c r="R20" s="1156"/>
      <c r="S20" s="1422"/>
    </row>
    <row r="21" spans="1:19">
      <c r="A21" s="1589"/>
      <c r="B21" s="1104"/>
      <c r="C21" s="70"/>
      <c r="D21" s="86"/>
      <c r="E21" s="86"/>
      <c r="F21" s="280"/>
      <c r="G21" s="280"/>
      <c r="H21" s="1264"/>
      <c r="I21" s="1419"/>
      <c r="J21" s="1264"/>
      <c r="K21" s="1419"/>
      <c r="L21" s="1264"/>
      <c r="M21" s="1419"/>
      <c r="N21" s="1264"/>
      <c r="O21" s="1419"/>
      <c r="P21" s="1264"/>
      <c r="Q21" s="1419"/>
      <c r="R21" s="1264"/>
      <c r="S21" s="1419"/>
    </row>
    <row r="22" spans="1:19">
      <c r="A22" s="1589"/>
      <c r="B22" s="351" t="s">
        <v>1814</v>
      </c>
      <c r="C22" s="70"/>
      <c r="D22" s="86"/>
      <c r="E22" s="86"/>
      <c r="F22" s="280"/>
      <c r="G22" s="280"/>
      <c r="H22" s="1264" t="s">
        <v>727</v>
      </c>
      <c r="I22" s="1419"/>
      <c r="J22" s="1264" t="s">
        <v>727</v>
      </c>
      <c r="K22" s="1419"/>
      <c r="L22" s="1264" t="s">
        <v>727</v>
      </c>
      <c r="M22" s="1419"/>
      <c r="N22" s="1264"/>
      <c r="O22" s="1419"/>
      <c r="P22" s="1264"/>
      <c r="Q22" s="1419"/>
      <c r="R22" s="1264"/>
      <c r="S22" s="1419"/>
    </row>
    <row r="23" spans="1:19">
      <c r="A23" s="1589"/>
      <c r="B23" s="351" t="s">
        <v>1815</v>
      </c>
      <c r="C23" s="70"/>
      <c r="D23" s="86"/>
      <c r="E23" s="86"/>
      <c r="F23" s="280"/>
      <c r="G23" s="280"/>
      <c r="H23" s="1264" t="s">
        <v>727</v>
      </c>
      <c r="I23" s="1419"/>
      <c r="J23" s="1264" t="s">
        <v>727</v>
      </c>
      <c r="K23" s="1419"/>
      <c r="L23" s="1264" t="s">
        <v>727</v>
      </c>
      <c r="M23" s="1419"/>
      <c r="N23" s="1264"/>
      <c r="O23" s="1419"/>
      <c r="P23" s="1264"/>
      <c r="Q23" s="1419"/>
      <c r="R23" s="1264"/>
      <c r="S23" s="1419"/>
    </row>
    <row r="24" spans="1:19">
      <c r="A24" s="1589"/>
      <c r="B24" s="351" t="s">
        <v>1816</v>
      </c>
      <c r="C24" s="70"/>
      <c r="D24" s="86"/>
      <c r="E24" s="86"/>
      <c r="F24" s="280"/>
      <c r="G24" s="280"/>
      <c r="H24" s="1264" t="s">
        <v>727</v>
      </c>
      <c r="I24" s="1419"/>
      <c r="J24" s="1264" t="s">
        <v>727</v>
      </c>
      <c r="K24" s="1419"/>
      <c r="L24" s="1264" t="s">
        <v>727</v>
      </c>
      <c r="M24" s="1419"/>
      <c r="N24" s="1264"/>
      <c r="O24" s="1419"/>
      <c r="P24" s="1264"/>
      <c r="Q24" s="1419"/>
      <c r="R24" s="1264"/>
      <c r="S24" s="1419"/>
    </row>
    <row r="25" spans="1:19" ht="15.75" thickBot="1">
      <c r="A25" s="1097"/>
      <c r="B25" s="1592" t="s">
        <v>1817</v>
      </c>
      <c r="C25" s="415"/>
      <c r="D25" s="430"/>
      <c r="E25" s="430"/>
      <c r="F25" s="430"/>
      <c r="G25" s="430"/>
      <c r="H25" s="1264" t="s">
        <v>727</v>
      </c>
      <c r="I25" s="1419"/>
      <c r="J25" s="1264" t="s">
        <v>727</v>
      </c>
      <c r="K25" s="1419"/>
      <c r="L25" s="1264" t="s">
        <v>727</v>
      </c>
      <c r="M25" s="1419"/>
      <c r="N25" s="1264"/>
      <c r="O25" s="1419"/>
      <c r="P25" s="1264"/>
      <c r="Q25" s="1419"/>
      <c r="R25" s="1264"/>
      <c r="S25" s="1419"/>
    </row>
    <row r="26" spans="1:19" ht="15.75" thickBot="1">
      <c r="A26" s="1589"/>
      <c r="B26" s="395" t="s">
        <v>1725</v>
      </c>
      <c r="C26" s="1560" t="s">
        <v>635</v>
      </c>
      <c r="D26" s="430"/>
      <c r="E26" s="430"/>
      <c r="F26" s="430"/>
      <c r="G26" s="430"/>
      <c r="H26" s="1264"/>
      <c r="I26" s="1419"/>
      <c r="J26" s="1264"/>
      <c r="K26" s="1419"/>
      <c r="L26" s="1264"/>
      <c r="M26" s="1419"/>
      <c r="N26" s="1264"/>
      <c r="O26" s="1419"/>
      <c r="P26" s="1264"/>
      <c r="Q26" s="1419"/>
      <c r="R26" s="1264"/>
      <c r="S26" s="1419"/>
    </row>
    <row r="27" spans="1:19" ht="15.75" thickBot="1">
      <c r="A27" s="1097"/>
      <c r="B27" s="380" t="s">
        <v>1818</v>
      </c>
      <c r="C27" s="1560" t="s">
        <v>635</v>
      </c>
      <c r="D27" s="1560">
        <v>4474</v>
      </c>
      <c r="E27" s="1560" t="s">
        <v>843</v>
      </c>
      <c r="F27" s="431"/>
      <c r="G27" s="1593"/>
      <c r="H27" s="1264" t="s">
        <v>727</v>
      </c>
      <c r="I27" s="1419"/>
      <c r="J27" s="1264" t="s">
        <v>727</v>
      </c>
      <c r="K27" s="1419"/>
      <c r="L27" s="1264" t="s">
        <v>727</v>
      </c>
      <c r="M27" s="1419"/>
      <c r="N27" s="1264"/>
      <c r="O27" s="1419"/>
      <c r="P27" s="1264"/>
      <c r="Q27" s="1419"/>
      <c r="R27" s="1264"/>
      <c r="S27" s="1419"/>
    </row>
    <row r="28" spans="1:19" ht="15.75" thickBot="1">
      <c r="A28" s="1589"/>
      <c r="B28" s="395" t="s">
        <v>1819</v>
      </c>
      <c r="C28" s="1560" t="s">
        <v>635</v>
      </c>
      <c r="D28" s="1560" t="s">
        <v>635</v>
      </c>
      <c r="E28" s="1560" t="s">
        <v>635</v>
      </c>
      <c r="F28" s="431"/>
      <c r="G28" s="1593"/>
      <c r="H28" s="1264"/>
      <c r="I28" s="1419"/>
      <c r="J28" s="1264"/>
      <c r="K28" s="1419"/>
      <c r="L28" s="1264"/>
      <c r="M28" s="1419"/>
      <c r="N28" s="1264"/>
      <c r="O28" s="1419"/>
      <c r="P28" s="1264"/>
      <c r="Q28" s="1419"/>
      <c r="R28" s="1264"/>
      <c r="S28" s="1419"/>
    </row>
    <row r="29" spans="1:19">
      <c r="A29" s="1589"/>
      <c r="B29" s="380" t="s">
        <v>1818</v>
      </c>
      <c r="C29" s="1560" t="s">
        <v>635</v>
      </c>
      <c r="D29" s="1560">
        <f>10820*5</f>
        <v>54100</v>
      </c>
      <c r="E29" s="1560" t="s">
        <v>843</v>
      </c>
      <c r="F29" s="431"/>
      <c r="G29" s="1593"/>
      <c r="H29" s="1264" t="s">
        <v>727</v>
      </c>
      <c r="I29" s="1419"/>
      <c r="J29" s="1264" t="s">
        <v>727</v>
      </c>
      <c r="K29" s="1419"/>
      <c r="L29" s="1264" t="s">
        <v>727</v>
      </c>
      <c r="M29" s="1419"/>
      <c r="N29" s="1264"/>
      <c r="O29" s="1419"/>
      <c r="P29" s="1264"/>
      <c r="Q29" s="1419"/>
      <c r="R29" s="1264"/>
      <c r="S29" s="1419"/>
    </row>
    <row r="30" spans="1:19">
      <c r="A30" s="1589"/>
      <c r="B30" s="1299"/>
      <c r="C30" s="23"/>
      <c r="D30" s="87"/>
      <c r="E30" s="86"/>
      <c r="G30" s="1593"/>
      <c r="H30" s="1264"/>
      <c r="I30" s="1419"/>
      <c r="J30" s="1264"/>
      <c r="K30" s="1419"/>
      <c r="L30" s="1264"/>
      <c r="M30" s="1419"/>
      <c r="N30" s="1264"/>
      <c r="O30" s="1419"/>
      <c r="P30" s="1264"/>
      <c r="Q30" s="1419"/>
      <c r="R30" s="1264"/>
      <c r="S30" s="1419"/>
    </row>
    <row r="31" spans="1:19">
      <c r="A31" s="1589"/>
      <c r="B31" s="1299"/>
      <c r="C31" s="23"/>
      <c r="D31" s="87"/>
      <c r="E31" s="86"/>
      <c r="F31" s="431"/>
      <c r="G31" s="830"/>
      <c r="H31" s="1264"/>
      <c r="I31" s="1419"/>
      <c r="J31" s="1264"/>
      <c r="K31" s="1419"/>
      <c r="L31" s="1264"/>
      <c r="M31" s="1419"/>
      <c r="N31" s="1264"/>
      <c r="O31" s="1419"/>
      <c r="P31" s="1264"/>
      <c r="Q31" s="1419"/>
      <c r="R31" s="1264"/>
      <c r="S31" s="1419"/>
    </row>
    <row r="32" spans="1:19" ht="15.75" thickBot="1">
      <c r="A32" s="1589"/>
      <c r="B32" s="1299"/>
      <c r="C32" s="23"/>
      <c r="D32" s="87"/>
      <c r="E32" s="86"/>
      <c r="F32" s="431"/>
      <c r="G32" s="830"/>
      <c r="H32" s="1264"/>
      <c r="I32" s="1419"/>
      <c r="J32" s="1264"/>
      <c r="K32" s="1419"/>
      <c r="L32" s="1264"/>
      <c r="M32" s="1419"/>
      <c r="N32" s="1264"/>
      <c r="O32" s="1419"/>
      <c r="P32" s="1264"/>
      <c r="Q32" s="1419"/>
      <c r="R32" s="1264"/>
      <c r="S32" s="1419"/>
    </row>
    <row r="33" spans="1:34" ht="15.75" thickTop="1">
      <c r="A33" s="296"/>
      <c r="B33" s="301"/>
      <c r="C33" s="297"/>
      <c r="D33" s="15"/>
      <c r="E33" s="16"/>
      <c r="F33" s="282" t="s">
        <v>753</v>
      </c>
      <c r="G33" s="272"/>
      <c r="H33" s="273"/>
      <c r="I33" s="273">
        <f>SUM(I12:I32)</f>
        <v>111567</v>
      </c>
      <c r="J33" s="273"/>
      <c r="K33" s="273">
        <f>SUM(K12:K32)</f>
        <v>161690</v>
      </c>
      <c r="L33" s="273"/>
      <c r="M33" s="273">
        <f>SUM(M12:M32)</f>
        <v>260000</v>
      </c>
      <c r="N33" s="273"/>
      <c r="O33" s="273">
        <f>SUM(O15:O32)</f>
        <v>0</v>
      </c>
      <c r="P33" s="273"/>
      <c r="Q33" s="273">
        <f>SUM(Q15:Q32)</f>
        <v>0</v>
      </c>
      <c r="R33" s="273"/>
      <c r="S33" s="273">
        <f>SUM(S15:S32)</f>
        <v>0</v>
      </c>
    </row>
    <row r="34" spans="1:34">
      <c r="A34" s="1114"/>
      <c r="B34" s="1115"/>
      <c r="C34" s="432"/>
      <c r="D34" s="433"/>
      <c r="E34" s="434"/>
      <c r="F34" s="435" t="s">
        <v>754</v>
      </c>
      <c r="G34" s="436"/>
      <c r="H34" s="1116">
        <v>0.01</v>
      </c>
      <c r="I34" s="1117"/>
      <c r="J34" s="1116">
        <v>0</v>
      </c>
      <c r="K34" s="1117"/>
      <c r="L34" s="1116">
        <v>0</v>
      </c>
      <c r="M34" s="1117"/>
      <c r="N34" s="1116">
        <v>0</v>
      </c>
      <c r="O34" s="1117"/>
      <c r="P34" s="1116">
        <v>0</v>
      </c>
      <c r="Q34" s="1117"/>
      <c r="R34" s="1116">
        <v>0</v>
      </c>
      <c r="S34" s="1117"/>
    </row>
    <row r="35" spans="1:34">
      <c r="A35" s="1114"/>
      <c r="B35" s="1115"/>
      <c r="C35" s="432"/>
      <c r="D35" s="433"/>
      <c r="E35" s="434"/>
      <c r="F35" s="435" t="s">
        <v>755</v>
      </c>
      <c r="G35" s="436"/>
      <c r="H35" s="1117"/>
      <c r="I35" s="1117">
        <f>H34*I33</f>
        <v>1115.67</v>
      </c>
      <c r="J35" s="1117"/>
      <c r="K35" s="1117">
        <f>J34*K33</f>
        <v>0</v>
      </c>
      <c r="L35" s="1117"/>
      <c r="M35" s="1117">
        <f>L34*M33</f>
        <v>0</v>
      </c>
      <c r="N35" s="1117"/>
      <c r="O35" s="1117">
        <f>N34*O33</f>
        <v>0</v>
      </c>
      <c r="P35" s="1117"/>
      <c r="Q35" s="1117">
        <f>P34*Q33</f>
        <v>0</v>
      </c>
      <c r="R35" s="1117"/>
      <c r="S35" s="1117">
        <f>R34*S33</f>
        <v>0</v>
      </c>
    </row>
    <row r="36" spans="1:34">
      <c r="A36" s="1114"/>
      <c r="B36" s="1115"/>
      <c r="C36" s="432"/>
      <c r="D36" s="433"/>
      <c r="E36" s="434"/>
      <c r="F36" s="435"/>
      <c r="G36" s="436"/>
      <c r="H36" s="1117"/>
      <c r="I36" s="1117"/>
      <c r="J36" s="1117"/>
      <c r="K36" s="1117"/>
      <c r="L36" s="1117"/>
      <c r="M36" s="1117"/>
      <c r="N36" s="1117"/>
      <c r="O36" s="1117"/>
      <c r="P36" s="1117"/>
      <c r="Q36" s="1117"/>
      <c r="R36" s="1117"/>
      <c r="S36" s="1117"/>
    </row>
    <row r="37" spans="1:34">
      <c r="A37" s="1114"/>
      <c r="B37" s="1115"/>
      <c r="C37" s="432"/>
      <c r="D37" s="433"/>
      <c r="E37" s="434"/>
      <c r="F37" s="435" t="s">
        <v>756</v>
      </c>
      <c r="G37" s="436"/>
      <c r="H37" s="1117"/>
      <c r="I37" s="1117">
        <f>SUM(I33:I35)</f>
        <v>112682.67</v>
      </c>
      <c r="J37" s="1117"/>
      <c r="K37" s="1117">
        <f>SUM(K33:K35)</f>
        <v>161690</v>
      </c>
      <c r="L37" s="1117"/>
      <c r="M37" s="1117">
        <f>SUM(M33:M35)</f>
        <v>260000</v>
      </c>
      <c r="N37" s="1117"/>
      <c r="O37" s="1117">
        <f>SUM(O33:O35)</f>
        <v>0</v>
      </c>
      <c r="P37" s="1117"/>
      <c r="Q37" s="1117">
        <f>SUM(Q33:Q35)</f>
        <v>0</v>
      </c>
      <c r="R37" s="1117"/>
      <c r="S37" s="1117">
        <f>SUM(S33:S35)</f>
        <v>0</v>
      </c>
    </row>
    <row r="38" spans="1:34">
      <c r="A38" s="1114"/>
      <c r="B38" s="1115"/>
      <c r="C38" s="432"/>
      <c r="D38" s="433"/>
      <c r="E38" s="434"/>
      <c r="F38" s="437" t="s">
        <v>757</v>
      </c>
      <c r="G38" s="438"/>
      <c r="H38" s="1118"/>
      <c r="I38" s="1118">
        <f>I37/'Area Calculations'!$G$4</f>
        <v>0.19472935024357874</v>
      </c>
      <c r="J38" s="1118"/>
      <c r="K38" s="1118">
        <f>K37/'Area Calculations'!$G$4</f>
        <v>0.27941997328324086</v>
      </c>
      <c r="L38" s="1118"/>
      <c r="M38" s="1118">
        <f>M37/'Area Calculations'!$G$4</f>
        <v>0.44931160278089322</v>
      </c>
      <c r="N38" s="1118"/>
      <c r="O38" s="1118">
        <f>O37/'Area Calculations'!$G$4</f>
        <v>0</v>
      </c>
      <c r="P38" s="1118"/>
      <c r="Q38" s="1118">
        <f>Q37/'Area Calculations'!$G$4</f>
        <v>0</v>
      </c>
      <c r="R38" s="1118"/>
      <c r="S38" s="1118">
        <f>S37/'Area Calculations'!$G$4</f>
        <v>0</v>
      </c>
    </row>
    <row r="39" spans="1:34">
      <c r="A39" s="1114"/>
      <c r="B39" s="1115"/>
      <c r="C39" s="432"/>
      <c r="D39" s="433"/>
      <c r="E39" s="434"/>
      <c r="F39" s="437" t="s">
        <v>758</v>
      </c>
      <c r="G39" s="438"/>
      <c r="H39" s="1118"/>
      <c r="I39" s="1118">
        <f>I37/'Area Calculations'!$G$9</f>
        <v>1053.1090654205607</v>
      </c>
      <c r="J39" s="1118"/>
      <c r="K39" s="1118">
        <f>K37/'Area Calculations'!$G$9</f>
        <v>1511.1214953271028</v>
      </c>
      <c r="L39" s="1118"/>
      <c r="M39" s="1118">
        <f>M37/'Area Calculations'!$G$9</f>
        <v>2429.9065420560746</v>
      </c>
      <c r="N39" s="1118"/>
      <c r="O39" s="1118">
        <f>O37/'Area Calculations'!$G$9</f>
        <v>0</v>
      </c>
      <c r="P39" s="1118"/>
      <c r="Q39" s="1118">
        <f>Q37/'Area Calculations'!$G$9</f>
        <v>0</v>
      </c>
      <c r="R39" s="1118"/>
      <c r="S39" s="1118">
        <f>S37/'Area Calculations'!$G$9</f>
        <v>0</v>
      </c>
    </row>
    <row r="40" spans="1:34" ht="15.75" thickBot="1">
      <c r="A40" s="1114"/>
      <c r="B40" s="1115"/>
      <c r="C40" s="432"/>
      <c r="D40" s="433"/>
      <c r="E40" s="434"/>
      <c r="F40" s="439"/>
      <c r="G40" s="436"/>
      <c r="H40" s="1119"/>
      <c r="I40" s="1119"/>
      <c r="J40" s="1119"/>
      <c r="K40" s="1119"/>
      <c r="L40" s="1119"/>
      <c r="M40" s="1119"/>
      <c r="N40" s="1119"/>
      <c r="O40" s="1119"/>
      <c r="P40" s="1119"/>
      <c r="Q40" s="1119"/>
      <c r="R40" s="1119"/>
      <c r="S40" s="1119"/>
    </row>
    <row r="41" spans="1:34" ht="16.5" thickTop="1" thickBot="1">
      <c r="A41" s="2331" t="s">
        <v>759</v>
      </c>
      <c r="B41" s="2332"/>
      <c r="C41" s="298"/>
      <c r="D41" s="12"/>
      <c r="E41" s="12"/>
      <c r="F41" s="12"/>
      <c r="G41" s="26"/>
      <c r="H41" s="20"/>
      <c r="I41" s="20"/>
      <c r="J41" s="20"/>
      <c r="K41" s="20"/>
      <c r="L41" s="24"/>
      <c r="M41" s="20"/>
      <c r="N41" s="20"/>
      <c r="O41" s="20"/>
      <c r="P41" s="20"/>
      <c r="Q41" s="20"/>
      <c r="R41" s="20"/>
      <c r="S41" s="20"/>
    </row>
    <row r="42" spans="1:34" ht="15.75" thickTop="1">
      <c r="A42" s="1594"/>
      <c r="B42" s="1307"/>
      <c r="C42" s="1548"/>
      <c r="D42" s="1435"/>
      <c r="E42" s="1435"/>
      <c r="F42" s="1435"/>
      <c r="G42" s="1595"/>
      <c r="H42" s="1596"/>
      <c r="I42" s="1596"/>
      <c r="J42" s="1596"/>
      <c r="K42" s="1596"/>
      <c r="L42" s="1597"/>
      <c r="M42" s="1596"/>
      <c r="N42" s="1596"/>
      <c r="O42" s="1596"/>
      <c r="P42" s="1596"/>
      <c r="Q42" s="1596"/>
      <c r="R42" s="1596"/>
      <c r="S42" s="1596"/>
    </row>
    <row r="43" spans="1:34">
      <c r="A43" s="1594"/>
      <c r="B43" s="1307"/>
      <c r="C43" s="1548"/>
      <c r="D43" s="1435"/>
      <c r="E43" s="1435"/>
      <c r="F43" s="1435"/>
      <c r="G43" s="1595"/>
      <c r="H43" s="1596"/>
      <c r="I43" s="1596"/>
      <c r="J43" s="1596"/>
      <c r="K43" s="1596"/>
      <c r="L43" s="1597"/>
      <c r="M43" s="1596"/>
      <c r="N43" s="1596"/>
      <c r="O43" s="1596"/>
      <c r="P43" s="1596"/>
      <c r="Q43" s="1596"/>
      <c r="R43" s="1596"/>
      <c r="S43" s="1596"/>
    </row>
    <row r="44" spans="1:34" ht="15.75" thickBot="1">
      <c r="A44" s="1594"/>
      <c r="B44" s="1307"/>
      <c r="C44" s="1548"/>
      <c r="D44" s="1435"/>
      <c r="E44" s="1435"/>
      <c r="F44" s="1435"/>
      <c r="G44" s="1595"/>
      <c r="H44" s="1596"/>
      <c r="I44" s="1596"/>
      <c r="J44" s="1596"/>
      <c r="K44" s="1596"/>
      <c r="L44" s="1597"/>
      <c r="M44" s="1596"/>
      <c r="N44" s="1596"/>
      <c r="O44" s="1596"/>
      <c r="P44" s="1596"/>
      <c r="Q44" s="1596"/>
      <c r="R44" s="1596"/>
      <c r="S44" s="1596"/>
    </row>
    <row r="45" spans="1:34" s="2" customFormat="1" ht="16.5" thickTop="1" thickBot="1">
      <c r="A45" s="2331" t="s">
        <v>760</v>
      </c>
      <c r="B45" s="2332"/>
      <c r="C45" s="298"/>
      <c r="D45" s="12"/>
      <c r="E45" s="12"/>
      <c r="F45" s="12"/>
      <c r="G45" s="26"/>
      <c r="H45" s="20"/>
      <c r="I45" s="20"/>
      <c r="J45" s="20"/>
      <c r="K45" s="20"/>
      <c r="L45" s="24"/>
      <c r="M45" s="20"/>
      <c r="N45" s="20"/>
      <c r="O45" s="20"/>
      <c r="P45" s="20"/>
      <c r="Q45" s="20"/>
      <c r="R45" s="20"/>
      <c r="S45" s="20"/>
      <c r="T45"/>
      <c r="U45"/>
      <c r="V45"/>
      <c r="W45"/>
      <c r="X45"/>
      <c r="Y45"/>
      <c r="Z45"/>
      <c r="AA45"/>
      <c r="AB45"/>
      <c r="AC45"/>
      <c r="AD45"/>
      <c r="AE45"/>
      <c r="AF45"/>
      <c r="AG45"/>
      <c r="AH45"/>
    </row>
    <row r="46" spans="1:34" s="2" customFormat="1" ht="15.75" thickTop="1">
      <c r="A46" s="1594"/>
      <c r="B46" s="1307"/>
      <c r="C46" s="1548"/>
      <c r="D46" s="1435"/>
      <c r="E46" s="1435"/>
      <c r="F46" s="1435"/>
      <c r="G46" s="1595"/>
      <c r="H46" s="1596"/>
      <c r="I46" s="1596"/>
      <c r="J46" s="1596"/>
      <c r="K46" s="1596"/>
      <c r="L46" s="1597"/>
      <c r="M46" s="1596"/>
      <c r="N46" s="1596"/>
      <c r="O46" s="1596"/>
      <c r="P46" s="1596"/>
      <c r="Q46" s="1596"/>
      <c r="R46" s="1596"/>
      <c r="S46" s="1596"/>
      <c r="T46"/>
      <c r="U46"/>
      <c r="V46"/>
      <c r="W46"/>
      <c r="X46"/>
      <c r="Y46"/>
      <c r="Z46"/>
      <c r="AA46"/>
      <c r="AB46"/>
      <c r="AC46"/>
      <c r="AD46"/>
      <c r="AE46"/>
      <c r="AF46"/>
      <c r="AG46"/>
      <c r="AH46"/>
    </row>
    <row r="47" spans="1:34" s="2" customFormat="1">
      <c r="A47" s="1594"/>
      <c r="B47" s="1307"/>
      <c r="C47" s="1548"/>
      <c r="D47" s="1435"/>
      <c r="E47" s="1435"/>
      <c r="F47" s="1435"/>
      <c r="G47" s="1595"/>
      <c r="H47" s="1596"/>
      <c r="I47" s="1596"/>
      <c r="J47" s="1596"/>
      <c r="K47" s="1596"/>
      <c r="L47" s="1597"/>
      <c r="M47" s="1596"/>
      <c r="N47" s="1596"/>
      <c r="O47" s="1596"/>
      <c r="P47" s="1596"/>
      <c r="Q47" s="1596"/>
      <c r="R47" s="1596"/>
      <c r="S47" s="1596"/>
      <c r="T47"/>
      <c r="U47"/>
      <c r="V47"/>
      <c r="W47"/>
      <c r="X47"/>
      <c r="Y47"/>
      <c r="Z47"/>
      <c r="AA47"/>
      <c r="AB47"/>
      <c r="AC47"/>
      <c r="AD47"/>
      <c r="AE47"/>
      <c r="AF47"/>
      <c r="AG47"/>
      <c r="AH47"/>
    </row>
    <row r="48" spans="1:34" ht="15.75" thickBot="1">
      <c r="A48" s="1594"/>
      <c r="B48" s="1307"/>
      <c r="C48" s="1548"/>
      <c r="D48" s="1435"/>
      <c r="E48" s="1435"/>
      <c r="F48" s="1435"/>
      <c r="G48" s="1595"/>
      <c r="H48" s="1596"/>
      <c r="I48" s="1596"/>
      <c r="J48" s="1596"/>
      <c r="K48" s="1596"/>
      <c r="L48" s="1597"/>
      <c r="M48" s="1596"/>
      <c r="N48" s="1596"/>
      <c r="O48" s="1596"/>
      <c r="P48" s="1596"/>
      <c r="Q48" s="1596"/>
      <c r="R48" s="1596"/>
      <c r="S48" s="1596"/>
    </row>
    <row r="49" spans="1:34" s="2" customFormat="1" ht="16.5" thickTop="1" thickBot="1">
      <c r="A49" s="2331" t="s">
        <v>761</v>
      </c>
      <c r="B49" s="2332"/>
      <c r="C49" s="298"/>
      <c r="D49" s="12"/>
      <c r="E49" s="12"/>
      <c r="F49" s="12"/>
      <c r="G49" s="26"/>
      <c r="H49" s="20"/>
      <c r="I49" s="20"/>
      <c r="J49" s="20"/>
      <c r="K49" s="20"/>
      <c r="L49" s="24"/>
      <c r="M49" s="20"/>
      <c r="N49" s="20"/>
      <c r="O49" s="20"/>
      <c r="P49" s="20"/>
      <c r="Q49" s="20"/>
      <c r="R49" s="20"/>
      <c r="S49" s="20"/>
      <c r="T49"/>
      <c r="U49"/>
      <c r="V49"/>
      <c r="W49"/>
      <c r="X49"/>
      <c r="Y49"/>
      <c r="Z49"/>
      <c r="AA49"/>
      <c r="AB49"/>
      <c r="AC49"/>
      <c r="AD49"/>
      <c r="AE49"/>
      <c r="AF49"/>
      <c r="AG49"/>
      <c r="AH49"/>
    </row>
    <row r="50" spans="1:34" s="2" customFormat="1" ht="15.75" thickTop="1">
      <c r="A50" s="1594"/>
      <c r="B50" s="1307" t="s">
        <v>1820</v>
      </c>
      <c r="C50" s="1548"/>
      <c r="D50" s="1435"/>
      <c r="E50" s="1435"/>
      <c r="F50" s="1435"/>
      <c r="G50" s="1595"/>
      <c r="H50" s="1596"/>
      <c r="I50" s="1596"/>
      <c r="J50" s="1596"/>
      <c r="K50" s="1596"/>
      <c r="L50" s="1597"/>
      <c r="M50" s="1596">
        <v>8415</v>
      </c>
      <c r="N50" s="1596"/>
      <c r="O50" s="1596"/>
      <c r="P50" s="1596"/>
      <c r="Q50" s="1596"/>
      <c r="R50" s="1596"/>
      <c r="S50" s="1596"/>
      <c r="T50"/>
      <c r="U50"/>
      <c r="V50"/>
      <c r="W50"/>
      <c r="X50"/>
      <c r="Y50"/>
      <c r="Z50"/>
      <c r="AA50"/>
      <c r="AB50"/>
      <c r="AC50"/>
      <c r="AD50"/>
      <c r="AE50"/>
      <c r="AF50"/>
      <c r="AG50"/>
      <c r="AH50"/>
    </row>
    <row r="51" spans="1:34" s="2" customFormat="1">
      <c r="A51" s="1594"/>
      <c r="B51" s="1307" t="s">
        <v>1821</v>
      </c>
      <c r="C51" s="1548"/>
      <c r="D51" s="1435"/>
      <c r="E51" s="1435"/>
      <c r="F51" s="1435"/>
      <c r="G51" s="1595"/>
      <c r="H51" s="1596"/>
      <c r="I51" s="1596"/>
      <c r="J51" s="1596"/>
      <c r="K51" s="1596"/>
      <c r="L51" s="1597"/>
      <c r="M51" s="1596">
        <v>43740</v>
      </c>
      <c r="N51" s="1596"/>
      <c r="O51" s="1596"/>
      <c r="P51" s="1596"/>
      <c r="Q51" s="1596"/>
      <c r="R51" s="1596"/>
      <c r="S51" s="1596"/>
      <c r="T51"/>
      <c r="U51"/>
      <c r="V51"/>
      <c r="W51"/>
      <c r="X51"/>
      <c r="Y51"/>
      <c r="Z51"/>
      <c r="AA51"/>
      <c r="AB51"/>
      <c r="AC51"/>
      <c r="AD51"/>
      <c r="AE51"/>
      <c r="AF51"/>
      <c r="AG51"/>
      <c r="AH51"/>
    </row>
    <row r="52" spans="1:34" s="2" customFormat="1">
      <c r="A52" s="1124"/>
      <c r="B52" s="1307" t="s">
        <v>1822</v>
      </c>
      <c r="C52" s="415"/>
      <c r="D52" s="422"/>
      <c r="E52" s="422"/>
      <c r="F52" s="422"/>
      <c r="G52" s="831"/>
      <c r="H52" s="1125"/>
      <c r="I52" s="1125"/>
      <c r="J52" s="1125"/>
      <c r="K52" s="1125"/>
      <c r="L52" s="440"/>
      <c r="M52" s="1125">
        <v>3280</v>
      </c>
      <c r="N52" s="1125"/>
      <c r="O52" s="1125"/>
      <c r="P52" s="1125"/>
      <c r="Q52" s="1125"/>
      <c r="R52" s="1125"/>
      <c r="S52" s="1125"/>
      <c r="T52"/>
      <c r="U52"/>
      <c r="V52"/>
      <c r="W52"/>
      <c r="X52"/>
      <c r="Y52"/>
      <c r="Z52"/>
      <c r="AA52"/>
      <c r="AB52"/>
      <c r="AC52"/>
      <c r="AD52"/>
      <c r="AE52"/>
      <c r="AF52"/>
      <c r="AG52"/>
      <c r="AH52"/>
    </row>
    <row r="53" spans="1:34" s="2" customFormat="1" ht="15.75" thickBot="1">
      <c r="A53" s="1126"/>
      <c r="B53" s="1127"/>
      <c r="C53" s="415"/>
      <c r="D53" s="422"/>
      <c r="E53" s="422"/>
      <c r="F53" s="422"/>
      <c r="G53" s="831"/>
      <c r="H53" s="1128"/>
      <c r="I53" s="1128"/>
      <c r="J53" s="1128"/>
      <c r="K53" s="1128"/>
      <c r="L53" s="441"/>
      <c r="M53" s="1128"/>
      <c r="N53" s="1128"/>
      <c r="O53" s="1128"/>
      <c r="P53" s="1128"/>
      <c r="Q53" s="1128"/>
      <c r="R53" s="1128"/>
      <c r="S53" s="1128"/>
    </row>
    <row r="54" spans="1:34" s="2" customFormat="1" ht="16.5" thickTop="1" thickBot="1">
      <c r="A54" s="2331" t="s">
        <v>762</v>
      </c>
      <c r="B54" s="2332"/>
      <c r="C54" s="298"/>
      <c r="D54" s="12"/>
      <c r="E54" s="12"/>
      <c r="F54" s="12"/>
      <c r="G54" s="26"/>
      <c r="H54" s="20"/>
      <c r="I54" s="20"/>
      <c r="J54" s="20"/>
      <c r="K54" s="20"/>
      <c r="L54" s="24"/>
      <c r="M54" s="20"/>
      <c r="N54" s="20"/>
      <c r="O54" s="20"/>
      <c r="P54" s="20"/>
      <c r="Q54" s="20"/>
      <c r="R54" s="20"/>
      <c r="S54" s="20"/>
      <c r="T54"/>
      <c r="U54"/>
      <c r="V54"/>
      <c r="W54"/>
      <c r="X54"/>
      <c r="Y54"/>
      <c r="Z54"/>
      <c r="AA54"/>
      <c r="AB54"/>
      <c r="AC54"/>
      <c r="AD54"/>
      <c r="AE54"/>
      <c r="AF54"/>
      <c r="AG54"/>
      <c r="AH54"/>
    </row>
    <row r="55" spans="1:34" ht="15.75" thickTop="1">
      <c r="A55" s="1598"/>
      <c r="B55" s="1599"/>
      <c r="C55" s="1548"/>
      <c r="D55" s="1435"/>
      <c r="E55" s="1435"/>
      <c r="F55" s="1435"/>
      <c r="G55" s="1595"/>
      <c r="H55" s="1596"/>
      <c r="I55" s="1596"/>
      <c r="J55" s="1596"/>
      <c r="K55" s="1596"/>
      <c r="L55" s="1597"/>
      <c r="M55" s="1596"/>
      <c r="N55" s="1596"/>
      <c r="O55" s="1596"/>
      <c r="P55" s="1596"/>
      <c r="Q55" s="1596"/>
      <c r="R55" s="1596"/>
      <c r="S55" s="1596"/>
      <c r="T55" s="2"/>
      <c r="U55" s="2"/>
      <c r="V55" s="2"/>
      <c r="W55" s="2"/>
      <c r="X55" s="2"/>
      <c r="Y55" s="2"/>
      <c r="Z55" s="2"/>
      <c r="AA55" s="2"/>
      <c r="AB55" s="2"/>
      <c r="AC55" s="2"/>
      <c r="AD55" s="2"/>
      <c r="AE55" s="2"/>
      <c r="AF55" s="2"/>
      <c r="AG55" s="2"/>
      <c r="AH55" s="2"/>
    </row>
    <row r="56" spans="1:34">
      <c r="A56" s="1126"/>
      <c r="B56" s="1127"/>
      <c r="C56" s="415"/>
      <c r="D56" s="422"/>
      <c r="E56" s="422"/>
      <c r="F56" s="422"/>
      <c r="G56" s="831"/>
      <c r="H56" s="1131"/>
      <c r="I56" s="1131"/>
      <c r="J56" s="1131"/>
      <c r="K56" s="1131"/>
      <c r="L56" s="442"/>
      <c r="M56" s="1131"/>
      <c r="N56" s="1131"/>
      <c r="O56" s="1131"/>
      <c r="P56" s="1131"/>
      <c r="Q56" s="1131"/>
      <c r="R56" s="1131"/>
      <c r="S56" s="1131"/>
      <c r="T56" s="2"/>
      <c r="U56" s="2"/>
      <c r="V56" s="2"/>
      <c r="W56" s="2"/>
      <c r="X56" s="2"/>
      <c r="Y56" s="2"/>
      <c r="Z56" s="2"/>
      <c r="AA56" s="2"/>
      <c r="AB56" s="2"/>
      <c r="AC56" s="2"/>
      <c r="AD56" s="2"/>
      <c r="AE56" s="2"/>
      <c r="AF56" s="2"/>
      <c r="AG56" s="2"/>
      <c r="AH56" s="2"/>
    </row>
    <row r="57" spans="1:34" ht="15.75" thickBot="1">
      <c r="A57" s="1126"/>
      <c r="B57" s="1127"/>
      <c r="C57" s="415"/>
      <c r="D57" s="422"/>
      <c r="E57" s="422"/>
      <c r="F57" s="422"/>
      <c r="G57" s="831"/>
      <c r="H57" s="1131"/>
      <c r="I57" s="1131"/>
      <c r="J57" s="1131"/>
      <c r="K57" s="1131"/>
      <c r="L57" s="442"/>
      <c r="M57" s="1131"/>
      <c r="N57" s="1131"/>
      <c r="O57" s="1131"/>
      <c r="P57" s="1131"/>
      <c r="Q57" s="1131"/>
      <c r="R57" s="1131"/>
      <c r="S57" s="1131"/>
      <c r="T57" s="2"/>
      <c r="U57" s="2"/>
      <c r="V57" s="2"/>
      <c r="W57" s="2"/>
      <c r="X57" s="2"/>
      <c r="Y57" s="2"/>
      <c r="Z57" s="2"/>
      <c r="AA57" s="2"/>
      <c r="AB57" s="2"/>
      <c r="AC57" s="2"/>
      <c r="AD57" s="2"/>
      <c r="AE57" s="2"/>
      <c r="AF57" s="2"/>
      <c r="AG57" s="2"/>
      <c r="AH57" s="2"/>
    </row>
    <row r="58" spans="1:34" ht="16.5" thickTop="1" thickBot="1">
      <c r="A58" s="2331" t="s">
        <v>763</v>
      </c>
      <c r="B58" s="2332"/>
      <c r="C58" s="298"/>
      <c r="D58" s="12"/>
      <c r="E58" s="12"/>
      <c r="F58" s="12"/>
      <c r="G58" s="26"/>
      <c r="H58" s="20"/>
      <c r="I58" s="20"/>
      <c r="J58" s="20"/>
      <c r="K58" s="20"/>
      <c r="L58" s="24"/>
      <c r="M58" s="20"/>
      <c r="N58" s="20"/>
      <c r="O58" s="20"/>
      <c r="P58" s="20"/>
      <c r="Q58" s="20"/>
      <c r="R58" s="20"/>
      <c r="S58" s="20"/>
    </row>
    <row r="59" spans="1:34" ht="15.75" thickTop="1">
      <c r="A59" s="1124"/>
      <c r="B59" s="1307" t="s">
        <v>764</v>
      </c>
      <c r="C59" s="415"/>
      <c r="D59" s="422"/>
      <c r="E59" s="422"/>
      <c r="F59" s="422"/>
      <c r="G59" s="831"/>
      <c r="H59" s="1131"/>
      <c r="I59" s="1131"/>
      <c r="J59" s="1131"/>
      <c r="K59" s="1131"/>
      <c r="L59" s="442"/>
      <c r="M59" s="1131"/>
      <c r="N59" s="1131"/>
      <c r="O59" s="1131"/>
      <c r="P59" s="1131"/>
      <c r="Q59" s="1131"/>
      <c r="R59" s="1131"/>
      <c r="S59" s="1131"/>
    </row>
    <row r="60" spans="1:34">
      <c r="A60" s="1124"/>
      <c r="B60" s="1307" t="s">
        <v>765</v>
      </c>
      <c r="C60" s="415"/>
      <c r="D60" s="422"/>
      <c r="E60" s="422"/>
      <c r="F60" s="422"/>
      <c r="G60" s="831"/>
      <c r="H60" s="1131"/>
      <c r="I60" s="1131"/>
      <c r="J60" s="1131"/>
      <c r="K60" s="1131"/>
      <c r="L60" s="442"/>
      <c r="M60" s="1131"/>
      <c r="N60" s="1131"/>
      <c r="O60" s="1131"/>
      <c r="P60" s="1131"/>
      <c r="Q60" s="1131"/>
      <c r="R60" s="1131"/>
      <c r="S60" s="1131"/>
    </row>
    <row r="61" spans="1:34">
      <c r="A61" s="1124"/>
      <c r="B61" s="1307" t="s">
        <v>766</v>
      </c>
      <c r="C61" s="415"/>
      <c r="D61" s="422"/>
      <c r="E61" s="422"/>
      <c r="F61" s="422"/>
      <c r="G61" s="831"/>
      <c r="H61" s="1131"/>
      <c r="I61" s="1131"/>
      <c r="J61" s="1131"/>
      <c r="K61" s="1131"/>
      <c r="L61" s="442"/>
      <c r="M61" s="1131"/>
      <c r="N61" s="1131"/>
      <c r="O61" s="1131"/>
      <c r="P61" s="1131"/>
      <c r="Q61" s="1131"/>
      <c r="R61" s="1131"/>
      <c r="S61" s="1131"/>
    </row>
    <row r="62" spans="1:34">
      <c r="A62" s="1124"/>
      <c r="B62" s="1307" t="s">
        <v>767</v>
      </c>
      <c r="C62" s="415"/>
      <c r="D62" s="422"/>
      <c r="E62" s="422"/>
      <c r="F62" s="422"/>
      <c r="G62" s="831"/>
      <c r="H62" s="1131"/>
      <c r="I62" s="1131"/>
      <c r="J62" s="1131"/>
      <c r="K62" s="1131"/>
      <c r="L62" s="442"/>
      <c r="M62" s="1131"/>
      <c r="N62" s="1131"/>
      <c r="O62" s="1131"/>
      <c r="P62" s="1131"/>
      <c r="Q62" s="1131"/>
      <c r="R62" s="1131"/>
      <c r="S62" s="1131"/>
    </row>
    <row r="63" spans="1:34" ht="15.75" thickBot="1">
      <c r="A63" s="443"/>
      <c r="B63" s="421"/>
      <c r="C63" s="23"/>
      <c r="D63" s="86"/>
      <c r="E63" s="86"/>
      <c r="F63" s="86"/>
      <c r="G63" s="27"/>
      <c r="H63" s="444"/>
      <c r="I63" s="444"/>
      <c r="J63" s="444"/>
      <c r="K63" s="444"/>
      <c r="L63" s="25"/>
      <c r="M63" s="444"/>
      <c r="N63" s="444"/>
      <c r="O63" s="444"/>
      <c r="P63" s="444"/>
      <c r="Q63" s="444"/>
      <c r="R63" s="444"/>
      <c r="S63" s="444"/>
    </row>
    <row r="64" spans="1:34" ht="16.5" thickTop="1" thickBot="1">
      <c r="A64" s="72" t="s">
        <v>768</v>
      </c>
      <c r="B64" s="73"/>
      <c r="C64" s="298"/>
      <c r="D64" s="12"/>
      <c r="E64" s="12"/>
      <c r="F64" s="12"/>
      <c r="G64" s="26"/>
      <c r="H64" s="20"/>
      <c r="I64" s="20"/>
      <c r="J64" s="20"/>
      <c r="K64" s="20"/>
      <c r="L64" s="24"/>
      <c r="M64" s="20"/>
      <c r="N64" s="20"/>
      <c r="O64" s="20"/>
      <c r="P64" s="20"/>
      <c r="Q64" s="20"/>
      <c r="R64" s="20"/>
      <c r="S64" s="20"/>
    </row>
    <row r="65" spans="1:19" ht="15.75" thickTop="1">
      <c r="A65" s="1594"/>
      <c r="B65" s="1600" t="s">
        <v>769</v>
      </c>
      <c r="C65" s="1548"/>
      <c r="D65" s="1435"/>
      <c r="E65" s="1435"/>
      <c r="F65" s="1435"/>
      <c r="G65" s="1595"/>
      <c r="H65" s="1601"/>
      <c r="I65" s="1601"/>
      <c r="J65" s="1601"/>
      <c r="K65" s="1601"/>
      <c r="L65" s="1602"/>
      <c r="M65" s="1601"/>
      <c r="N65" s="1601"/>
      <c r="O65" s="1601"/>
      <c r="P65" s="1601"/>
      <c r="Q65" s="1601"/>
      <c r="R65" s="1601"/>
      <c r="S65" s="1601"/>
    </row>
    <row r="66" spans="1:19">
      <c r="A66" s="1124"/>
      <c r="B66" s="1307" t="s">
        <v>770</v>
      </c>
      <c r="C66" s="415"/>
      <c r="D66" s="422"/>
      <c r="E66" s="422"/>
      <c r="F66" s="422"/>
      <c r="G66" s="831"/>
      <c r="H66" s="1135"/>
      <c r="I66" s="1135"/>
      <c r="J66" s="1135"/>
      <c r="K66" s="1135"/>
      <c r="L66" s="445"/>
      <c r="M66" s="1135"/>
      <c r="N66" s="1135"/>
      <c r="O66" s="1135"/>
      <c r="P66" s="1135"/>
      <c r="Q66" s="1135"/>
      <c r="R66" s="1135"/>
      <c r="S66" s="1135"/>
    </row>
    <row r="67" spans="1:19" ht="15.75" thickBot="1">
      <c r="A67" s="1308"/>
      <c r="B67" s="1136" t="s">
        <v>771</v>
      </c>
      <c r="C67" s="935"/>
      <c r="D67" s="938"/>
      <c r="E67" s="938"/>
      <c r="F67" s="938"/>
      <c r="G67" s="939"/>
      <c r="H67" s="1140"/>
      <c r="I67" s="1140"/>
      <c r="J67" s="1140"/>
      <c r="K67" s="1140"/>
      <c r="L67" s="940"/>
      <c r="M67" s="1140"/>
      <c r="N67" s="1140"/>
      <c r="O67" s="1140"/>
      <c r="P67" s="1140"/>
      <c r="Q67" s="1140"/>
      <c r="R67" s="1140"/>
      <c r="S67" s="1140"/>
    </row>
    <row r="68" spans="1:19" ht="16.5" thickTop="1" thickBot="1">
      <c r="F68" s="2"/>
      <c r="G68" s="2"/>
      <c r="H68" s="2"/>
      <c r="I68" s="2"/>
      <c r="J68" s="2"/>
      <c r="K68" s="2"/>
      <c r="L68" s="2"/>
      <c r="M68" s="2"/>
      <c r="N68" s="2"/>
      <c r="O68" s="2"/>
      <c r="P68" s="2"/>
      <c r="Q68" s="2"/>
      <c r="R68" s="2"/>
      <c r="S68" s="2"/>
    </row>
    <row r="69" spans="1:19" ht="16.5" thickTop="1" thickBot="1">
      <c r="A69" s="37" t="s">
        <v>772</v>
      </c>
      <c r="B69" s="39"/>
      <c r="F69" s="2"/>
      <c r="G69" s="2"/>
      <c r="H69" s="2"/>
      <c r="I69" s="2"/>
      <c r="J69" s="2"/>
      <c r="K69" s="2"/>
      <c r="L69" s="2"/>
      <c r="M69" s="2"/>
      <c r="N69" s="2"/>
      <c r="O69" s="2"/>
      <c r="P69" s="2"/>
      <c r="Q69" s="2"/>
      <c r="R69" s="2"/>
      <c r="S69" s="2"/>
    </row>
    <row r="70" spans="1:19" ht="15.75" thickTop="1">
      <c r="A70" s="38" t="s">
        <v>693</v>
      </c>
      <c r="B70" s="941" t="str">
        <f>H5</f>
        <v>Percopo Coatings Company</v>
      </c>
      <c r="F70" s="2"/>
      <c r="G70" s="2"/>
      <c r="H70" s="2"/>
      <c r="I70" s="2"/>
      <c r="J70" s="2"/>
      <c r="K70" s="2"/>
      <c r="L70" s="2"/>
      <c r="M70" s="2"/>
      <c r="N70" s="2"/>
      <c r="O70" s="2"/>
      <c r="P70" s="2"/>
      <c r="Q70" s="2"/>
      <c r="R70" s="2"/>
      <c r="S70" s="2"/>
    </row>
    <row r="71" spans="1:19">
      <c r="A71" s="1142" t="s">
        <v>702</v>
      </c>
      <c r="B71" s="941" t="str">
        <f>H6</f>
        <v>Edward Danow</v>
      </c>
      <c r="F71" s="2"/>
      <c r="G71" s="2"/>
      <c r="H71" s="2"/>
      <c r="I71" s="2"/>
      <c r="J71" s="2"/>
      <c r="K71" s="2"/>
      <c r="L71" s="2"/>
      <c r="M71" s="2"/>
      <c r="N71" s="2"/>
      <c r="O71" s="2"/>
      <c r="P71" s="2"/>
      <c r="Q71" s="2"/>
      <c r="R71" s="2"/>
      <c r="S71" s="2"/>
    </row>
    <row r="72" spans="1:19">
      <c r="A72" s="942" t="s">
        <v>708</v>
      </c>
      <c r="B72" s="1143" t="str">
        <f>H7</f>
        <v>407-331-3805</v>
      </c>
      <c r="F72" s="2"/>
      <c r="G72" s="2"/>
      <c r="H72" s="2"/>
      <c r="I72" s="2"/>
      <c r="J72" s="2"/>
      <c r="K72" s="2"/>
      <c r="L72" s="2"/>
      <c r="M72" s="2"/>
      <c r="N72" s="2"/>
      <c r="O72" s="2"/>
      <c r="P72" s="2"/>
      <c r="Q72" s="2"/>
      <c r="R72" s="2"/>
      <c r="S72" s="2"/>
    </row>
    <row r="73" spans="1:19">
      <c r="A73" s="942" t="s">
        <v>713</v>
      </c>
      <c r="B73" s="1144" t="str">
        <f>H8</f>
        <v>edanow@pccusa.com</v>
      </c>
      <c r="F73" s="2"/>
      <c r="G73" s="2"/>
      <c r="H73" s="2"/>
      <c r="I73" s="2"/>
      <c r="J73" s="2"/>
      <c r="K73" s="2"/>
      <c r="L73" s="2"/>
      <c r="M73" s="2"/>
      <c r="N73" s="2"/>
      <c r="O73" s="2"/>
      <c r="P73" s="2"/>
      <c r="Q73" s="2"/>
      <c r="R73" s="2"/>
      <c r="S73" s="2"/>
    </row>
    <row r="74" spans="1:19" ht="15.75" thickBot="1">
      <c r="A74" s="1145" t="s">
        <v>69</v>
      </c>
      <c r="B74" s="1146">
        <f>H9</f>
        <v>112682.67</v>
      </c>
      <c r="F74" s="2"/>
      <c r="G74" s="2"/>
      <c r="H74" s="2"/>
      <c r="I74" s="2"/>
      <c r="J74" s="2"/>
      <c r="K74" s="2"/>
      <c r="L74" s="2"/>
      <c r="M74" s="2"/>
      <c r="N74" s="2"/>
      <c r="O74" s="2"/>
      <c r="P74" s="2"/>
      <c r="Q74" s="2"/>
      <c r="R74" s="2"/>
      <c r="S74" s="2"/>
    </row>
    <row r="75" spans="1:19" ht="15.75" thickTop="1"/>
  </sheetData>
  <mergeCells count="41">
    <mergeCell ref="A41:B41"/>
    <mergeCell ref="A45:B45"/>
    <mergeCell ref="A49:B49"/>
    <mergeCell ref="A54:B54"/>
    <mergeCell ref="A58:B58"/>
    <mergeCell ref="R8:S8"/>
    <mergeCell ref="R9:S9"/>
    <mergeCell ref="L8:M8"/>
    <mergeCell ref="H8:I8"/>
    <mergeCell ref="J8:K8"/>
    <mergeCell ref="N8:O8"/>
    <mergeCell ref="P8:Q8"/>
    <mergeCell ref="L9:M9"/>
    <mergeCell ref="H9:I9"/>
    <mergeCell ref="J9:K9"/>
    <mergeCell ref="N9:O9"/>
    <mergeCell ref="P9:Q9"/>
    <mergeCell ref="H5:I5"/>
    <mergeCell ref="J5:K5"/>
    <mergeCell ref="N5:O5"/>
    <mergeCell ref="P5:Q5"/>
    <mergeCell ref="H7:I7"/>
    <mergeCell ref="J7:K7"/>
    <mergeCell ref="N7:O7"/>
    <mergeCell ref="P7:Q7"/>
    <mergeCell ref="R7:S7"/>
    <mergeCell ref="L7:M7"/>
    <mergeCell ref="R4:S4"/>
    <mergeCell ref="L4:M4"/>
    <mergeCell ref="H4:I4"/>
    <mergeCell ref="J4:K4"/>
    <mergeCell ref="N4:O4"/>
    <mergeCell ref="P4:Q4"/>
    <mergeCell ref="R6:S6"/>
    <mergeCell ref="R5:S5"/>
    <mergeCell ref="L6:M6"/>
    <mergeCell ref="H6:I6"/>
    <mergeCell ref="J6:K6"/>
    <mergeCell ref="N6:O6"/>
    <mergeCell ref="P6:Q6"/>
    <mergeCell ref="L5:M5"/>
  </mergeCells>
  <conditionalFormatting sqref="H11:H19">
    <cfRule type="cellIs" dxfId="349" priority="3" operator="equal">
      <formula>"X"</formula>
    </cfRule>
    <cfRule type="cellIs" dxfId="348" priority="4" operator="equal">
      <formula>"I"</formula>
    </cfRule>
  </conditionalFormatting>
  <conditionalFormatting sqref="J11:J19">
    <cfRule type="cellIs" dxfId="347" priority="1" operator="equal">
      <formula>"X"</formula>
    </cfRule>
    <cfRule type="cellIs" dxfId="346" priority="2" operator="equal">
      <formula>"I"</formula>
    </cfRule>
  </conditionalFormatting>
  <conditionalFormatting sqref="L11:L19">
    <cfRule type="cellIs" dxfId="345" priority="5" operator="equal">
      <formula>"X"</formula>
    </cfRule>
    <cfRule type="cellIs" dxfId="344" priority="6" operator="equal">
      <formula>"I"</formula>
    </cfRule>
  </conditionalFormatting>
  <conditionalFormatting sqref="N11:N19 P11:P19 R11:R19 H21:H32 J21:J32 L21:L32 N21:N32 P21:P32 R21:R32">
    <cfRule type="cellIs" dxfId="343" priority="19" operator="equal">
      <formula>"X"</formula>
    </cfRule>
    <cfRule type="cellIs" dxfId="342" priority="20" operator="equal">
      <formula>"I"</formula>
    </cfRule>
  </conditionalFormatting>
  <hyperlinks>
    <hyperlink ref="B4" location="'Cost Summary'!A1" display="BACK TO SUMMARY SHEET" xr:uid="{DDB91A40-A8EB-4151-9158-219816034386}"/>
    <hyperlink ref="L8:M8" r:id="rId1" display="travis@sdavidflooring.com" xr:uid="{49CF0EEF-E139-46B2-A846-E61AD7F1ECFE}"/>
    <hyperlink ref="H8:I8" r:id="rId2" display="edanow@pccusa.com" xr:uid="{F7382540-7DB9-4CBB-860B-3AAAB12DE947}"/>
    <hyperlink ref="J8:K8" r:id="rId3" display="paul@epaflorida.com  " xr:uid="{5C1FC889-AB4C-47B2-9469-D948FAF2CCB9}"/>
  </hyperlinks>
  <pageMargins left="0.7" right="0.7" top="0.75" bottom="0.75" header="0.3" footer="0.3"/>
  <pageSetup orientation="portrait"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7046-FC4E-4B66-9C5E-7A3C677392D0}">
  <sheetPr>
    <tabColor theme="9" tint="0.39997558519241921"/>
  </sheetPr>
  <dimension ref="A1:AO69"/>
  <sheetViews>
    <sheetView zoomScale="90" zoomScaleNormal="90" workbookViewId="0">
      <pane xSplit="2" ySplit="10" topLeftCell="C11" activePane="bottomRight" state="frozen"/>
      <selection pane="topRight" activeCell="C1" sqref="C1"/>
      <selection pane="bottomLeft" activeCell="A10" sqref="A10"/>
      <selection pane="bottomRight" activeCell="B4" sqref="B4"/>
    </sheetView>
  </sheetViews>
  <sheetFormatPr defaultRowHeight="15"/>
  <cols>
    <col min="1" max="1" width="11" customWidth="1"/>
    <col min="2" max="2" width="70.7109375" style="1" customWidth="1"/>
    <col min="3" max="4" width="12.7109375" style="2" customWidth="1"/>
    <col min="5" max="5" width="7.7109375" style="2" customWidth="1"/>
    <col min="6" max="6" width="18" style="281" bestFit="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66" t="s">
        <v>1823</v>
      </c>
      <c r="I5" s="2367"/>
      <c r="J5" s="2321"/>
      <c r="K5" s="2322"/>
      <c r="L5" s="2321"/>
      <c r="M5" s="2322"/>
      <c r="N5" s="2321"/>
      <c r="O5" s="2322"/>
      <c r="P5" s="2333"/>
      <c r="Q5" s="2334"/>
      <c r="R5" s="2333"/>
      <c r="S5" s="2334"/>
      <c r="X5" s="261"/>
    </row>
    <row r="6" spans="1:24">
      <c r="A6" s="1082" t="s">
        <v>700</v>
      </c>
      <c r="B6" s="1083" t="s">
        <v>1824</v>
      </c>
      <c r="C6" s="415"/>
      <c r="D6" s="416"/>
      <c r="E6" s="417"/>
      <c r="F6" s="418"/>
      <c r="G6" s="419" t="s">
        <v>702</v>
      </c>
      <c r="H6" s="2313" t="s">
        <v>1825</v>
      </c>
      <c r="I6" s="2314"/>
      <c r="J6" s="2325"/>
      <c r="K6" s="2326"/>
      <c r="L6" s="2325"/>
      <c r="M6" s="2326"/>
      <c r="N6" s="2325"/>
      <c r="O6" s="2326"/>
      <c r="P6" s="2313"/>
      <c r="Q6" s="2314"/>
      <c r="R6" s="2313"/>
      <c r="S6" s="2314"/>
      <c r="X6" s="261"/>
    </row>
    <row r="7" spans="1:24">
      <c r="A7" s="1082" t="s">
        <v>706</v>
      </c>
      <c r="B7" s="1084" t="s">
        <v>337</v>
      </c>
      <c r="C7" s="415"/>
      <c r="D7" s="416"/>
      <c r="E7" s="417"/>
      <c r="F7" s="418"/>
      <c r="G7" s="829" t="s">
        <v>708</v>
      </c>
      <c r="H7" s="2313" t="s">
        <v>1826</v>
      </c>
      <c r="I7" s="2314"/>
      <c r="J7" s="2325"/>
      <c r="K7" s="2326"/>
      <c r="L7" s="2325"/>
      <c r="M7" s="2326"/>
      <c r="N7" s="2325"/>
      <c r="O7" s="2326"/>
      <c r="P7" s="2313"/>
      <c r="Q7" s="2314"/>
      <c r="R7" s="2313"/>
      <c r="S7" s="2314"/>
      <c r="X7" s="261"/>
    </row>
    <row r="8" spans="1:24">
      <c r="A8" s="1082" t="s">
        <v>712</v>
      </c>
      <c r="B8" s="1085"/>
      <c r="C8" s="415"/>
      <c r="D8" s="416"/>
      <c r="E8" s="417"/>
      <c r="F8" s="418"/>
      <c r="G8" s="829" t="s">
        <v>713</v>
      </c>
      <c r="H8" s="2327" t="s">
        <v>1827</v>
      </c>
      <c r="I8" s="2346"/>
      <c r="J8" s="2329"/>
      <c r="K8" s="2328"/>
      <c r="L8" s="2329"/>
      <c r="M8" s="2328"/>
      <c r="N8" s="2329"/>
      <c r="O8" s="2328"/>
      <c r="P8" s="2315"/>
      <c r="Q8" s="2316"/>
      <c r="R8" s="2315"/>
      <c r="S8" s="2316"/>
      <c r="X8" s="261"/>
    </row>
    <row r="9" spans="1:24" ht="15.75" thickBot="1">
      <c r="A9" s="420"/>
      <c r="B9" s="421"/>
      <c r="C9" s="23"/>
      <c r="D9" s="265"/>
      <c r="E9" s="266"/>
      <c r="F9" s="283"/>
      <c r="G9" s="284" t="s">
        <v>717</v>
      </c>
      <c r="H9" s="2317">
        <f>I32</f>
        <v>20000</v>
      </c>
      <c r="I9" s="2318"/>
      <c r="J9" s="2317">
        <f t="shared" ref="J9" si="0">K32</f>
        <v>0</v>
      </c>
      <c r="K9" s="2318"/>
      <c r="L9" s="2317">
        <f t="shared" ref="L9" si="1">M32</f>
        <v>0</v>
      </c>
      <c r="M9" s="2318"/>
      <c r="N9" s="2317">
        <f t="shared" ref="N9" si="2">O32</f>
        <v>0</v>
      </c>
      <c r="O9" s="2318"/>
      <c r="P9" s="2317">
        <f t="shared" ref="P9" si="3">Q32</f>
        <v>0</v>
      </c>
      <c r="Q9" s="2318"/>
      <c r="R9" s="2317">
        <f t="shared" ref="R9" si="4">S32</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603"/>
      <c r="B11" s="1604" t="s">
        <v>725</v>
      </c>
      <c r="C11" s="1554"/>
      <c r="D11" s="1605"/>
      <c r="E11" s="1605"/>
      <c r="F11" s="1606"/>
      <c r="G11" s="1607"/>
      <c r="H11" s="1608"/>
      <c r="I11" s="1609"/>
      <c r="J11" s="1608"/>
      <c r="K11" s="285"/>
      <c r="L11" s="1608"/>
      <c r="M11" s="1610"/>
      <c r="N11" s="1608"/>
      <c r="O11" s="1610"/>
      <c r="P11" s="1608"/>
      <c r="Q11" s="1610"/>
      <c r="R11" s="1608"/>
      <c r="S11" s="1610"/>
    </row>
    <row r="12" spans="1:24">
      <c r="A12" s="1603"/>
      <c r="B12" s="1151" t="s">
        <v>726</v>
      </c>
      <c r="C12" s="446"/>
      <c r="D12" s="422"/>
      <c r="E12" s="422"/>
      <c r="F12" s="418"/>
      <c r="G12" s="423"/>
      <c r="H12" s="1152"/>
      <c r="I12" s="1609"/>
      <c r="J12" s="1152"/>
      <c r="K12" s="1610"/>
      <c r="L12" s="1152"/>
      <c r="M12" s="1610"/>
      <c r="N12" s="1152"/>
      <c r="O12" s="1610"/>
      <c r="P12" s="1152"/>
      <c r="Q12" s="1610"/>
      <c r="R12" s="1152"/>
      <c r="S12" s="1610"/>
    </row>
    <row r="13" spans="1:24">
      <c r="A13" s="1097"/>
      <c r="B13" s="1151" t="s">
        <v>728</v>
      </c>
      <c r="C13" s="446"/>
      <c r="D13" s="422"/>
      <c r="E13" s="422"/>
      <c r="F13" s="418"/>
      <c r="G13" s="423"/>
      <c r="H13" s="1152"/>
      <c r="I13" s="1609"/>
      <c r="J13" s="1152"/>
      <c r="K13" s="1610"/>
      <c r="L13" s="1152"/>
      <c r="M13" s="1610"/>
      <c r="N13" s="1152"/>
      <c r="O13" s="1610"/>
      <c r="P13" s="1152"/>
      <c r="Q13" s="1610"/>
      <c r="R13" s="1152"/>
      <c r="S13" s="1610"/>
    </row>
    <row r="14" spans="1:24">
      <c r="A14" s="1603"/>
      <c r="B14" s="1153" t="s">
        <v>729</v>
      </c>
      <c r="C14" s="446"/>
      <c r="D14" s="422"/>
      <c r="E14" s="422"/>
      <c r="F14" s="418"/>
      <c r="G14" s="423"/>
      <c r="H14" s="1152"/>
      <c r="I14" s="1609"/>
      <c r="J14" s="1152"/>
      <c r="K14" s="1610"/>
      <c r="L14" s="1152"/>
      <c r="M14" s="1610"/>
      <c r="N14" s="1152"/>
      <c r="O14" s="1610"/>
      <c r="P14" s="1152"/>
      <c r="Q14" s="1610"/>
      <c r="R14" s="1152"/>
      <c r="S14" s="1610"/>
    </row>
    <row r="15" spans="1:24">
      <c r="A15" s="1097"/>
      <c r="B15" s="1153" t="s">
        <v>731</v>
      </c>
      <c r="C15" s="446"/>
      <c r="D15" s="422"/>
      <c r="E15" s="422"/>
      <c r="F15" s="418"/>
      <c r="G15" s="423"/>
      <c r="H15" s="1152"/>
      <c r="I15" s="1609"/>
      <c r="J15" s="1152"/>
      <c r="K15" s="1609"/>
      <c r="L15" s="1152"/>
      <c r="M15" s="1609"/>
      <c r="N15" s="1152"/>
      <c r="O15" s="1609"/>
      <c r="P15" s="1152"/>
      <c r="Q15" s="1609"/>
      <c r="R15" s="1152"/>
      <c r="S15" s="1609"/>
    </row>
    <row r="16" spans="1:24">
      <c r="A16" s="1603"/>
      <c r="B16" s="1153" t="s">
        <v>732</v>
      </c>
      <c r="C16" s="446"/>
      <c r="D16" s="422"/>
      <c r="E16" s="422"/>
      <c r="F16" s="418"/>
      <c r="G16" s="423"/>
      <c r="H16" s="1152"/>
      <c r="I16" s="1609"/>
      <c r="J16" s="1152"/>
      <c r="K16" s="1610"/>
      <c r="L16" s="1152"/>
      <c r="M16" s="1610"/>
      <c r="N16" s="1152"/>
      <c r="O16" s="1610"/>
      <c r="P16" s="1152"/>
      <c r="Q16" s="1610"/>
      <c r="R16" s="1152"/>
      <c r="S16" s="1610"/>
    </row>
    <row r="17" spans="1:41">
      <c r="A17" s="1097"/>
      <c r="B17" s="1153" t="s">
        <v>733</v>
      </c>
      <c r="C17" s="446"/>
      <c r="D17" s="422"/>
      <c r="E17" s="422"/>
      <c r="F17" s="418"/>
      <c r="G17" s="423"/>
      <c r="H17" s="1152"/>
      <c r="I17" s="1609"/>
      <c r="J17" s="1152"/>
      <c r="K17" s="1610"/>
      <c r="L17" s="1152"/>
      <c r="M17" s="1610"/>
      <c r="N17" s="1152"/>
      <c r="O17" s="1610"/>
      <c r="P17" s="1152"/>
      <c r="Q17" s="1610"/>
      <c r="R17" s="1152"/>
      <c r="S17" s="1610"/>
    </row>
    <row r="18" spans="1:41">
      <c r="A18" s="1603"/>
      <c r="B18" s="1154" t="s">
        <v>736</v>
      </c>
      <c r="C18" s="446"/>
      <c r="D18" s="422"/>
      <c r="E18" s="422"/>
      <c r="F18" s="418"/>
      <c r="G18" s="423"/>
      <c r="H18" s="1152"/>
      <c r="I18" s="1609"/>
      <c r="J18" s="1152"/>
      <c r="K18" s="1610"/>
      <c r="L18" s="1152"/>
      <c r="M18" s="1610"/>
      <c r="N18" s="1152"/>
      <c r="O18" s="1610"/>
      <c r="P18" s="1152"/>
      <c r="Q18" s="1610"/>
      <c r="R18" s="1152"/>
      <c r="S18" s="1610"/>
    </row>
    <row r="19" spans="1:41">
      <c r="A19" s="1097"/>
      <c r="B19" s="1611" t="s">
        <v>737</v>
      </c>
      <c r="C19" s="447"/>
      <c r="D19" s="425"/>
      <c r="E19" s="425"/>
      <c r="F19" s="426"/>
      <c r="G19" s="427"/>
      <c r="H19" s="1156"/>
      <c r="I19" s="1612"/>
      <c r="J19" s="1156"/>
      <c r="K19" s="1613"/>
      <c r="L19" s="1156"/>
      <c r="M19" s="1613"/>
      <c r="N19" s="1156"/>
      <c r="O19" s="1613"/>
      <c r="P19" s="1156"/>
      <c r="Q19" s="1613"/>
      <c r="R19" s="1156"/>
      <c r="S19" s="1613"/>
    </row>
    <row r="20" spans="1:41">
      <c r="A20" s="1603"/>
      <c r="B20" s="1104"/>
      <c r="C20" s="70"/>
      <c r="D20" s="86"/>
      <c r="E20" s="86"/>
      <c r="F20" s="280"/>
      <c r="G20" s="274"/>
      <c r="H20" s="1152"/>
      <c r="I20" s="428"/>
      <c r="J20" s="1152"/>
      <c r="K20" s="428"/>
      <c r="L20" s="1152"/>
      <c r="M20" s="428"/>
      <c r="N20" s="1152"/>
      <c r="O20" s="428"/>
      <c r="P20" s="1152"/>
      <c r="Q20" s="428"/>
      <c r="R20" s="1152"/>
      <c r="S20" s="428"/>
    </row>
    <row r="21" spans="1:41" s="69" customFormat="1">
      <c r="A21" s="1097"/>
      <c r="B21" s="1105"/>
      <c r="C21" s="415"/>
      <c r="D21" s="422"/>
      <c r="E21" s="422"/>
      <c r="F21" s="429"/>
      <c r="G21" s="423"/>
      <c r="H21" s="1152"/>
      <c r="I21" s="1107"/>
      <c r="J21" s="1152"/>
      <c r="K21" s="1106"/>
      <c r="L21" s="1152"/>
      <c r="M21" s="1106"/>
      <c r="N21" s="1152"/>
      <c r="O21" s="1107"/>
      <c r="P21" s="1152"/>
      <c r="Q21" s="1107"/>
      <c r="R21" s="1152"/>
      <c r="S21" s="1106"/>
      <c r="T21"/>
      <c r="U21"/>
      <c r="V21"/>
      <c r="W21"/>
      <c r="X21"/>
      <c r="Y21"/>
      <c r="Z21"/>
      <c r="AA21"/>
      <c r="AB21"/>
      <c r="AC21"/>
      <c r="AD21"/>
      <c r="AE21"/>
      <c r="AF21"/>
      <c r="AG21"/>
      <c r="AH21"/>
      <c r="AI21"/>
      <c r="AJ21"/>
      <c r="AK21"/>
      <c r="AL21"/>
      <c r="AM21"/>
      <c r="AN21"/>
      <c r="AO21"/>
    </row>
    <row r="22" spans="1:41">
      <c r="A22" s="1603"/>
      <c r="B22" s="1614" t="s">
        <v>1828</v>
      </c>
      <c r="C22" s="1548"/>
      <c r="D22" s="1615"/>
      <c r="E22" s="1605"/>
      <c r="F22" s="1616"/>
      <c r="G22" s="1617"/>
      <c r="H22" s="1152" t="s">
        <v>682</v>
      </c>
      <c r="I22" s="1610">
        <v>20000</v>
      </c>
      <c r="J22" s="1152"/>
      <c r="K22" s="1610"/>
      <c r="L22" s="1152"/>
      <c r="M22" s="1610"/>
      <c r="N22" s="1152"/>
      <c r="O22" s="1610"/>
      <c r="P22" s="1152"/>
      <c r="Q22" s="1610"/>
      <c r="R22" s="1152"/>
      <c r="S22" s="1610"/>
    </row>
    <row r="23" spans="1:41">
      <c r="A23" s="1097"/>
      <c r="B23" s="1618" t="s">
        <v>1829</v>
      </c>
      <c r="C23" s="415"/>
      <c r="D23" s="430"/>
      <c r="E23" s="422"/>
      <c r="F23" s="431"/>
      <c r="G23" s="1617"/>
      <c r="H23" s="1152"/>
      <c r="I23" s="1610"/>
      <c r="J23" s="1152"/>
      <c r="K23" s="1610"/>
      <c r="L23" s="1152"/>
      <c r="M23" s="1610"/>
      <c r="N23" s="1152"/>
      <c r="O23" s="1610"/>
      <c r="P23" s="1152"/>
      <c r="Q23" s="1610"/>
      <c r="R23" s="1152"/>
      <c r="S23" s="1610"/>
    </row>
    <row r="24" spans="1:41">
      <c r="A24" s="1603"/>
      <c r="B24" s="1618" t="s">
        <v>1830</v>
      </c>
      <c r="C24" s="415"/>
      <c r="D24" s="430"/>
      <c r="E24" s="422"/>
      <c r="F24" s="431"/>
      <c r="G24" s="1617"/>
      <c r="H24" s="1152"/>
      <c r="I24" s="1610"/>
      <c r="J24" s="1152"/>
      <c r="K24" s="1610"/>
      <c r="L24" s="1152"/>
      <c r="M24" s="1610"/>
      <c r="N24" s="1152"/>
      <c r="O24" s="1610"/>
      <c r="P24" s="1152"/>
      <c r="Q24" s="1610"/>
      <c r="R24" s="1152"/>
      <c r="S24" s="1610"/>
    </row>
    <row r="25" spans="1:41">
      <c r="A25" s="1097"/>
      <c r="B25" s="1619"/>
      <c r="C25" s="415"/>
      <c r="D25" s="430"/>
      <c r="E25" s="422"/>
      <c r="F25" s="431"/>
      <c r="G25" s="1617"/>
      <c r="H25" s="1152"/>
      <c r="I25" s="1610"/>
      <c r="J25" s="1152"/>
      <c r="K25" s="1610"/>
      <c r="L25" s="1152"/>
      <c r="M25" s="1610"/>
      <c r="N25" s="1152"/>
      <c r="O25" s="1610"/>
      <c r="P25" s="1152"/>
      <c r="Q25" s="1610"/>
      <c r="R25" s="1152"/>
      <c r="S25" s="1610"/>
    </row>
    <row r="26" spans="1:41">
      <c r="A26" s="1603"/>
      <c r="B26" s="1163"/>
      <c r="C26" s="23"/>
      <c r="D26" s="87"/>
      <c r="E26" s="86"/>
      <c r="F26" s="431"/>
      <c r="G26" s="830"/>
      <c r="H26" s="1152"/>
      <c r="I26" s="1610"/>
      <c r="J26" s="1152"/>
      <c r="K26" s="1610"/>
      <c r="L26" s="1152"/>
      <c r="M26" s="1610"/>
      <c r="N26" s="1152"/>
      <c r="O26" s="1610"/>
      <c r="P26" s="1152"/>
      <c r="Q26" s="1610"/>
      <c r="R26" s="1152"/>
      <c r="S26" s="1610"/>
    </row>
    <row r="27" spans="1:41" ht="15.75" thickBot="1">
      <c r="A27" s="1603"/>
      <c r="B27" s="1163"/>
      <c r="C27" s="23"/>
      <c r="D27" s="87"/>
      <c r="E27" s="86"/>
      <c r="F27" s="431"/>
      <c r="G27" s="830"/>
      <c r="H27" s="1152"/>
      <c r="I27" s="1610"/>
      <c r="J27" s="1152"/>
      <c r="K27" s="1610"/>
      <c r="L27" s="1152"/>
      <c r="M27" s="1610"/>
      <c r="N27" s="1152"/>
      <c r="O27" s="1610"/>
      <c r="P27" s="1152"/>
      <c r="Q27" s="1610"/>
      <c r="R27" s="1152"/>
      <c r="S27" s="1610"/>
    </row>
    <row r="28" spans="1:41" ht="15.75" thickTop="1">
      <c r="A28" s="296"/>
      <c r="B28" s="301"/>
      <c r="C28" s="297"/>
      <c r="D28" s="15"/>
      <c r="E28" s="16"/>
      <c r="F28" s="282" t="s">
        <v>753</v>
      </c>
      <c r="G28" s="272"/>
      <c r="H28" s="273"/>
      <c r="I28" s="273">
        <f>SUM(I12:I27)</f>
        <v>20000</v>
      </c>
      <c r="J28" s="273"/>
      <c r="K28" s="273">
        <f>SUM(K12:K27)</f>
        <v>0</v>
      </c>
      <c r="L28" s="273"/>
      <c r="M28" s="273">
        <f>SUM(M12:M27)</f>
        <v>0</v>
      </c>
      <c r="N28" s="273"/>
      <c r="O28" s="273">
        <f>SUM(O12:O27)</f>
        <v>0</v>
      </c>
      <c r="P28" s="273"/>
      <c r="Q28" s="273">
        <f>SUM(Q12:Q27)</f>
        <v>0</v>
      </c>
      <c r="R28" s="273"/>
      <c r="S28" s="273">
        <f>SUM(S12:S27)</f>
        <v>0</v>
      </c>
    </row>
    <row r="29" spans="1:41">
      <c r="A29" s="1114"/>
      <c r="B29" s="1164"/>
      <c r="C29" s="432"/>
      <c r="D29" s="433"/>
      <c r="E29" s="434"/>
      <c r="F29" s="435" t="s">
        <v>754</v>
      </c>
      <c r="G29" s="436"/>
      <c r="H29" s="1165">
        <v>0</v>
      </c>
      <c r="I29" s="1166"/>
      <c r="J29" s="1165">
        <v>0</v>
      </c>
      <c r="K29" s="1166"/>
      <c r="L29" s="1165">
        <v>0</v>
      </c>
      <c r="M29" s="1166"/>
      <c r="N29" s="1165">
        <v>0</v>
      </c>
      <c r="O29" s="1166"/>
      <c r="P29" s="1165">
        <v>0</v>
      </c>
      <c r="Q29" s="1166"/>
      <c r="R29" s="1165">
        <v>0</v>
      </c>
      <c r="S29" s="1166"/>
    </row>
    <row r="30" spans="1:41">
      <c r="A30" s="1114"/>
      <c r="B30" s="1164"/>
      <c r="C30" s="432"/>
      <c r="D30" s="433"/>
      <c r="E30" s="434"/>
      <c r="F30" s="435" t="s">
        <v>755</v>
      </c>
      <c r="G30" s="436"/>
      <c r="H30" s="1166"/>
      <c r="I30" s="1166">
        <f>H29*I28</f>
        <v>0</v>
      </c>
      <c r="J30" s="1166"/>
      <c r="K30" s="1166">
        <f>J29*K28</f>
        <v>0</v>
      </c>
      <c r="L30" s="1166"/>
      <c r="M30" s="1166">
        <f>L29*M28</f>
        <v>0</v>
      </c>
      <c r="N30" s="1166"/>
      <c r="O30" s="1166">
        <f>N29*O28</f>
        <v>0</v>
      </c>
      <c r="P30" s="1166"/>
      <c r="Q30" s="1166">
        <f>P29*Q28</f>
        <v>0</v>
      </c>
      <c r="R30" s="1166"/>
      <c r="S30" s="1166">
        <f>R29*S28</f>
        <v>0</v>
      </c>
    </row>
    <row r="31" spans="1:41">
      <c r="A31" s="1114"/>
      <c r="B31" s="1164"/>
      <c r="C31" s="432"/>
      <c r="D31" s="433"/>
      <c r="E31" s="434"/>
      <c r="F31" s="435"/>
      <c r="G31" s="436"/>
      <c r="H31" s="1166"/>
      <c r="I31" s="1166"/>
      <c r="J31" s="1166"/>
      <c r="K31" s="1166"/>
      <c r="L31" s="1166"/>
      <c r="M31" s="1166"/>
      <c r="N31" s="1166"/>
      <c r="O31" s="1166"/>
      <c r="P31" s="1166"/>
      <c r="Q31" s="1166"/>
      <c r="R31" s="1166"/>
      <c r="S31" s="1166"/>
    </row>
    <row r="32" spans="1:41">
      <c r="A32" s="1114"/>
      <c r="B32" s="1164"/>
      <c r="C32" s="432"/>
      <c r="D32" s="433"/>
      <c r="E32" s="434"/>
      <c r="F32" s="435" t="s">
        <v>756</v>
      </c>
      <c r="G32" s="436"/>
      <c r="H32" s="1166"/>
      <c r="I32" s="1166">
        <f>SUM(I28:I30)</f>
        <v>20000</v>
      </c>
      <c r="J32" s="1166"/>
      <c r="K32" s="1166">
        <f>SUM(K28:K30)</f>
        <v>0</v>
      </c>
      <c r="L32" s="1166"/>
      <c r="M32" s="1166">
        <f>SUM(M28:M30)</f>
        <v>0</v>
      </c>
      <c r="N32" s="1166"/>
      <c r="O32" s="1166">
        <f>SUM(O28:O30)</f>
        <v>0</v>
      </c>
      <c r="P32" s="1166"/>
      <c r="Q32" s="1166">
        <f>SUM(Q28:Q30)</f>
        <v>0</v>
      </c>
      <c r="R32" s="1166"/>
      <c r="S32" s="1166">
        <f>SUM(S28:S30)</f>
        <v>0</v>
      </c>
    </row>
    <row r="33" spans="1:34">
      <c r="A33" s="1114"/>
      <c r="B33" s="1164"/>
      <c r="C33" s="432"/>
      <c r="D33" s="433"/>
      <c r="E33" s="434"/>
      <c r="F33" s="437" t="s">
        <v>757</v>
      </c>
      <c r="G33" s="438"/>
      <c r="H33" s="1167"/>
      <c r="I33" s="1167">
        <f>I32/'Area Calculations'!$G$4</f>
        <v>3.4562430983145633E-2</v>
      </c>
      <c r="J33" s="1167"/>
      <c r="K33" s="1167">
        <f>K32/'Area Calculations'!$G$4</f>
        <v>0</v>
      </c>
      <c r="L33" s="1167"/>
      <c r="M33" s="1167">
        <f>M32/'Area Calculations'!$G$4</f>
        <v>0</v>
      </c>
      <c r="N33" s="1167"/>
      <c r="O33" s="1167">
        <f>O32/'Area Calculations'!$G$4</f>
        <v>0</v>
      </c>
      <c r="P33" s="1167"/>
      <c r="Q33" s="1167">
        <f>Q32/'Area Calculations'!$G$4</f>
        <v>0</v>
      </c>
      <c r="R33" s="1167"/>
      <c r="S33" s="1167">
        <f>S32/'Area Calculations'!$G$4</f>
        <v>0</v>
      </c>
    </row>
    <row r="34" spans="1:34">
      <c r="A34" s="1114"/>
      <c r="B34" s="1164"/>
      <c r="C34" s="432"/>
      <c r="D34" s="433"/>
      <c r="E34" s="434"/>
      <c r="F34" s="437" t="s">
        <v>758</v>
      </c>
      <c r="G34" s="438"/>
      <c r="H34" s="1167"/>
      <c r="I34" s="1167">
        <f>I32/'Area Calculations'!$G$9</f>
        <v>186.9158878504673</v>
      </c>
      <c r="J34" s="1167"/>
      <c r="K34" s="1167">
        <f>K32/'Area Calculations'!$G$9</f>
        <v>0</v>
      </c>
      <c r="L34" s="1167"/>
      <c r="M34" s="1167">
        <f>M32/'Area Calculations'!$G$9</f>
        <v>0</v>
      </c>
      <c r="N34" s="1167"/>
      <c r="O34" s="1167">
        <f>O32/'Area Calculations'!$G$9</f>
        <v>0</v>
      </c>
      <c r="P34" s="1167"/>
      <c r="Q34" s="1167">
        <f>Q32/'Area Calculations'!$G$9</f>
        <v>0</v>
      </c>
      <c r="R34" s="1167"/>
      <c r="S34" s="1167">
        <f>S32/'Area Calculations'!$G$9</f>
        <v>0</v>
      </c>
    </row>
    <row r="35" spans="1:34" ht="15.75" thickBot="1">
      <c r="A35" s="1114"/>
      <c r="B35" s="1164"/>
      <c r="C35" s="432"/>
      <c r="D35" s="433"/>
      <c r="E35" s="434"/>
      <c r="F35" s="439"/>
      <c r="G35" s="436"/>
      <c r="H35" s="1168"/>
      <c r="I35" s="1168"/>
      <c r="J35" s="1168"/>
      <c r="K35" s="1168"/>
      <c r="L35" s="1168"/>
      <c r="M35" s="1168"/>
      <c r="N35" s="1168"/>
      <c r="O35" s="1168"/>
      <c r="P35" s="1168"/>
      <c r="Q35" s="1168"/>
      <c r="R35" s="1168"/>
      <c r="S35" s="1168"/>
    </row>
    <row r="36" spans="1:34" ht="16.5" thickTop="1" thickBot="1">
      <c r="A36" s="2331" t="s">
        <v>759</v>
      </c>
      <c r="B36" s="2332"/>
      <c r="C36" s="298"/>
      <c r="D36" s="12"/>
      <c r="E36" s="12"/>
      <c r="F36" s="12"/>
      <c r="G36" s="26"/>
      <c r="H36" s="24"/>
      <c r="I36" s="20"/>
      <c r="J36" s="20"/>
      <c r="K36" s="20"/>
      <c r="L36" s="20"/>
      <c r="M36" s="20"/>
      <c r="N36" s="20"/>
      <c r="O36" s="20"/>
      <c r="P36" s="20"/>
      <c r="Q36" s="20"/>
      <c r="R36" s="20"/>
      <c r="S36" s="20"/>
    </row>
    <row r="37" spans="1:34" ht="15.75" thickTop="1">
      <c r="A37" s="1620"/>
      <c r="B37" s="1105"/>
      <c r="C37" s="1548"/>
      <c r="D37" s="1605"/>
      <c r="E37" s="1605"/>
      <c r="F37" s="1605"/>
      <c r="G37" s="1621"/>
      <c r="H37" s="1622"/>
      <c r="I37" s="1623"/>
      <c r="J37" s="1623"/>
      <c r="K37" s="1623"/>
      <c r="L37" s="1623"/>
      <c r="M37" s="1623"/>
      <c r="N37" s="1623"/>
      <c r="O37" s="1623"/>
      <c r="P37" s="1623"/>
      <c r="Q37" s="1623"/>
      <c r="R37" s="1623"/>
      <c r="S37" s="1623"/>
    </row>
    <row r="38" spans="1:34">
      <c r="A38" s="1620"/>
      <c r="B38" s="1105"/>
      <c r="C38" s="1548"/>
      <c r="D38" s="1605"/>
      <c r="E38" s="1605"/>
      <c r="F38" s="1605"/>
      <c r="G38" s="1621"/>
      <c r="H38" s="1622"/>
      <c r="I38" s="1623"/>
      <c r="J38" s="1623"/>
      <c r="K38" s="1623"/>
      <c r="L38" s="1623"/>
      <c r="M38" s="1623"/>
      <c r="N38" s="1623"/>
      <c r="O38" s="1623"/>
      <c r="P38" s="1623"/>
      <c r="Q38" s="1623"/>
      <c r="R38" s="1623"/>
      <c r="S38" s="1623"/>
    </row>
    <row r="39" spans="1:34" ht="15.75" thickBot="1">
      <c r="A39" s="1620"/>
      <c r="B39" s="1105"/>
      <c r="C39" s="1548"/>
      <c r="D39" s="1605"/>
      <c r="E39" s="1605"/>
      <c r="F39" s="1605"/>
      <c r="G39" s="1621"/>
      <c r="H39" s="1622"/>
      <c r="I39" s="1623"/>
      <c r="J39" s="1623"/>
      <c r="K39" s="1623"/>
      <c r="L39" s="1623"/>
      <c r="M39" s="1623"/>
      <c r="N39" s="1623"/>
      <c r="O39" s="1623"/>
      <c r="P39" s="1623"/>
      <c r="Q39" s="1623"/>
      <c r="R39" s="1623"/>
      <c r="S39" s="1623"/>
    </row>
    <row r="40" spans="1:34" s="2" customFormat="1" ht="16.5" thickTop="1" thickBot="1">
      <c r="A40" s="2331" t="s">
        <v>760</v>
      </c>
      <c r="B40" s="2332"/>
      <c r="C40" s="298"/>
      <c r="D40" s="12"/>
      <c r="E40" s="12"/>
      <c r="F40" s="12"/>
      <c r="G40" s="26"/>
      <c r="H40" s="24"/>
      <c r="I40" s="20"/>
      <c r="J40" s="20"/>
      <c r="K40" s="20"/>
      <c r="L40" s="20"/>
      <c r="M40" s="20"/>
      <c r="N40" s="20"/>
      <c r="O40" s="20"/>
      <c r="P40" s="20"/>
      <c r="Q40" s="20"/>
      <c r="R40" s="20"/>
      <c r="S40" s="20"/>
      <c r="T40"/>
      <c r="U40"/>
      <c r="V40"/>
      <c r="W40"/>
      <c r="X40"/>
      <c r="Y40"/>
      <c r="Z40"/>
      <c r="AA40"/>
      <c r="AB40"/>
      <c r="AC40"/>
      <c r="AD40"/>
      <c r="AE40"/>
      <c r="AF40"/>
      <c r="AG40"/>
      <c r="AH40"/>
    </row>
    <row r="41" spans="1:34" s="2" customFormat="1" ht="15.75" thickTop="1">
      <c r="A41" s="1620"/>
      <c r="B41" s="1105"/>
      <c r="C41" s="1548"/>
      <c r="D41" s="1605"/>
      <c r="E41" s="1605"/>
      <c r="F41" s="1605"/>
      <c r="G41" s="1621"/>
      <c r="H41" s="1622"/>
      <c r="I41" s="1623"/>
      <c r="J41" s="1623"/>
      <c r="K41" s="1623"/>
      <c r="L41" s="1623"/>
      <c r="M41" s="1623"/>
      <c r="N41" s="1623"/>
      <c r="O41" s="1623"/>
      <c r="P41" s="1623"/>
      <c r="Q41" s="1623"/>
      <c r="R41" s="1623"/>
      <c r="S41" s="1623"/>
      <c r="T41"/>
      <c r="U41"/>
      <c r="V41"/>
      <c r="W41"/>
      <c r="X41"/>
      <c r="Y41"/>
      <c r="Z41"/>
      <c r="AA41"/>
      <c r="AB41"/>
      <c r="AC41"/>
      <c r="AD41"/>
      <c r="AE41"/>
      <c r="AF41"/>
      <c r="AG41"/>
      <c r="AH41"/>
    </row>
    <row r="42" spans="1:34" s="2" customFormat="1">
      <c r="A42" s="1620"/>
      <c r="B42" s="1105"/>
      <c r="C42" s="1548"/>
      <c r="D42" s="1605"/>
      <c r="E42" s="1605"/>
      <c r="F42" s="1605"/>
      <c r="G42" s="1621"/>
      <c r="H42" s="1622"/>
      <c r="I42" s="1623"/>
      <c r="J42" s="1623"/>
      <c r="K42" s="1623"/>
      <c r="L42" s="1623"/>
      <c r="M42" s="1623"/>
      <c r="N42" s="1623"/>
      <c r="O42" s="1623"/>
      <c r="P42" s="1623"/>
      <c r="Q42" s="1623"/>
      <c r="R42" s="1623"/>
      <c r="S42" s="1623"/>
      <c r="T42"/>
      <c r="U42"/>
      <c r="V42"/>
      <c r="W42"/>
      <c r="X42"/>
      <c r="Y42"/>
      <c r="Z42"/>
      <c r="AA42"/>
      <c r="AB42"/>
      <c r="AC42"/>
      <c r="AD42"/>
      <c r="AE42"/>
      <c r="AF42"/>
      <c r="AG42"/>
      <c r="AH42"/>
    </row>
    <row r="43" spans="1:34" ht="15.75" thickBot="1">
      <c r="A43" s="1620"/>
      <c r="B43" s="1105"/>
      <c r="C43" s="1548"/>
      <c r="D43" s="1605"/>
      <c r="E43" s="1605"/>
      <c r="F43" s="1605"/>
      <c r="G43" s="1621"/>
      <c r="H43" s="1622"/>
      <c r="I43" s="1623"/>
      <c r="J43" s="1623"/>
      <c r="K43" s="1623"/>
      <c r="L43" s="1623"/>
      <c r="M43" s="1623"/>
      <c r="N43" s="1623"/>
      <c r="O43" s="1623"/>
      <c r="P43" s="1623"/>
      <c r="Q43" s="1623"/>
      <c r="R43" s="1623"/>
      <c r="S43" s="1623"/>
    </row>
    <row r="44" spans="1:34" s="2" customFormat="1" ht="16.5" thickTop="1" thickBot="1">
      <c r="A44" s="2331" t="s">
        <v>761</v>
      </c>
      <c r="B44" s="2332"/>
      <c r="C44" s="298"/>
      <c r="D44" s="12"/>
      <c r="E44" s="12"/>
      <c r="F44" s="12"/>
      <c r="G44" s="26"/>
      <c r="H44" s="24"/>
      <c r="I44" s="20"/>
      <c r="J44" s="20"/>
      <c r="K44" s="20"/>
      <c r="L44" s="20"/>
      <c r="M44" s="20"/>
      <c r="N44" s="20"/>
      <c r="O44" s="20"/>
      <c r="P44" s="20"/>
      <c r="Q44" s="20"/>
      <c r="R44" s="20"/>
      <c r="S44" s="20"/>
      <c r="T44"/>
      <c r="U44"/>
      <c r="V44"/>
      <c r="W44"/>
      <c r="X44"/>
      <c r="Y44"/>
      <c r="Z44"/>
      <c r="AA44"/>
      <c r="AB44"/>
      <c r="AC44"/>
      <c r="AD44"/>
      <c r="AE44"/>
      <c r="AF44"/>
      <c r="AG44"/>
      <c r="AH44"/>
    </row>
    <row r="45" spans="1:34" s="2" customFormat="1">
      <c r="A45" s="1620"/>
      <c r="B45" s="1105" t="s">
        <v>1831</v>
      </c>
      <c r="C45" s="1548"/>
      <c r="D45" s="1605">
        <v>1</v>
      </c>
      <c r="E45" s="1605" t="s">
        <v>462</v>
      </c>
      <c r="F45" s="1606">
        <v>350000</v>
      </c>
      <c r="G45" s="1624">
        <f>D45*F45</f>
        <v>350000</v>
      </c>
      <c r="H45" s="1622"/>
      <c r="I45" s="1623"/>
      <c r="J45" s="1623"/>
      <c r="K45" s="1623"/>
      <c r="L45" s="1623"/>
      <c r="M45" s="1623"/>
      <c r="N45" s="1623"/>
      <c r="O45" s="1623"/>
      <c r="P45" s="1623"/>
      <c r="Q45" s="1623"/>
      <c r="R45" s="1623"/>
      <c r="S45" s="1623"/>
      <c r="T45"/>
      <c r="U45"/>
      <c r="V45"/>
      <c r="W45"/>
      <c r="X45"/>
      <c r="Y45"/>
      <c r="Z45"/>
      <c r="AA45"/>
      <c r="AB45"/>
      <c r="AC45"/>
      <c r="AD45"/>
      <c r="AE45"/>
      <c r="AF45"/>
      <c r="AG45"/>
      <c r="AH45"/>
    </row>
    <row r="46" spans="1:34" s="2" customFormat="1">
      <c r="A46" s="1124"/>
      <c r="B46" s="1105"/>
      <c r="C46" s="415"/>
      <c r="D46" s="422"/>
      <c r="E46" s="422"/>
      <c r="F46" s="422"/>
      <c r="G46" s="831"/>
      <c r="H46" s="440"/>
      <c r="I46" s="1173"/>
      <c r="J46" s="1173"/>
      <c r="K46" s="1173"/>
      <c r="L46" s="1173"/>
      <c r="M46" s="1173"/>
      <c r="N46" s="1173"/>
      <c r="O46" s="1173"/>
      <c r="P46" s="1173"/>
      <c r="Q46" s="1173"/>
      <c r="R46" s="1173"/>
      <c r="S46" s="1173"/>
      <c r="T46"/>
      <c r="U46"/>
      <c r="V46"/>
      <c r="W46"/>
      <c r="X46"/>
      <c r="Y46"/>
      <c r="Z46"/>
      <c r="AA46"/>
      <c r="AB46"/>
      <c r="AC46"/>
      <c r="AD46"/>
      <c r="AE46"/>
      <c r="AF46"/>
      <c r="AG46"/>
      <c r="AH46"/>
    </row>
    <row r="47" spans="1:34" s="2" customFormat="1" ht="15.75" thickBot="1">
      <c r="A47" s="1126"/>
      <c r="B47" s="1174"/>
      <c r="C47" s="415"/>
      <c r="D47" s="422"/>
      <c r="E47" s="422"/>
      <c r="F47" s="422"/>
      <c r="G47" s="831"/>
      <c r="H47" s="441"/>
      <c r="I47" s="1175"/>
      <c r="J47" s="1175"/>
      <c r="K47" s="1175"/>
      <c r="L47" s="1175"/>
      <c r="M47" s="1175"/>
      <c r="N47" s="1175"/>
      <c r="O47" s="1175"/>
      <c r="P47" s="1175"/>
      <c r="Q47" s="1175"/>
      <c r="R47" s="1175"/>
      <c r="S47" s="1175"/>
    </row>
    <row r="48" spans="1:34" s="2" customFormat="1" ht="16.5" thickTop="1" thickBot="1">
      <c r="A48" s="2331" t="s">
        <v>762</v>
      </c>
      <c r="B48" s="2332"/>
      <c r="C48" s="298"/>
      <c r="D48" s="12"/>
      <c r="E48" s="12"/>
      <c r="F48" s="12"/>
      <c r="G48" s="26"/>
      <c r="H48" s="24"/>
      <c r="I48" s="20"/>
      <c r="J48" s="20"/>
      <c r="K48" s="20"/>
      <c r="L48" s="20"/>
      <c r="M48" s="20"/>
      <c r="N48" s="20"/>
      <c r="O48" s="20"/>
      <c r="P48" s="20"/>
      <c r="Q48" s="20"/>
      <c r="R48" s="20"/>
      <c r="S48" s="20"/>
      <c r="T48"/>
      <c r="U48"/>
      <c r="V48"/>
      <c r="W48"/>
      <c r="X48"/>
      <c r="Y48"/>
      <c r="Z48"/>
      <c r="AA48"/>
      <c r="AB48"/>
      <c r="AC48"/>
      <c r="AD48"/>
      <c r="AE48"/>
      <c r="AF48"/>
      <c r="AG48"/>
      <c r="AH48"/>
    </row>
    <row r="49" spans="1:34" ht="15.75" thickTop="1">
      <c r="A49" s="1625"/>
      <c r="B49" s="1626"/>
      <c r="C49" s="1548"/>
      <c r="D49" s="1605"/>
      <c r="E49" s="1605"/>
      <c r="F49" s="1605"/>
      <c r="G49" s="1621"/>
      <c r="H49" s="1622"/>
      <c r="I49" s="1623"/>
      <c r="J49" s="1623"/>
      <c r="K49" s="1623"/>
      <c r="L49" s="1623"/>
      <c r="M49" s="1623"/>
      <c r="N49" s="1623"/>
      <c r="O49" s="1623"/>
      <c r="P49" s="1623"/>
      <c r="Q49" s="1623"/>
      <c r="R49" s="1623"/>
      <c r="S49" s="1623"/>
      <c r="T49" s="2"/>
      <c r="U49" s="2"/>
      <c r="V49" s="2"/>
      <c r="W49" s="2"/>
      <c r="X49" s="2"/>
      <c r="Y49" s="2"/>
      <c r="Z49" s="2"/>
      <c r="AA49" s="2"/>
      <c r="AB49" s="2"/>
      <c r="AC49" s="2"/>
      <c r="AD49" s="2"/>
      <c r="AE49" s="2"/>
      <c r="AF49" s="2"/>
      <c r="AG49" s="2"/>
      <c r="AH49" s="2"/>
    </row>
    <row r="50" spans="1:34">
      <c r="A50" s="1126"/>
      <c r="B50" s="1174"/>
      <c r="C50" s="415"/>
      <c r="D50" s="422"/>
      <c r="E50" s="422"/>
      <c r="F50" s="422"/>
      <c r="G50" s="831"/>
      <c r="H50" s="442"/>
      <c r="I50" s="1178"/>
      <c r="J50" s="1178"/>
      <c r="K50" s="1178"/>
      <c r="L50" s="1178"/>
      <c r="M50" s="1178"/>
      <c r="N50" s="1178"/>
      <c r="O50" s="1178"/>
      <c r="P50" s="1178"/>
      <c r="Q50" s="1178"/>
      <c r="R50" s="1178"/>
      <c r="S50" s="1178"/>
      <c r="T50" s="2"/>
      <c r="U50" s="2"/>
      <c r="V50" s="2"/>
      <c r="W50" s="2"/>
      <c r="X50" s="2"/>
      <c r="Y50" s="2"/>
      <c r="Z50" s="2"/>
      <c r="AA50" s="2"/>
      <c r="AB50" s="2"/>
      <c r="AC50" s="2"/>
      <c r="AD50" s="2"/>
      <c r="AE50" s="2"/>
      <c r="AF50" s="2"/>
      <c r="AG50" s="2"/>
      <c r="AH50" s="2"/>
    </row>
    <row r="51" spans="1:34" ht="15.75" thickBot="1">
      <c r="A51" s="1126"/>
      <c r="B51" s="1174"/>
      <c r="C51" s="415"/>
      <c r="D51" s="422"/>
      <c r="E51" s="422"/>
      <c r="F51" s="422"/>
      <c r="G51" s="831"/>
      <c r="H51" s="442"/>
      <c r="I51" s="1178"/>
      <c r="J51" s="1178"/>
      <c r="K51" s="1178"/>
      <c r="L51" s="1178"/>
      <c r="M51" s="1178"/>
      <c r="N51" s="1178"/>
      <c r="O51" s="1178"/>
      <c r="P51" s="1178"/>
      <c r="Q51" s="1178"/>
      <c r="R51" s="1178"/>
      <c r="S51" s="1178"/>
      <c r="T51" s="2"/>
      <c r="U51" s="2"/>
      <c r="V51" s="2"/>
      <c r="W51" s="2"/>
      <c r="X51" s="2"/>
      <c r="Y51" s="2"/>
      <c r="Z51" s="2"/>
      <c r="AA51" s="2"/>
      <c r="AB51" s="2"/>
      <c r="AC51" s="2"/>
      <c r="AD51" s="2"/>
      <c r="AE51" s="2"/>
      <c r="AF51" s="2"/>
      <c r="AG51" s="2"/>
      <c r="AH51" s="2"/>
    </row>
    <row r="52" spans="1:34" ht="16.5" thickTop="1" thickBot="1">
      <c r="A52" s="2331" t="s">
        <v>763</v>
      </c>
      <c r="B52" s="2332"/>
      <c r="C52" s="298"/>
      <c r="D52" s="12"/>
      <c r="E52" s="12"/>
      <c r="F52" s="12"/>
      <c r="G52" s="26"/>
      <c r="H52" s="24"/>
      <c r="I52" s="20"/>
      <c r="J52" s="20"/>
      <c r="K52" s="20"/>
      <c r="L52" s="20"/>
      <c r="M52" s="20"/>
      <c r="N52" s="20"/>
      <c r="O52" s="20"/>
      <c r="P52" s="20"/>
      <c r="Q52" s="20"/>
      <c r="R52" s="20"/>
      <c r="S52" s="20"/>
    </row>
    <row r="53" spans="1:34" ht="15.75" thickTop="1">
      <c r="A53" s="1124"/>
      <c r="B53" s="1105" t="s">
        <v>764</v>
      </c>
      <c r="C53" s="415"/>
      <c r="D53" s="422"/>
      <c r="E53" s="422"/>
      <c r="F53" s="422"/>
      <c r="G53" s="831"/>
      <c r="H53" s="442"/>
      <c r="I53" s="1178"/>
      <c r="J53" s="1178"/>
      <c r="K53" s="1178"/>
      <c r="L53" s="1178"/>
      <c r="M53" s="1178"/>
      <c r="N53" s="1178"/>
      <c r="O53" s="1178"/>
      <c r="P53" s="1178"/>
      <c r="Q53" s="1178"/>
      <c r="R53" s="1178"/>
      <c r="S53" s="1178"/>
    </row>
    <row r="54" spans="1:34">
      <c r="A54" s="1124"/>
      <c r="B54" s="1105" t="s">
        <v>765</v>
      </c>
      <c r="C54" s="415"/>
      <c r="D54" s="422"/>
      <c r="E54" s="422"/>
      <c r="F54" s="422"/>
      <c r="G54" s="831"/>
      <c r="H54" s="442"/>
      <c r="I54" s="1178"/>
      <c r="J54" s="1178"/>
      <c r="K54" s="1178"/>
      <c r="L54" s="1178"/>
      <c r="M54" s="1178"/>
      <c r="N54" s="1178"/>
      <c r="O54" s="1178"/>
      <c r="P54" s="1178"/>
      <c r="Q54" s="1178"/>
      <c r="R54" s="1178"/>
      <c r="S54" s="1178"/>
    </row>
    <row r="55" spans="1:34">
      <c r="A55" s="1124"/>
      <c r="B55" s="1105" t="s">
        <v>766</v>
      </c>
      <c r="C55" s="415"/>
      <c r="D55" s="422"/>
      <c r="E55" s="422"/>
      <c r="F55" s="422"/>
      <c r="G55" s="831"/>
      <c r="H55" s="442"/>
      <c r="I55" s="1178"/>
      <c r="J55" s="1178"/>
      <c r="K55" s="1178"/>
      <c r="L55" s="1178"/>
      <c r="M55" s="1178"/>
      <c r="N55" s="1178"/>
      <c r="O55" s="1178"/>
      <c r="P55" s="1178"/>
      <c r="Q55" s="1178"/>
      <c r="R55" s="1178"/>
      <c r="S55" s="1178"/>
    </row>
    <row r="56" spans="1:34">
      <c r="A56" s="1124"/>
      <c r="B56" s="1105" t="s">
        <v>767</v>
      </c>
      <c r="C56" s="415"/>
      <c r="D56" s="422"/>
      <c r="E56" s="422"/>
      <c r="F56" s="422"/>
      <c r="G56" s="831"/>
      <c r="H56" s="442"/>
      <c r="I56" s="1178"/>
      <c r="J56" s="1178"/>
      <c r="K56" s="1178"/>
      <c r="L56" s="1178"/>
      <c r="M56" s="1178"/>
      <c r="N56" s="1178"/>
      <c r="O56" s="1178"/>
      <c r="P56" s="1178"/>
      <c r="Q56" s="1178"/>
      <c r="R56" s="1178"/>
      <c r="S56" s="1178"/>
    </row>
    <row r="57" spans="1:34" ht="15.75" thickBot="1">
      <c r="A57" s="443"/>
      <c r="B57" s="421"/>
      <c r="C57" s="23"/>
      <c r="D57" s="86"/>
      <c r="E57" s="86"/>
      <c r="F57" s="86"/>
      <c r="G57" s="27"/>
      <c r="H57" s="25"/>
      <c r="I57" s="444"/>
      <c r="J57" s="444"/>
      <c r="K57" s="444"/>
      <c r="L57" s="444"/>
      <c r="M57" s="444"/>
      <c r="N57" s="444"/>
      <c r="O57" s="444"/>
      <c r="P57" s="444"/>
      <c r="Q57" s="444"/>
      <c r="R57" s="444"/>
      <c r="S57" s="444"/>
    </row>
    <row r="58" spans="1:34" ht="16.5" thickTop="1" thickBot="1">
      <c r="A58" s="72" t="s">
        <v>768</v>
      </c>
      <c r="B58" s="73"/>
      <c r="C58" s="298"/>
      <c r="D58" s="12"/>
      <c r="E58" s="12"/>
      <c r="F58" s="12"/>
      <c r="G58" s="26"/>
      <c r="H58" s="24"/>
      <c r="I58" s="20"/>
      <c r="J58" s="20"/>
      <c r="K58" s="20"/>
      <c r="L58" s="20"/>
      <c r="M58" s="20"/>
      <c r="N58" s="20"/>
      <c r="O58" s="20"/>
      <c r="P58" s="20"/>
      <c r="Q58" s="20"/>
      <c r="R58" s="20"/>
      <c r="S58" s="20"/>
    </row>
    <row r="59" spans="1:34" ht="15.75" thickTop="1">
      <c r="A59" s="1620"/>
      <c r="B59" s="1627" t="s">
        <v>769</v>
      </c>
      <c r="C59" s="1548"/>
      <c r="D59" s="1605"/>
      <c r="E59" s="1605"/>
      <c r="F59" s="1605"/>
      <c r="G59" s="1621"/>
      <c r="H59" s="1628"/>
      <c r="I59" s="1629"/>
      <c r="J59" s="1629"/>
      <c r="K59" s="1629"/>
      <c r="L59" s="1629"/>
      <c r="M59" s="1629"/>
      <c r="N59" s="1629"/>
      <c r="O59" s="1629"/>
      <c r="P59" s="1629"/>
      <c r="Q59" s="1629"/>
      <c r="R59" s="1629"/>
      <c r="S59" s="1629"/>
    </row>
    <row r="60" spans="1:34">
      <c r="A60" s="1124"/>
      <c r="B60" s="1105" t="s">
        <v>770</v>
      </c>
      <c r="C60" s="415"/>
      <c r="D60" s="422"/>
      <c r="E60" s="422"/>
      <c r="F60" s="422"/>
      <c r="G60" s="831"/>
      <c r="H60" s="445"/>
      <c r="I60" s="1182"/>
      <c r="J60" s="1182"/>
      <c r="K60" s="1182"/>
      <c r="L60" s="1182"/>
      <c r="M60" s="1182"/>
      <c r="N60" s="1182"/>
      <c r="O60" s="1182"/>
      <c r="P60" s="1182"/>
      <c r="Q60" s="1182"/>
      <c r="R60" s="1182"/>
      <c r="S60" s="1182"/>
    </row>
    <row r="61" spans="1:34" ht="15.75" thickBot="1">
      <c r="A61" s="1183"/>
      <c r="B61" s="1184" t="s">
        <v>771</v>
      </c>
      <c r="C61" s="1185"/>
      <c r="D61" s="1186"/>
      <c r="E61" s="1186"/>
      <c r="F61" s="1186"/>
      <c r="G61" s="1187"/>
      <c r="H61" s="1188"/>
      <c r="I61" s="1189"/>
      <c r="J61" s="1189"/>
      <c r="K61" s="1189"/>
      <c r="L61" s="1189"/>
      <c r="M61" s="1189"/>
      <c r="N61" s="1189"/>
      <c r="O61" s="1189"/>
      <c r="P61" s="1189"/>
      <c r="Q61" s="1189"/>
      <c r="R61" s="1189"/>
      <c r="S61" s="1189"/>
    </row>
    <row r="62" spans="1:34" ht="16.5" thickTop="1" thickBot="1">
      <c r="F62" s="2"/>
      <c r="G62" s="2"/>
      <c r="H62" s="2"/>
      <c r="I62" s="2"/>
      <c r="J62" s="2"/>
      <c r="K62" s="2"/>
      <c r="L62" s="2"/>
      <c r="M62" s="2"/>
      <c r="N62" s="2"/>
      <c r="O62" s="2"/>
      <c r="P62" s="2"/>
      <c r="Q62" s="2"/>
      <c r="R62" s="2"/>
      <c r="S62" s="2"/>
    </row>
    <row r="63" spans="1:34" ht="16.5" thickTop="1" thickBot="1">
      <c r="A63" s="37" t="s">
        <v>772</v>
      </c>
      <c r="B63" s="39"/>
      <c r="F63" s="2"/>
      <c r="G63" s="2"/>
      <c r="H63" s="2"/>
      <c r="I63" s="2"/>
      <c r="J63" s="2"/>
      <c r="K63" s="2"/>
      <c r="L63" s="2"/>
      <c r="M63" s="2"/>
      <c r="N63" s="2"/>
      <c r="O63" s="2"/>
      <c r="P63" s="2"/>
      <c r="Q63" s="2"/>
      <c r="R63" s="2"/>
      <c r="S63" s="2"/>
    </row>
    <row r="64" spans="1:34" ht="15.75" thickTop="1">
      <c r="A64" s="38" t="s">
        <v>693</v>
      </c>
      <c r="B64" s="1190"/>
      <c r="F64" s="2"/>
      <c r="G64" s="2"/>
      <c r="H64" s="2"/>
      <c r="I64" s="2"/>
      <c r="J64" s="2"/>
      <c r="K64" s="2"/>
      <c r="L64" s="2"/>
      <c r="M64" s="2"/>
      <c r="N64" s="2"/>
      <c r="O64" s="2"/>
      <c r="P64" s="2"/>
      <c r="Q64" s="2"/>
      <c r="R64" s="2"/>
      <c r="S64" s="2"/>
    </row>
    <row r="65" spans="1:19">
      <c r="A65" s="1142" t="s">
        <v>702</v>
      </c>
      <c r="B65" s="1190"/>
      <c r="F65" s="2"/>
      <c r="G65" s="2"/>
      <c r="H65" s="2"/>
      <c r="I65" s="2"/>
      <c r="J65" s="2"/>
      <c r="K65" s="2"/>
      <c r="L65" s="2"/>
      <c r="M65" s="2"/>
      <c r="N65" s="2"/>
      <c r="O65" s="2"/>
      <c r="P65" s="2"/>
      <c r="Q65" s="2"/>
      <c r="R65" s="2"/>
      <c r="S65" s="2"/>
    </row>
    <row r="66" spans="1:19">
      <c r="A66" s="1191" t="s">
        <v>708</v>
      </c>
      <c r="B66" s="1192"/>
      <c r="F66" s="2"/>
      <c r="G66" s="2"/>
      <c r="H66" s="2"/>
      <c r="I66" s="2"/>
      <c r="J66" s="2"/>
      <c r="K66" s="2"/>
      <c r="L66" s="2"/>
      <c r="M66" s="2"/>
      <c r="N66" s="2"/>
      <c r="O66" s="2"/>
      <c r="P66" s="2"/>
      <c r="Q66" s="2"/>
      <c r="R66" s="2"/>
      <c r="S66" s="2"/>
    </row>
    <row r="67" spans="1:19">
      <c r="A67" s="1191" t="s">
        <v>713</v>
      </c>
      <c r="B67" s="1193"/>
      <c r="F67" s="2"/>
      <c r="G67" s="2"/>
      <c r="H67" s="2"/>
      <c r="I67" s="2"/>
      <c r="J67" s="2"/>
      <c r="K67" s="2"/>
      <c r="L67" s="2"/>
      <c r="M67" s="2"/>
      <c r="N67" s="2"/>
      <c r="O67" s="2"/>
      <c r="P67" s="2"/>
      <c r="Q67" s="2"/>
      <c r="R67" s="2"/>
      <c r="S67" s="2"/>
    </row>
    <row r="68" spans="1:19" ht="15.75" thickBot="1">
      <c r="A68" s="1194" t="s">
        <v>69</v>
      </c>
      <c r="B68" s="1231">
        <f>I32</f>
        <v>20000</v>
      </c>
      <c r="F68" s="2"/>
      <c r="G68" s="2"/>
      <c r="H68" s="2"/>
      <c r="I68" s="2"/>
      <c r="J68" s="2"/>
      <c r="K68" s="2"/>
      <c r="L68" s="2"/>
      <c r="M68" s="2"/>
      <c r="N68" s="2"/>
      <c r="O68" s="2"/>
      <c r="P68" s="2"/>
      <c r="Q68" s="2"/>
      <c r="R68" s="2"/>
      <c r="S68" s="2"/>
    </row>
    <row r="69" spans="1:19" ht="15.75" thickTop="1"/>
  </sheetData>
  <mergeCells count="41">
    <mergeCell ref="A36:B36"/>
    <mergeCell ref="A40:B40"/>
    <mergeCell ref="A44:B44"/>
    <mergeCell ref="A48:B48"/>
    <mergeCell ref="A52:B52"/>
    <mergeCell ref="R5:S5"/>
    <mergeCell ref="R6:S6"/>
    <mergeCell ref="R7:S7"/>
    <mergeCell ref="R8:S8"/>
    <mergeCell ref="R9:S9"/>
    <mergeCell ref="H9:I9"/>
    <mergeCell ref="J9:K9"/>
    <mergeCell ref="L9:M9"/>
    <mergeCell ref="N9:O9"/>
    <mergeCell ref="P9:Q9"/>
    <mergeCell ref="H7:I7"/>
    <mergeCell ref="J7:K7"/>
    <mergeCell ref="L7:M7"/>
    <mergeCell ref="N7:O7"/>
    <mergeCell ref="P7:Q7"/>
    <mergeCell ref="H8:I8"/>
    <mergeCell ref="J8:K8"/>
    <mergeCell ref="L8:M8"/>
    <mergeCell ref="N8:O8"/>
    <mergeCell ref="P8:Q8"/>
    <mergeCell ref="H5:I5"/>
    <mergeCell ref="J5:K5"/>
    <mergeCell ref="L5:M5"/>
    <mergeCell ref="N5:O5"/>
    <mergeCell ref="P5:Q5"/>
    <mergeCell ref="H6:I6"/>
    <mergeCell ref="J6:K6"/>
    <mergeCell ref="L6:M6"/>
    <mergeCell ref="N6:O6"/>
    <mergeCell ref="P6:Q6"/>
    <mergeCell ref="R4:S4"/>
    <mergeCell ref="H4:I4"/>
    <mergeCell ref="J4:K4"/>
    <mergeCell ref="L4:M4"/>
    <mergeCell ref="N4:O4"/>
    <mergeCell ref="P4:Q4"/>
  </mergeCells>
  <conditionalFormatting sqref="H11:H18 J11:J18 L11:L18 N11:N18 P11:P18 R11:R18 H20:H27 J20:J27 L20:L27 N20:N27 P20:P27 R20:R27">
    <cfRule type="cellIs" dxfId="341" priority="13" operator="equal">
      <formula>"X"</formula>
    </cfRule>
    <cfRule type="cellIs" dxfId="340" priority="14" operator="equal">
      <formula>"I"</formula>
    </cfRule>
  </conditionalFormatting>
  <hyperlinks>
    <hyperlink ref="B4" location="'Cost Summary'!A1" display="BACK TO SUMMARY SHEET" xr:uid="{139179C1-8E4D-4E5E-AAD5-8E8339568B39}"/>
    <hyperlink ref="H8:I8" r:id="rId1" display="desiree.reynolds@identitygroup.com" xr:uid="{67745DC6-EE90-4ED3-A8BD-F3ABA8C7A178}"/>
  </hyperlinks>
  <pageMargins left="0.7" right="0.7" top="0.75" bottom="0.75" header="0.3" footer="0.3"/>
  <pageSetup orientation="portrait"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7A28-1B96-4878-9CE3-BBD9B1762ABE}">
  <sheetPr>
    <tabColor theme="9" tint="0.39997558519241921"/>
  </sheetPr>
  <dimension ref="A1:AO89"/>
  <sheetViews>
    <sheetView zoomScale="90" zoomScaleNormal="90" workbookViewId="0">
      <pane xSplit="2" ySplit="10" topLeftCell="C30" activePane="bottomRight" state="frozen"/>
      <selection pane="topRight" activeCell="C1" sqref="C1"/>
      <selection pane="bottomLeft" activeCell="A11" sqref="A11"/>
      <selection pane="bottomRight" activeCell="H9" sqref="H9:I9"/>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66" t="s">
        <v>414</v>
      </c>
      <c r="I5" s="2367"/>
      <c r="J5" s="2366" t="s">
        <v>1832</v>
      </c>
      <c r="K5" s="2367"/>
      <c r="L5" s="2366" t="s">
        <v>1833</v>
      </c>
      <c r="M5" s="2367"/>
      <c r="N5" s="2366" t="s">
        <v>1834</v>
      </c>
      <c r="O5" s="2367"/>
      <c r="P5" s="2333"/>
      <c r="Q5" s="2334"/>
      <c r="R5" s="2333"/>
      <c r="S5" s="2334"/>
      <c r="X5" s="261"/>
    </row>
    <row r="6" spans="1:24">
      <c r="A6" s="1082" t="s">
        <v>700</v>
      </c>
      <c r="B6" s="1196" t="s">
        <v>1835</v>
      </c>
      <c r="C6" s="415"/>
      <c r="D6" s="416"/>
      <c r="E6" s="417"/>
      <c r="F6" s="418"/>
      <c r="G6" s="419" t="s">
        <v>702</v>
      </c>
      <c r="H6" s="2368" t="s">
        <v>1836</v>
      </c>
      <c r="I6" s="2369"/>
      <c r="J6" s="2368" t="s">
        <v>1837</v>
      </c>
      <c r="K6" s="2369"/>
      <c r="L6" s="2368" t="s">
        <v>1838</v>
      </c>
      <c r="M6" s="2369"/>
      <c r="N6" s="2368" t="s">
        <v>1839</v>
      </c>
      <c r="O6" s="2369"/>
      <c r="P6" s="2313"/>
      <c r="Q6" s="2314"/>
      <c r="R6" s="2313"/>
      <c r="S6" s="2314"/>
      <c r="X6" s="261"/>
    </row>
    <row r="7" spans="1:24">
      <c r="A7" s="1082" t="s">
        <v>706</v>
      </c>
      <c r="B7" s="1197" t="s">
        <v>1840</v>
      </c>
      <c r="C7" s="415"/>
      <c r="D7" s="416"/>
      <c r="E7" s="417"/>
      <c r="F7" s="418"/>
      <c r="G7" s="829" t="s">
        <v>708</v>
      </c>
      <c r="H7" s="2368" t="s">
        <v>1841</v>
      </c>
      <c r="I7" s="2369"/>
      <c r="J7" s="2368" t="s">
        <v>1842</v>
      </c>
      <c r="K7" s="2369"/>
      <c r="L7" s="2368" t="s">
        <v>1843</v>
      </c>
      <c r="M7" s="2369"/>
      <c r="N7" s="2368" t="s">
        <v>1844</v>
      </c>
      <c r="O7" s="2369"/>
      <c r="P7" s="2313"/>
      <c r="Q7" s="2314"/>
      <c r="R7" s="2313"/>
      <c r="S7" s="2314"/>
      <c r="X7" s="261"/>
    </row>
    <row r="8" spans="1:24">
      <c r="A8" s="1082" t="s">
        <v>712</v>
      </c>
      <c r="B8" s="1198"/>
      <c r="C8" s="415"/>
      <c r="D8" s="416"/>
      <c r="E8" s="417"/>
      <c r="F8" s="418"/>
      <c r="G8" s="829" t="s">
        <v>713</v>
      </c>
      <c r="H8" s="2343" t="s">
        <v>1845</v>
      </c>
      <c r="I8" s="2344"/>
      <c r="J8" s="2343" t="s">
        <v>1846</v>
      </c>
      <c r="K8" s="2344"/>
      <c r="L8" s="2343" t="s">
        <v>1847</v>
      </c>
      <c r="M8" s="2344"/>
      <c r="N8" s="2343" t="s">
        <v>1138</v>
      </c>
      <c r="O8" s="2344"/>
      <c r="P8" s="2315"/>
      <c r="Q8" s="2316"/>
      <c r="R8" s="2315"/>
      <c r="S8" s="2316"/>
      <c r="X8" s="261"/>
    </row>
    <row r="9" spans="1:24" ht="15.75" thickBot="1">
      <c r="A9" s="420"/>
      <c r="B9" s="421"/>
      <c r="C9" s="23"/>
      <c r="D9" s="265"/>
      <c r="E9" s="266"/>
      <c r="F9" s="283"/>
      <c r="G9" s="284" t="s">
        <v>717</v>
      </c>
      <c r="H9" s="2317">
        <f>I52</f>
        <v>455202.69</v>
      </c>
      <c r="I9" s="2318"/>
      <c r="J9" s="2317">
        <f>K52</f>
        <v>481270.54</v>
      </c>
      <c r="K9" s="2318"/>
      <c r="L9" s="2317">
        <f>M52</f>
        <v>302971.71000000002</v>
      </c>
      <c r="M9" s="2318"/>
      <c r="N9" s="2330">
        <f>O52</f>
        <v>0</v>
      </c>
      <c r="O9" s="2330"/>
      <c r="P9" s="2317">
        <f>Q52</f>
        <v>0</v>
      </c>
      <c r="Q9" s="2318"/>
      <c r="R9" s="2317">
        <f>S52</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630"/>
      <c r="B11" s="1631" t="s">
        <v>725</v>
      </c>
      <c r="C11" s="1554"/>
      <c r="D11" s="1632"/>
      <c r="E11" s="1632"/>
      <c r="F11" s="1633"/>
      <c r="G11" s="1634"/>
      <c r="H11" s="1635"/>
      <c r="I11" s="1636"/>
      <c r="J11" s="1635"/>
      <c r="K11" s="1637"/>
      <c r="L11" s="1635"/>
      <c r="M11" s="285"/>
      <c r="N11" s="1635"/>
      <c r="O11" s="1636"/>
      <c r="P11" s="1635"/>
      <c r="Q11" s="1636"/>
      <c r="R11" s="1635"/>
      <c r="S11" s="1636"/>
    </row>
    <row r="12" spans="1:24">
      <c r="A12" s="1630"/>
      <c r="B12" s="1263" t="s">
        <v>726</v>
      </c>
      <c r="C12" s="446"/>
      <c r="D12" s="422"/>
      <c r="E12" s="422"/>
      <c r="F12" s="418"/>
      <c r="G12" s="423"/>
      <c r="H12" s="1264" t="s">
        <v>727</v>
      </c>
      <c r="I12" s="1636"/>
      <c r="J12" s="1264" t="s">
        <v>727</v>
      </c>
      <c r="K12" s="1637"/>
      <c r="L12" s="1264" t="s">
        <v>727</v>
      </c>
      <c r="M12" s="1636"/>
      <c r="N12" s="1264"/>
      <c r="O12" s="1636"/>
      <c r="P12" s="1264"/>
      <c r="Q12" s="1636"/>
      <c r="R12" s="1264"/>
      <c r="S12" s="1636"/>
    </row>
    <row r="13" spans="1:24">
      <c r="A13" s="1097"/>
      <c r="B13" s="1263" t="s">
        <v>728</v>
      </c>
      <c r="C13" s="446"/>
      <c r="D13" s="422"/>
      <c r="E13" s="422"/>
      <c r="F13" s="418"/>
      <c r="G13" s="423"/>
      <c r="H13" s="1264" t="s">
        <v>727</v>
      </c>
      <c r="I13" s="1636"/>
      <c r="J13" s="1264" t="s">
        <v>727</v>
      </c>
      <c r="K13" s="1637"/>
      <c r="L13" s="1264" t="s">
        <v>727</v>
      </c>
      <c r="M13" s="1636"/>
      <c r="N13" s="1264"/>
      <c r="O13" s="1636"/>
      <c r="P13" s="1264"/>
      <c r="Q13" s="1636"/>
      <c r="R13" s="1264"/>
      <c r="S13" s="1636"/>
    </row>
    <row r="14" spans="1:24">
      <c r="A14" s="1630"/>
      <c r="B14" s="1265" t="s">
        <v>729</v>
      </c>
      <c r="C14" s="446"/>
      <c r="D14" s="422"/>
      <c r="E14" s="422"/>
      <c r="F14" s="418"/>
      <c r="G14" s="423"/>
      <c r="H14" s="1264" t="s">
        <v>730</v>
      </c>
      <c r="I14" s="1638" t="s">
        <v>837</v>
      </c>
      <c r="J14" s="1264" t="s">
        <v>730</v>
      </c>
      <c r="K14" s="1637"/>
      <c r="L14" s="1264" t="s">
        <v>730</v>
      </c>
      <c r="M14" s="1636"/>
      <c r="N14" s="1264"/>
      <c r="O14" s="1636"/>
      <c r="P14" s="1264"/>
      <c r="Q14" s="1636"/>
      <c r="R14" s="1264"/>
      <c r="S14" s="1636"/>
    </row>
    <row r="15" spans="1:24">
      <c r="A15" s="1097"/>
      <c r="B15" s="1265" t="s">
        <v>731</v>
      </c>
      <c r="C15" s="446"/>
      <c r="D15" s="422"/>
      <c r="E15" s="422"/>
      <c r="F15" s="418"/>
      <c r="G15" s="423"/>
      <c r="H15" s="1264" t="s">
        <v>727</v>
      </c>
      <c r="I15" s="1637"/>
      <c r="J15" s="1264" t="s">
        <v>727</v>
      </c>
      <c r="K15" s="1637"/>
      <c r="L15" s="1264" t="s">
        <v>727</v>
      </c>
      <c r="M15" s="1637"/>
      <c r="N15" s="1264"/>
      <c r="O15" s="1637"/>
      <c r="P15" s="1264"/>
      <c r="Q15" s="1637"/>
      <c r="R15" s="1264"/>
      <c r="S15" s="1637"/>
    </row>
    <row r="16" spans="1:24">
      <c r="A16" s="1630"/>
      <c r="B16" s="1265" t="s">
        <v>732</v>
      </c>
      <c r="C16" s="446"/>
      <c r="D16" s="422"/>
      <c r="E16" s="422"/>
      <c r="F16" s="418"/>
      <c r="G16" s="423"/>
      <c r="H16" s="1264" t="s">
        <v>727</v>
      </c>
      <c r="I16" s="1636"/>
      <c r="J16" s="1264" t="s">
        <v>727</v>
      </c>
      <c r="K16" s="1637"/>
      <c r="L16" s="1264" t="s">
        <v>727</v>
      </c>
      <c r="M16" s="1636"/>
      <c r="N16" s="1264"/>
      <c r="O16" s="1636"/>
      <c r="P16" s="1264"/>
      <c r="Q16" s="1636"/>
      <c r="R16" s="1264"/>
      <c r="S16" s="1636"/>
    </row>
    <row r="17" spans="1:41">
      <c r="A17" s="1097"/>
      <c r="B17" s="1265" t="s">
        <v>733</v>
      </c>
      <c r="C17" s="446"/>
      <c r="D17" s="422"/>
      <c r="E17" s="422"/>
      <c r="F17" s="418"/>
      <c r="G17" s="423"/>
      <c r="H17" s="1264" t="s">
        <v>727</v>
      </c>
      <c r="I17" s="1636"/>
      <c r="J17" s="1264" t="s">
        <v>727</v>
      </c>
      <c r="K17" s="1637"/>
      <c r="L17" s="1264" t="s">
        <v>727</v>
      </c>
      <c r="M17" s="1636"/>
      <c r="N17" s="1264"/>
      <c r="O17" s="1636"/>
      <c r="P17" s="1264"/>
      <c r="Q17" s="1636"/>
      <c r="R17" s="1264"/>
      <c r="S17" s="1636"/>
    </row>
    <row r="18" spans="1:41">
      <c r="A18" s="1630"/>
      <c r="B18" s="534" t="s">
        <v>734</v>
      </c>
      <c r="C18" s="446"/>
      <c r="D18" s="422"/>
      <c r="E18" s="422"/>
      <c r="F18" s="418"/>
      <c r="G18" s="423"/>
      <c r="H18" s="1264" t="s">
        <v>730</v>
      </c>
      <c r="I18" s="1636" t="s">
        <v>917</v>
      </c>
      <c r="J18" s="1264"/>
      <c r="K18" s="1637"/>
      <c r="L18" s="1264"/>
      <c r="M18" s="1636"/>
      <c r="N18" s="1264"/>
      <c r="O18" s="1636"/>
      <c r="P18" s="1264"/>
      <c r="Q18" s="1636"/>
      <c r="R18" s="1264"/>
      <c r="S18" s="1636"/>
    </row>
    <row r="19" spans="1:41">
      <c r="A19" s="1630"/>
      <c r="B19" s="1154" t="s">
        <v>736</v>
      </c>
      <c r="C19" s="446"/>
      <c r="D19" s="422"/>
      <c r="E19" s="422"/>
      <c r="F19" s="418"/>
      <c r="G19" s="423"/>
      <c r="H19" s="1264"/>
      <c r="I19" s="1636"/>
      <c r="J19" s="1264"/>
      <c r="K19" s="1637"/>
      <c r="L19" s="1264"/>
      <c r="M19" s="1636"/>
      <c r="N19" s="1264"/>
      <c r="O19" s="1636"/>
      <c r="P19" s="1264"/>
      <c r="Q19" s="1636"/>
      <c r="R19" s="1264"/>
      <c r="S19" s="1636"/>
    </row>
    <row r="20" spans="1:41">
      <c r="A20" s="1097"/>
      <c r="B20" s="1639" t="s">
        <v>737</v>
      </c>
      <c r="C20" s="447"/>
      <c r="D20" s="425"/>
      <c r="E20" s="425"/>
      <c r="F20" s="426"/>
      <c r="G20" s="427"/>
      <c r="H20" s="1156"/>
      <c r="I20" s="1640"/>
      <c r="J20" s="1156"/>
      <c r="K20" s="1641"/>
      <c r="L20" s="1156"/>
      <c r="M20" s="1640"/>
      <c r="N20" s="1156"/>
      <c r="O20" s="1640"/>
      <c r="P20" s="1156"/>
      <c r="Q20" s="1640"/>
      <c r="R20" s="1156"/>
      <c r="S20" s="1640"/>
    </row>
    <row r="21" spans="1:41">
      <c r="A21" s="1630"/>
      <c r="B21" s="1642" t="s">
        <v>1848</v>
      </c>
      <c r="C21" s="70"/>
      <c r="D21" s="86"/>
      <c r="E21" s="86"/>
      <c r="F21" s="280"/>
      <c r="G21" s="274"/>
      <c r="H21" s="1264"/>
      <c r="I21" s="428"/>
      <c r="J21" s="1264"/>
      <c r="K21" s="428"/>
      <c r="L21" s="1264"/>
      <c r="M21" s="428"/>
      <c r="N21" s="1264"/>
      <c r="O21" s="428"/>
      <c r="P21" s="1264"/>
      <c r="Q21" s="428"/>
      <c r="R21" s="1264"/>
      <c r="S21" s="428"/>
    </row>
    <row r="22" spans="1:41">
      <c r="A22" s="1630"/>
      <c r="B22" s="1643" t="s">
        <v>1849</v>
      </c>
      <c r="C22" s="70"/>
      <c r="D22" s="86"/>
      <c r="E22" s="86"/>
      <c r="F22" s="280"/>
      <c r="G22" s="274"/>
      <c r="H22" s="1273" t="s">
        <v>1035</v>
      </c>
      <c r="I22" s="689">
        <v>34305</v>
      </c>
      <c r="J22" s="1273" t="s">
        <v>1035</v>
      </c>
      <c r="K22" s="689">
        <v>34305</v>
      </c>
      <c r="L22" s="1264" t="s">
        <v>727</v>
      </c>
      <c r="M22" s="688">
        <v>34305</v>
      </c>
      <c r="N22" s="1264"/>
      <c r="O22" s="461"/>
      <c r="P22" s="1264"/>
      <c r="Q22" s="461"/>
      <c r="R22" s="1264"/>
      <c r="S22" s="428"/>
    </row>
    <row r="23" spans="1:41" s="69" customFormat="1">
      <c r="A23" s="1097"/>
      <c r="B23" s="1644"/>
      <c r="C23" s="415"/>
      <c r="D23" s="422"/>
      <c r="E23" s="422"/>
      <c r="F23" s="429"/>
      <c r="G23" s="423"/>
      <c r="H23" s="1264"/>
      <c r="I23" s="1106"/>
      <c r="J23" s="1264"/>
      <c r="K23" s="1107"/>
      <c r="L23" s="1264"/>
      <c r="M23" s="1106"/>
      <c r="N23" s="1264"/>
      <c r="O23" s="1107"/>
      <c r="P23" s="1264"/>
      <c r="Q23" s="1107"/>
      <c r="R23" s="1264"/>
      <c r="S23" s="1106"/>
      <c r="T23"/>
      <c r="U23"/>
      <c r="V23"/>
      <c r="W23"/>
      <c r="X23"/>
      <c r="Y23"/>
      <c r="Z23"/>
      <c r="AA23"/>
      <c r="AB23"/>
      <c r="AC23"/>
      <c r="AD23"/>
      <c r="AE23"/>
      <c r="AF23"/>
      <c r="AG23"/>
      <c r="AH23"/>
      <c r="AI23"/>
      <c r="AJ23"/>
      <c r="AK23"/>
      <c r="AL23"/>
      <c r="AM23"/>
      <c r="AN23"/>
      <c r="AO23"/>
    </row>
    <row r="24" spans="1:41">
      <c r="A24" s="1097"/>
      <c r="B24" s="1643" t="s">
        <v>1850</v>
      </c>
      <c r="C24" s="415"/>
      <c r="D24" s="430">
        <v>12</v>
      </c>
      <c r="E24" s="422" t="s">
        <v>468</v>
      </c>
      <c r="F24" s="431"/>
      <c r="G24" s="1617"/>
      <c r="H24" s="1264" t="s">
        <v>727</v>
      </c>
      <c r="I24" s="1636"/>
      <c r="J24" s="1264" t="s">
        <v>727</v>
      </c>
      <c r="K24" s="1645">
        <v>34215</v>
      </c>
      <c r="L24" s="1264" t="s">
        <v>727</v>
      </c>
      <c r="M24" s="1645">
        <v>24443.32</v>
      </c>
      <c r="N24" s="1264" t="s">
        <v>727</v>
      </c>
      <c r="O24" s="1636"/>
      <c r="P24" s="1264"/>
      <c r="Q24" s="1636"/>
      <c r="R24" s="1264"/>
      <c r="S24" s="1636"/>
    </row>
    <row r="25" spans="1:41">
      <c r="A25" s="1630"/>
      <c r="B25" s="1643" t="s">
        <v>1851</v>
      </c>
      <c r="C25" s="415"/>
      <c r="D25" s="430">
        <v>12</v>
      </c>
      <c r="E25" s="422" t="s">
        <v>468</v>
      </c>
      <c r="F25" s="431"/>
      <c r="G25" s="1617"/>
      <c r="H25" s="1264" t="s">
        <v>727</v>
      </c>
      <c r="I25" s="1636"/>
      <c r="J25" s="1264" t="s">
        <v>727</v>
      </c>
      <c r="K25" s="1636"/>
      <c r="L25" s="1264" t="s">
        <v>727</v>
      </c>
      <c r="M25" s="1636"/>
      <c r="N25" s="1264"/>
      <c r="O25" s="1636"/>
      <c r="P25" s="1264"/>
      <c r="Q25" s="1636"/>
      <c r="R25" s="1264"/>
      <c r="S25" s="1636"/>
    </row>
    <row r="26" spans="1:41">
      <c r="A26" s="1097"/>
      <c r="B26" s="1643" t="s">
        <v>1852</v>
      </c>
      <c r="C26" s="415"/>
      <c r="D26" s="430">
        <v>24</v>
      </c>
      <c r="E26" s="422" t="s">
        <v>468</v>
      </c>
      <c r="F26" s="431"/>
      <c r="G26" s="1617"/>
      <c r="H26" s="1264" t="s">
        <v>727</v>
      </c>
      <c r="I26" s="1636"/>
      <c r="J26" s="1264" t="s">
        <v>727</v>
      </c>
      <c r="K26" s="1636"/>
      <c r="L26" s="1264" t="s">
        <v>727</v>
      </c>
      <c r="M26" s="1636"/>
      <c r="N26" s="1264"/>
      <c r="O26" s="1636"/>
      <c r="P26" s="1264"/>
      <c r="Q26" s="1636"/>
      <c r="R26" s="1264"/>
      <c r="S26" s="1636"/>
    </row>
    <row r="27" spans="1:41">
      <c r="A27" s="1630"/>
      <c r="B27" s="1643" t="s">
        <v>1853</v>
      </c>
      <c r="C27" s="415"/>
      <c r="D27" s="430">
        <v>20</v>
      </c>
      <c r="E27" s="422" t="s">
        <v>468</v>
      </c>
      <c r="F27" s="431"/>
      <c r="G27" s="1617"/>
      <c r="H27" s="1264" t="s">
        <v>727</v>
      </c>
      <c r="I27" s="1636"/>
      <c r="J27" s="1264" t="s">
        <v>727</v>
      </c>
      <c r="K27" s="1636"/>
      <c r="L27" s="1264" t="s">
        <v>727</v>
      </c>
      <c r="M27" s="1636"/>
      <c r="N27" s="1264"/>
      <c r="O27" s="1636"/>
      <c r="P27" s="1264"/>
      <c r="Q27" s="1636"/>
      <c r="R27" s="1264"/>
      <c r="S27" s="1636"/>
    </row>
    <row r="28" spans="1:41">
      <c r="A28" s="1630"/>
      <c r="B28" s="1643" t="s">
        <v>1854</v>
      </c>
      <c r="C28" s="415"/>
      <c r="D28" s="430">
        <f>20</f>
        <v>20</v>
      </c>
      <c r="E28" s="422" t="s">
        <v>468</v>
      </c>
      <c r="F28" s="431"/>
      <c r="G28" s="1617"/>
      <c r="H28" s="1264" t="s">
        <v>727</v>
      </c>
      <c r="I28" s="1636"/>
      <c r="J28" s="1264" t="s">
        <v>727</v>
      </c>
      <c r="K28" s="1636"/>
      <c r="L28" s="1264" t="s">
        <v>727</v>
      </c>
      <c r="N28" s="1264"/>
      <c r="O28" s="1636"/>
      <c r="P28" s="1264"/>
      <c r="Q28" s="1636"/>
      <c r="R28" s="1264"/>
      <c r="S28" s="1636"/>
    </row>
    <row r="29" spans="1:41">
      <c r="A29" s="1630"/>
      <c r="B29" s="1643" t="s">
        <v>1855</v>
      </c>
      <c r="C29" s="415"/>
      <c r="D29" s="430">
        <v>12</v>
      </c>
      <c r="E29" s="422" t="s">
        <v>468</v>
      </c>
      <c r="F29" s="431"/>
      <c r="G29" s="1617"/>
      <c r="H29" s="1264" t="s">
        <v>727</v>
      </c>
      <c r="I29" s="1636"/>
      <c r="J29" s="1273" t="s">
        <v>1035</v>
      </c>
      <c r="K29" s="1646">
        <f>160.72*12</f>
        <v>1928.6399999999999</v>
      </c>
      <c r="L29" s="1264" t="s">
        <v>727</v>
      </c>
      <c r="M29" s="1636"/>
      <c r="N29" s="1264"/>
      <c r="O29" s="1636"/>
      <c r="P29" s="1264"/>
      <c r="Q29" s="1636"/>
      <c r="R29" s="1264"/>
      <c r="S29" s="1636"/>
    </row>
    <row r="30" spans="1:41">
      <c r="A30" s="1630"/>
      <c r="B30" s="1643" t="s">
        <v>1856</v>
      </c>
      <c r="C30" s="23"/>
      <c r="D30" s="87">
        <v>1</v>
      </c>
      <c r="E30" s="422" t="s">
        <v>462</v>
      </c>
      <c r="F30" s="431"/>
      <c r="G30" s="1617"/>
      <c r="H30" s="1264" t="s">
        <v>727</v>
      </c>
      <c r="I30" s="1636"/>
      <c r="J30" s="1264" t="s">
        <v>727</v>
      </c>
      <c r="K30" s="1636"/>
      <c r="L30" s="1264" t="s">
        <v>727</v>
      </c>
      <c r="M30" s="1636"/>
      <c r="N30" s="1264"/>
      <c r="O30" s="1636"/>
      <c r="P30" s="1264"/>
      <c r="Q30" s="1636"/>
      <c r="R30" s="1264"/>
      <c r="S30" s="1636"/>
    </row>
    <row r="31" spans="1:41">
      <c r="A31" s="1630"/>
      <c r="B31" s="1643" t="s">
        <v>1857</v>
      </c>
      <c r="C31" s="23"/>
      <c r="D31" s="87">
        <v>1</v>
      </c>
      <c r="E31" s="422" t="s">
        <v>462</v>
      </c>
      <c r="F31" s="431"/>
      <c r="G31" s="1617"/>
      <c r="H31" s="1264" t="s">
        <v>727</v>
      </c>
      <c r="I31" s="1636"/>
      <c r="J31" s="1264" t="s">
        <v>727</v>
      </c>
      <c r="K31" s="1636"/>
      <c r="L31" s="1264" t="s">
        <v>727</v>
      </c>
      <c r="M31" s="1636"/>
      <c r="N31" s="1264"/>
      <c r="O31" s="1636"/>
      <c r="P31" s="1264"/>
      <c r="Q31" s="1636"/>
      <c r="R31" s="1264"/>
      <c r="S31" s="1636"/>
    </row>
    <row r="32" spans="1:41">
      <c r="A32" s="1630"/>
      <c r="B32" s="1643" t="s">
        <v>1180</v>
      </c>
      <c r="C32" s="23"/>
      <c r="D32" s="87"/>
      <c r="E32" s="86"/>
      <c r="F32" s="431"/>
      <c r="G32" s="1617"/>
      <c r="H32" s="1264" t="s">
        <v>727</v>
      </c>
      <c r="I32" s="1636"/>
      <c r="J32" s="1264" t="s">
        <v>727</v>
      </c>
      <c r="K32" s="1645">
        <v>34215</v>
      </c>
      <c r="L32" s="1264" t="s">
        <v>727</v>
      </c>
      <c r="M32" s="1636"/>
      <c r="N32" s="1264"/>
      <c r="O32" s="1636"/>
      <c r="P32" s="1264"/>
      <c r="Q32" s="1636"/>
      <c r="R32" s="1264"/>
      <c r="S32" s="1636"/>
    </row>
    <row r="33" spans="1:19">
      <c r="A33" s="1630"/>
      <c r="B33" s="1647" t="s">
        <v>1858</v>
      </c>
      <c r="C33" s="23"/>
      <c r="D33" s="87"/>
      <c r="E33" s="86"/>
      <c r="F33" s="431"/>
      <c r="G33" s="1617"/>
      <c r="H33" s="1264" t="s">
        <v>727</v>
      </c>
      <c r="I33" s="1636"/>
      <c r="J33" s="1264" t="s">
        <v>727</v>
      </c>
      <c r="K33" s="1645">
        <v>2052.9</v>
      </c>
      <c r="L33" s="1264" t="s">
        <v>727</v>
      </c>
      <c r="M33" s="1636"/>
      <c r="N33" s="1264"/>
      <c r="O33" s="1636"/>
      <c r="P33" s="1264"/>
      <c r="Q33" s="1636"/>
      <c r="R33" s="1264"/>
      <c r="S33" s="1636"/>
    </row>
    <row r="34" spans="1:19">
      <c r="A34" s="1630"/>
      <c r="B34" s="1642" t="s">
        <v>1859</v>
      </c>
      <c r="C34" s="23"/>
      <c r="D34" s="87"/>
      <c r="E34" s="86"/>
      <c r="F34" s="431"/>
      <c r="G34" s="1617"/>
      <c r="H34" s="1264"/>
      <c r="I34" s="1636"/>
      <c r="J34" s="1264"/>
      <c r="K34" s="1636"/>
      <c r="L34" s="1264"/>
      <c r="M34" s="1636"/>
      <c r="N34" s="1264"/>
      <c r="O34" s="1636"/>
      <c r="P34" s="1264"/>
      <c r="Q34" s="1636"/>
      <c r="R34" s="1264"/>
      <c r="S34" s="1636"/>
    </row>
    <row r="35" spans="1:19">
      <c r="A35" s="1630"/>
      <c r="B35" s="1643" t="s">
        <v>1852</v>
      </c>
      <c r="C35" s="415"/>
      <c r="D35" s="430">
        <v>418</v>
      </c>
      <c r="E35" s="422" t="s">
        <v>468</v>
      </c>
      <c r="F35" s="431"/>
      <c r="G35" s="1617"/>
      <c r="H35" s="1264" t="s">
        <v>727</v>
      </c>
      <c r="I35" s="1645">
        <v>322225</v>
      </c>
      <c r="J35" s="1264" t="s">
        <v>727</v>
      </c>
      <c r="K35" s="1645">
        <v>236690</v>
      </c>
      <c r="L35" s="1264" t="s">
        <v>727</v>
      </c>
      <c r="M35" s="1645">
        <v>232244.39</v>
      </c>
      <c r="N35" s="1264"/>
      <c r="O35" s="1636"/>
      <c r="P35" s="1264"/>
      <c r="Q35" s="1636"/>
      <c r="R35" s="1264"/>
      <c r="S35" s="1636"/>
    </row>
    <row r="36" spans="1:19">
      <c r="A36" s="1630"/>
      <c r="B36" s="1643" t="s">
        <v>1855</v>
      </c>
      <c r="C36" s="415"/>
      <c r="D36" s="430">
        <v>418</v>
      </c>
      <c r="E36" s="422" t="s">
        <v>468</v>
      </c>
      <c r="F36" s="431"/>
      <c r="G36" s="1617"/>
      <c r="H36" s="1264" t="s">
        <v>727</v>
      </c>
      <c r="I36" s="1636"/>
      <c r="J36" s="1264" t="s">
        <v>727</v>
      </c>
      <c r="K36" s="1645">
        <v>67180</v>
      </c>
      <c r="L36" s="1264" t="s">
        <v>727</v>
      </c>
      <c r="M36" s="1636"/>
      <c r="N36" s="1264"/>
      <c r="O36" s="1636"/>
      <c r="P36" s="1264"/>
      <c r="Q36" s="1636"/>
      <c r="R36" s="1264"/>
      <c r="S36" s="1636"/>
    </row>
    <row r="37" spans="1:19">
      <c r="A37" s="1630"/>
      <c r="B37" s="1643" t="s">
        <v>1860</v>
      </c>
      <c r="C37" s="415"/>
      <c r="D37" s="430">
        <v>418</v>
      </c>
      <c r="E37" s="422" t="s">
        <v>468</v>
      </c>
      <c r="F37" s="431"/>
      <c r="G37" s="1617"/>
      <c r="H37" s="1264" t="s">
        <v>727</v>
      </c>
      <c r="I37" s="1636"/>
      <c r="J37" s="1264" t="s">
        <v>682</v>
      </c>
      <c r="K37" s="1636"/>
      <c r="L37" s="1264" t="s">
        <v>727</v>
      </c>
      <c r="M37" s="1636"/>
      <c r="N37" s="1264"/>
      <c r="O37" s="1636"/>
      <c r="P37" s="1264"/>
      <c r="Q37" s="1636"/>
      <c r="R37" s="1264"/>
      <c r="S37" s="1636"/>
    </row>
    <row r="38" spans="1:19">
      <c r="A38" s="1630"/>
      <c r="B38" s="1643" t="s">
        <v>1861</v>
      </c>
      <c r="C38" s="415"/>
      <c r="D38" s="430">
        <v>22</v>
      </c>
      <c r="E38" s="422" t="s">
        <v>468</v>
      </c>
      <c r="F38" s="431"/>
      <c r="G38" s="1617"/>
      <c r="H38" s="1273" t="s">
        <v>1035</v>
      </c>
      <c r="I38" s="1646">
        <f>11979</f>
        <v>11979</v>
      </c>
      <c r="J38" s="1264" t="s">
        <v>727</v>
      </c>
      <c r="K38" s="1636"/>
      <c r="L38" s="1273" t="s">
        <v>1035</v>
      </c>
      <c r="M38" s="1646">
        <v>11979</v>
      </c>
      <c r="N38" s="1264"/>
      <c r="O38" s="1636"/>
      <c r="P38" s="1264"/>
      <c r="Q38" s="1636"/>
      <c r="R38" s="1264"/>
      <c r="S38" s="1636"/>
    </row>
    <row r="39" spans="1:19">
      <c r="A39" s="1630"/>
      <c r="B39" s="1643" t="s">
        <v>1862</v>
      </c>
      <c r="C39" s="415"/>
      <c r="D39" s="430">
        <v>418</v>
      </c>
      <c r="E39" s="422" t="s">
        <v>468</v>
      </c>
      <c r="F39" s="431"/>
      <c r="G39" s="1617"/>
      <c r="H39" s="1264" t="s">
        <v>727</v>
      </c>
      <c r="I39" s="1636"/>
      <c r="J39" s="1264" t="s">
        <v>727</v>
      </c>
      <c r="K39" s="1636"/>
      <c r="L39" s="1264" t="s">
        <v>727</v>
      </c>
      <c r="M39" s="1636"/>
      <c r="N39" s="1264"/>
      <c r="O39" s="1636"/>
      <c r="P39" s="1264"/>
      <c r="Q39" s="1636"/>
      <c r="R39" s="1264"/>
      <c r="S39" s="1636"/>
    </row>
    <row r="40" spans="1:19">
      <c r="A40" s="1630"/>
      <c r="B40" s="1643" t="s">
        <v>1863</v>
      </c>
      <c r="C40" s="23"/>
      <c r="D40" s="430">
        <v>418</v>
      </c>
      <c r="E40" s="422" t="s">
        <v>468</v>
      </c>
      <c r="F40" s="431"/>
      <c r="G40" s="1617"/>
      <c r="H40" s="1264" t="s">
        <v>727</v>
      </c>
      <c r="I40" s="1636"/>
      <c r="J40" s="1264" t="s">
        <v>727</v>
      </c>
      <c r="K40" s="1636"/>
      <c r="L40" s="1264" t="s">
        <v>727</v>
      </c>
      <c r="M40" s="1636"/>
      <c r="N40" s="1264"/>
      <c r="O40" s="1636"/>
      <c r="P40" s="1264"/>
      <c r="Q40" s="1636"/>
      <c r="R40" s="1264"/>
      <c r="S40" s="1636"/>
    </row>
    <row r="41" spans="1:19">
      <c r="A41" s="1630"/>
      <c r="B41" s="1643" t="s">
        <v>1864</v>
      </c>
      <c r="C41" s="23"/>
      <c r="D41" s="87">
        <v>22</v>
      </c>
      <c r="E41" s="422" t="s">
        <v>468</v>
      </c>
      <c r="F41" s="431"/>
      <c r="G41" s="1617"/>
      <c r="H41" s="1264" t="s">
        <v>727</v>
      </c>
      <c r="I41" s="1636"/>
      <c r="J41" s="1264" t="s">
        <v>727</v>
      </c>
      <c r="K41" s="1636"/>
      <c r="L41" s="1264" t="s">
        <v>727</v>
      </c>
      <c r="M41" s="1636"/>
      <c r="N41" s="1264"/>
      <c r="O41" s="1636"/>
      <c r="P41" s="1264"/>
      <c r="Q41" s="1636"/>
      <c r="R41" s="1264"/>
      <c r="S41" s="1636"/>
    </row>
    <row r="42" spans="1:19">
      <c r="A42" s="1630"/>
      <c r="B42" s="1643" t="s">
        <v>1856</v>
      </c>
      <c r="C42" s="23"/>
      <c r="D42" s="87">
        <v>22</v>
      </c>
      <c r="E42" s="422" t="s">
        <v>468</v>
      </c>
      <c r="F42" s="431"/>
      <c r="G42" s="1617"/>
      <c r="H42" s="1264" t="s">
        <v>727</v>
      </c>
      <c r="I42" s="1636"/>
      <c r="J42" s="1264" t="s">
        <v>727</v>
      </c>
      <c r="K42" s="1636"/>
      <c r="L42" s="1264" t="s">
        <v>727</v>
      </c>
      <c r="M42" s="1636"/>
      <c r="N42" s="1264"/>
      <c r="O42" s="1636"/>
      <c r="P42" s="1264"/>
      <c r="Q42" s="1636"/>
      <c r="R42" s="1264"/>
      <c r="S42" s="1636"/>
    </row>
    <row r="43" spans="1:19">
      <c r="A43" s="1630"/>
      <c r="B43" s="1643" t="s">
        <v>1857</v>
      </c>
      <c r="C43" s="23"/>
      <c r="D43" s="87">
        <v>396</v>
      </c>
      <c r="E43" s="422" t="s">
        <v>468</v>
      </c>
      <c r="F43" s="431"/>
      <c r="G43" s="1617"/>
      <c r="H43" s="1264" t="s">
        <v>727</v>
      </c>
      <c r="I43" s="1636"/>
      <c r="J43" s="1264" t="s">
        <v>727</v>
      </c>
      <c r="K43" s="1636"/>
      <c r="L43" s="1264" t="s">
        <v>727</v>
      </c>
      <c r="M43" s="1636"/>
      <c r="N43" s="1264"/>
      <c r="O43" s="1636"/>
      <c r="P43" s="1264"/>
      <c r="Q43" s="1636"/>
      <c r="R43" s="1264"/>
      <c r="S43" s="1636"/>
    </row>
    <row r="44" spans="1:19">
      <c r="A44" s="1630"/>
      <c r="B44" s="1643" t="s">
        <v>1180</v>
      </c>
      <c r="C44" s="23"/>
      <c r="D44" s="87">
        <v>1</v>
      </c>
      <c r="E44" s="86" t="s">
        <v>462</v>
      </c>
      <c r="F44" s="431"/>
      <c r="G44" s="1617"/>
      <c r="H44" s="1264" t="s">
        <v>727</v>
      </c>
      <c r="I44" s="1645">
        <v>84429</v>
      </c>
      <c r="J44" s="1264" t="s">
        <v>727</v>
      </c>
      <c r="K44" s="1645">
        <v>56482.6</v>
      </c>
      <c r="L44" s="1264" t="s">
        <v>727</v>
      </c>
      <c r="M44" s="1636"/>
      <c r="N44" s="1264"/>
      <c r="O44" s="1636"/>
      <c r="P44" s="1264"/>
      <c r="Q44" s="1636"/>
      <c r="R44" s="1264"/>
      <c r="S44" s="1636"/>
    </row>
    <row r="45" spans="1:19">
      <c r="A45" s="1630"/>
      <c r="B45" s="1643" t="s">
        <v>1858</v>
      </c>
      <c r="C45" s="23"/>
      <c r="D45" s="87">
        <v>1</v>
      </c>
      <c r="E45" s="86" t="s">
        <v>462</v>
      </c>
      <c r="F45" s="431"/>
      <c r="G45" s="1617"/>
      <c r="H45" s="1264" t="s">
        <v>727</v>
      </c>
      <c r="I45" s="1636"/>
      <c r="J45" s="1264" t="s">
        <v>727</v>
      </c>
      <c r="K45" s="1645">
        <v>14201.4</v>
      </c>
      <c r="L45" s="1264" t="s">
        <v>727</v>
      </c>
      <c r="M45" s="1636"/>
      <c r="N45" s="1264"/>
      <c r="O45" s="1636"/>
      <c r="P45" s="1264"/>
      <c r="Q45" s="1636"/>
      <c r="R45" s="1264"/>
      <c r="S45" s="1636"/>
    </row>
    <row r="46" spans="1:19">
      <c r="A46" s="1630"/>
      <c r="B46" s="1643"/>
      <c r="C46" s="23"/>
      <c r="D46" s="87"/>
      <c r="E46" s="86"/>
      <c r="F46" s="431"/>
      <c r="G46" s="1617"/>
      <c r="H46" s="1264"/>
      <c r="I46" s="1636"/>
      <c r="J46" s="1264"/>
      <c r="K46" s="1636"/>
      <c r="L46" s="1264"/>
      <c r="M46" s="1636"/>
      <c r="N46" s="1264"/>
      <c r="O46" s="1636"/>
      <c r="P46" s="1264"/>
      <c r="Q46" s="1636"/>
      <c r="R46" s="1264"/>
      <c r="S46" s="1636"/>
    </row>
    <row r="47" spans="1:19" ht="15.75" thickBot="1">
      <c r="A47" s="1630"/>
      <c r="B47" s="1163"/>
      <c r="C47" s="23"/>
      <c r="D47" s="87"/>
      <c r="E47" s="86"/>
      <c r="F47" s="431"/>
      <c r="G47" s="830"/>
      <c r="H47" s="1264"/>
      <c r="I47" s="1636"/>
      <c r="J47" s="1264"/>
      <c r="K47" s="1636"/>
      <c r="L47" s="1264"/>
      <c r="M47" s="1636"/>
      <c r="N47" s="1264"/>
      <c r="O47" s="1636"/>
      <c r="P47" s="1264"/>
      <c r="Q47" s="1636"/>
      <c r="R47" s="1264"/>
      <c r="S47" s="1636"/>
    </row>
    <row r="48" spans="1:19" ht="15.75" thickTop="1">
      <c r="A48" s="296"/>
      <c r="B48" s="301"/>
      <c r="C48" s="297"/>
      <c r="D48" s="15"/>
      <c r="E48" s="16"/>
      <c r="F48" s="282" t="s">
        <v>753</v>
      </c>
      <c r="G48" s="272"/>
      <c r="H48" s="273"/>
      <c r="I48" s="273">
        <f>SUM(I12:I47)</f>
        <v>452938</v>
      </c>
      <c r="J48" s="273"/>
      <c r="K48" s="273">
        <f>SUM(K12:K47)</f>
        <v>481270.54</v>
      </c>
      <c r="L48" s="273"/>
      <c r="M48" s="273">
        <f>SUM(M12:M47)</f>
        <v>302971.71000000002</v>
      </c>
      <c r="N48" s="273"/>
      <c r="O48" s="273">
        <f>SUM(O12:O47)</f>
        <v>0</v>
      </c>
      <c r="P48" s="273"/>
      <c r="Q48" s="273">
        <f>SUM(Q12:Q47)</f>
        <v>0</v>
      </c>
      <c r="R48" s="273"/>
      <c r="S48" s="273">
        <f>SUM(S12:S47)</f>
        <v>0</v>
      </c>
    </row>
    <row r="49" spans="1:34">
      <c r="A49" s="1114"/>
      <c r="B49" s="1164"/>
      <c r="C49" s="432"/>
      <c r="D49" s="433"/>
      <c r="E49" s="434"/>
      <c r="F49" s="435" t="s">
        <v>754</v>
      </c>
      <c r="G49" s="436"/>
      <c r="H49" s="1395">
        <v>5.0000000000000001E-3</v>
      </c>
      <c r="I49" s="1166"/>
      <c r="J49" s="1165">
        <v>0</v>
      </c>
      <c r="K49" s="1166"/>
      <c r="L49" s="1165">
        <v>0</v>
      </c>
      <c r="M49" s="1166"/>
      <c r="N49" s="1165">
        <v>0</v>
      </c>
      <c r="O49" s="1166"/>
      <c r="P49" s="1165">
        <v>0</v>
      </c>
      <c r="Q49" s="1166"/>
      <c r="R49" s="1165">
        <v>0</v>
      </c>
      <c r="S49" s="1166"/>
    </row>
    <row r="50" spans="1:34">
      <c r="A50" s="1114"/>
      <c r="B50" s="1164"/>
      <c r="C50" s="432"/>
      <c r="D50" s="433"/>
      <c r="E50" s="434"/>
      <c r="F50" s="435" t="s">
        <v>755</v>
      </c>
      <c r="G50" s="436"/>
      <c r="H50" s="1166"/>
      <c r="I50" s="1166">
        <f>H49*I48</f>
        <v>2264.69</v>
      </c>
      <c r="J50" s="1166"/>
      <c r="K50" s="1166">
        <f>J49*K48</f>
        <v>0</v>
      </c>
      <c r="L50" s="1166"/>
      <c r="M50" s="1166">
        <f>L49*M48</f>
        <v>0</v>
      </c>
      <c r="N50" s="1166"/>
      <c r="O50" s="1166">
        <f>N49*O48</f>
        <v>0</v>
      </c>
      <c r="P50" s="1166"/>
      <c r="Q50" s="1166">
        <f>P49*Q48</f>
        <v>0</v>
      </c>
      <c r="R50" s="1166"/>
      <c r="S50" s="1166">
        <f>R49*S48</f>
        <v>0</v>
      </c>
    </row>
    <row r="51" spans="1:34">
      <c r="A51" s="1114"/>
      <c r="B51" s="1164"/>
      <c r="C51" s="432"/>
      <c r="D51" s="433"/>
      <c r="E51" s="434"/>
      <c r="F51" s="435"/>
      <c r="G51" s="436"/>
      <c r="H51" s="1166"/>
      <c r="I51" s="1166"/>
      <c r="J51" s="1166"/>
      <c r="K51" s="1166"/>
      <c r="L51" s="1166"/>
      <c r="M51" s="1166"/>
      <c r="N51" s="1166"/>
      <c r="O51" s="1166"/>
      <c r="P51" s="1166"/>
      <c r="Q51" s="1166"/>
      <c r="R51" s="1166"/>
      <c r="S51" s="1166"/>
    </row>
    <row r="52" spans="1:34">
      <c r="A52" s="1114"/>
      <c r="B52" s="1164"/>
      <c r="C52" s="432"/>
      <c r="D52" s="433"/>
      <c r="E52" s="434"/>
      <c r="F52" s="435" t="s">
        <v>756</v>
      </c>
      <c r="G52" s="436"/>
      <c r="H52" s="1166"/>
      <c r="I52" s="1166">
        <f>SUM(I48:I50)</f>
        <v>455202.69</v>
      </c>
      <c r="J52" s="1166"/>
      <c r="K52" s="1166">
        <f>SUM(K48:K50)</f>
        <v>481270.54</v>
      </c>
      <c r="L52" s="1166"/>
      <c r="M52" s="1166">
        <f>SUM(M48:M50)</f>
        <v>302971.71000000002</v>
      </c>
      <c r="N52" s="1166"/>
      <c r="O52" s="1166">
        <f>SUM(O48:O50)</f>
        <v>0</v>
      </c>
      <c r="P52" s="1166"/>
      <c r="Q52" s="1166">
        <f>SUM(Q48:Q50)</f>
        <v>0</v>
      </c>
      <c r="R52" s="1166"/>
      <c r="S52" s="1166">
        <f>SUM(S48:S50)</f>
        <v>0</v>
      </c>
    </row>
    <row r="53" spans="1:34">
      <c r="A53" s="1114"/>
      <c r="B53" s="1164"/>
      <c r="C53" s="432"/>
      <c r="D53" s="433"/>
      <c r="E53" s="434"/>
      <c r="F53" s="437" t="s">
        <v>757</v>
      </c>
      <c r="G53" s="438"/>
      <c r="H53" s="1167"/>
      <c r="I53" s="1167">
        <f>I52/'Area Calculations'!$G$4</f>
        <v>0.78664557782336175</v>
      </c>
      <c r="J53" s="1167"/>
      <c r="K53" s="1167">
        <f>K52/'Area Calculations'!$G$4</f>
        <v>0.83169399114856135</v>
      </c>
      <c r="L53" s="1167"/>
      <c r="M53" s="1167">
        <f>M52/'Area Calculations'!$G$4</f>
        <v>0.52357194083603065</v>
      </c>
      <c r="N53" s="1167"/>
      <c r="O53" s="1167">
        <f>O52/'Area Calculations'!$G$4</f>
        <v>0</v>
      </c>
      <c r="P53" s="1167"/>
      <c r="Q53" s="1167">
        <f>Q52/'Area Calculations'!$G$4</f>
        <v>0</v>
      </c>
      <c r="R53" s="1167"/>
      <c r="S53" s="1167">
        <f>S52/'Area Calculations'!$G$4</f>
        <v>0</v>
      </c>
    </row>
    <row r="54" spans="1:34">
      <c r="A54" s="1114"/>
      <c r="B54" s="1164"/>
      <c r="C54" s="432"/>
      <c r="D54" s="433"/>
      <c r="E54" s="434"/>
      <c r="F54" s="437" t="s">
        <v>758</v>
      </c>
      <c r="G54" s="438"/>
      <c r="H54" s="1167"/>
      <c r="I54" s="1167">
        <f>I52/'Area Calculations'!$G$9</f>
        <v>4254.2307476635515</v>
      </c>
      <c r="J54" s="1167"/>
      <c r="K54" s="1167">
        <f>K52/'Area Calculations'!$G$9</f>
        <v>4497.8555140186918</v>
      </c>
      <c r="L54" s="1167"/>
      <c r="M54" s="1167">
        <f>M52/'Area Calculations'!$G$9</f>
        <v>2831.5113084112149</v>
      </c>
      <c r="N54" s="1167"/>
      <c r="O54" s="1167">
        <f>O52/'Area Calculations'!$G$9</f>
        <v>0</v>
      </c>
      <c r="P54" s="1167"/>
      <c r="Q54" s="1167">
        <f>Q52/'Area Calculations'!$G$9</f>
        <v>0</v>
      </c>
      <c r="R54" s="1167"/>
      <c r="S54" s="1167">
        <f>S52/'Area Calculations'!$G$9</f>
        <v>0</v>
      </c>
    </row>
    <row r="55" spans="1:34" ht="15.75" thickBot="1">
      <c r="A55" s="1114"/>
      <c r="B55" s="1164"/>
      <c r="C55" s="432"/>
      <c r="D55" s="433"/>
      <c r="E55" s="434"/>
      <c r="F55" s="439"/>
      <c r="G55" s="436"/>
      <c r="H55" s="1168"/>
      <c r="I55" s="1168"/>
      <c r="J55" s="1168"/>
      <c r="K55" s="1168"/>
      <c r="L55" s="1168"/>
      <c r="M55" s="1168"/>
      <c r="N55" s="1168"/>
      <c r="O55" s="1168"/>
      <c r="P55" s="1168"/>
      <c r="Q55" s="1168"/>
      <c r="R55" s="1168"/>
      <c r="S55" s="1168"/>
    </row>
    <row r="56" spans="1:34" ht="16.5" thickTop="1" thickBot="1">
      <c r="A56" s="2331" t="s">
        <v>759</v>
      </c>
      <c r="B56" s="2332"/>
      <c r="C56" s="298"/>
      <c r="D56" s="12"/>
      <c r="E56" s="12"/>
      <c r="F56" s="12"/>
      <c r="G56" s="26"/>
      <c r="H56" s="20"/>
      <c r="I56" s="20"/>
      <c r="J56" s="24"/>
      <c r="K56" s="20"/>
      <c r="L56" s="20"/>
      <c r="M56" s="20"/>
      <c r="N56" s="20"/>
      <c r="O56" s="20"/>
      <c r="P56" s="20"/>
      <c r="Q56" s="20"/>
      <c r="R56" s="20"/>
      <c r="S56" s="20"/>
    </row>
    <row r="57" spans="1:34" ht="15.75" thickTop="1">
      <c r="A57" s="1620"/>
      <c r="B57" s="1105"/>
      <c r="C57" s="1548"/>
      <c r="D57" s="1632"/>
      <c r="E57" s="1632"/>
      <c r="F57" s="1632"/>
      <c r="G57" s="1621"/>
      <c r="H57" s="1623"/>
      <c r="I57" s="1623"/>
      <c r="J57" s="1622"/>
      <c r="K57" s="1623"/>
      <c r="L57" s="1623"/>
      <c r="M57" s="1623"/>
      <c r="N57" s="1623"/>
      <c r="O57" s="1623"/>
      <c r="P57" s="1623"/>
      <c r="Q57" s="1623"/>
      <c r="R57" s="1623"/>
      <c r="S57" s="1623"/>
    </row>
    <row r="58" spans="1:34">
      <c r="A58" s="1620"/>
      <c r="B58" s="1105"/>
      <c r="C58" s="1548"/>
      <c r="D58" s="1632"/>
      <c r="E58" s="1632"/>
      <c r="F58" s="1632"/>
      <c r="G58" s="1621"/>
      <c r="H58" s="1623"/>
      <c r="I58" s="1623"/>
      <c r="J58" s="1622"/>
      <c r="K58" s="1623"/>
      <c r="L58" s="1623"/>
      <c r="M58" s="1623"/>
      <c r="N58" s="1623"/>
      <c r="O58" s="1623"/>
      <c r="P58" s="1623"/>
      <c r="Q58" s="1623"/>
      <c r="R58" s="1623"/>
      <c r="S58" s="1623"/>
    </row>
    <row r="59" spans="1:34" ht="15.75" thickBot="1">
      <c r="A59" s="1620"/>
      <c r="B59" s="1105"/>
      <c r="C59" s="1548"/>
      <c r="D59" s="1632"/>
      <c r="E59" s="1632"/>
      <c r="F59" s="1632"/>
      <c r="G59" s="1621"/>
      <c r="H59" s="1623"/>
      <c r="I59" s="1623"/>
      <c r="J59" s="1622"/>
      <c r="K59" s="1623"/>
      <c r="L59" s="1623"/>
      <c r="M59" s="1623"/>
      <c r="N59" s="1623"/>
      <c r="O59" s="1623"/>
      <c r="P59" s="1623"/>
      <c r="Q59" s="1623"/>
      <c r="R59" s="1623"/>
      <c r="S59" s="1623"/>
    </row>
    <row r="60" spans="1:34" s="2" customFormat="1" ht="16.5" thickTop="1" thickBot="1">
      <c r="A60" s="2331" t="s">
        <v>760</v>
      </c>
      <c r="B60" s="2332"/>
      <c r="C60" s="298"/>
      <c r="D60" s="12"/>
      <c r="E60" s="12"/>
      <c r="F60" s="12"/>
      <c r="G60" s="26"/>
      <c r="H60" s="20"/>
      <c r="I60" s="20"/>
      <c r="J60" s="24"/>
      <c r="K60" s="20"/>
      <c r="L60" s="20"/>
      <c r="M60" s="20"/>
      <c r="N60" s="20"/>
      <c r="O60" s="20"/>
      <c r="P60" s="20"/>
      <c r="Q60" s="20"/>
      <c r="R60" s="20"/>
      <c r="S60" s="20"/>
      <c r="T60"/>
      <c r="U60"/>
      <c r="V60"/>
      <c r="W60"/>
      <c r="X60"/>
      <c r="Y60"/>
      <c r="Z60"/>
      <c r="AA60"/>
      <c r="AB60"/>
      <c r="AC60"/>
      <c r="AD60"/>
      <c r="AE60"/>
      <c r="AF60"/>
      <c r="AG60"/>
      <c r="AH60"/>
    </row>
    <row r="61" spans="1:34" s="2" customFormat="1" ht="15.75" thickTop="1">
      <c r="A61" s="1620"/>
      <c r="B61" s="1105"/>
      <c r="C61" s="1548"/>
      <c r="D61" s="1632"/>
      <c r="E61" s="1632"/>
      <c r="F61" s="1632"/>
      <c r="G61" s="1621"/>
      <c r="H61" s="1623"/>
      <c r="I61" s="1623"/>
      <c r="J61" s="1622"/>
      <c r="K61" s="1623"/>
      <c r="L61" s="1623"/>
      <c r="M61" s="1623"/>
      <c r="N61" s="1623"/>
      <c r="O61" s="1623"/>
      <c r="P61" s="1623"/>
      <c r="Q61" s="1623"/>
      <c r="R61" s="1623"/>
      <c r="S61" s="1623"/>
      <c r="T61"/>
      <c r="U61"/>
      <c r="V61"/>
      <c r="W61"/>
      <c r="X61"/>
      <c r="Y61"/>
      <c r="Z61"/>
      <c r="AA61"/>
      <c r="AB61"/>
      <c r="AC61"/>
      <c r="AD61"/>
      <c r="AE61"/>
      <c r="AF61"/>
      <c r="AG61"/>
      <c r="AH61"/>
    </row>
    <row r="62" spans="1:34" s="2" customFormat="1">
      <c r="A62" s="1620"/>
      <c r="B62" s="1105"/>
      <c r="C62" s="1548"/>
      <c r="D62" s="1632"/>
      <c r="E62" s="1632"/>
      <c r="F62" s="1632"/>
      <c r="G62" s="1621"/>
      <c r="H62" s="1623"/>
      <c r="I62" s="1623"/>
      <c r="J62" s="1622"/>
      <c r="K62" s="1623"/>
      <c r="L62" s="1623"/>
      <c r="M62" s="1623"/>
      <c r="N62" s="1623"/>
      <c r="O62" s="1623"/>
      <c r="P62" s="1623"/>
      <c r="Q62" s="1623"/>
      <c r="R62" s="1623"/>
      <c r="S62" s="1623"/>
      <c r="T62"/>
      <c r="U62"/>
      <c r="V62"/>
      <c r="W62"/>
      <c r="X62"/>
      <c r="Y62"/>
      <c r="Z62"/>
      <c r="AA62"/>
      <c r="AB62"/>
      <c r="AC62"/>
      <c r="AD62"/>
      <c r="AE62"/>
      <c r="AF62"/>
      <c r="AG62"/>
      <c r="AH62"/>
    </row>
    <row r="63" spans="1:34" ht="15.75" thickBot="1">
      <c r="A63" s="1620"/>
      <c r="B63" s="1105"/>
      <c r="C63" s="1548"/>
      <c r="D63" s="1632"/>
      <c r="E63" s="1632"/>
      <c r="F63" s="1632"/>
      <c r="G63" s="1621"/>
      <c r="H63" s="1623"/>
      <c r="I63" s="1623"/>
      <c r="J63" s="1622"/>
      <c r="K63" s="1623"/>
      <c r="L63" s="1623"/>
      <c r="M63" s="1623"/>
      <c r="N63" s="1623"/>
      <c r="O63" s="1623"/>
      <c r="P63" s="1623"/>
      <c r="Q63" s="1623"/>
      <c r="R63" s="1623"/>
      <c r="S63" s="1623"/>
    </row>
    <row r="64" spans="1:34" s="2" customFormat="1" ht="16.5" thickTop="1" thickBot="1">
      <c r="A64" s="2331" t="s">
        <v>761</v>
      </c>
      <c r="B64" s="2332"/>
      <c r="C64" s="298"/>
      <c r="D64" s="12"/>
      <c r="E64" s="12"/>
      <c r="F64" s="12"/>
      <c r="G64" s="26"/>
      <c r="H64" s="20"/>
      <c r="I64" s="20"/>
      <c r="J64" s="24"/>
      <c r="K64" s="20"/>
      <c r="L64" s="20"/>
      <c r="M64" s="20"/>
      <c r="N64" s="20"/>
      <c r="O64" s="20"/>
      <c r="P64" s="20"/>
      <c r="Q64" s="20"/>
      <c r="R64" s="20"/>
      <c r="S64" s="20"/>
      <c r="T64"/>
      <c r="U64"/>
      <c r="V64"/>
      <c r="W64"/>
      <c r="X64"/>
      <c r="Y64"/>
      <c r="Z64"/>
      <c r="AA64"/>
      <c r="AB64"/>
      <c r="AC64"/>
      <c r="AD64"/>
      <c r="AE64"/>
      <c r="AF64"/>
      <c r="AG64"/>
      <c r="AH64"/>
    </row>
    <row r="65" spans="1:34" s="2" customFormat="1" ht="15.75" thickTop="1">
      <c r="A65" s="1620"/>
      <c r="B65" s="1105"/>
      <c r="C65" s="1548"/>
      <c r="D65" s="1632"/>
      <c r="E65" s="1632"/>
      <c r="F65" s="1632"/>
      <c r="G65" s="1621"/>
      <c r="H65" s="1623"/>
      <c r="I65" s="1623"/>
      <c r="J65" s="1622"/>
      <c r="K65" s="1623"/>
      <c r="L65" s="1623"/>
      <c r="M65" s="1623"/>
      <c r="N65" s="1623"/>
      <c r="O65" s="1623"/>
      <c r="P65" s="1623"/>
      <c r="Q65" s="1623"/>
      <c r="R65" s="1623"/>
      <c r="S65" s="1623"/>
      <c r="T65"/>
      <c r="U65"/>
      <c r="V65"/>
      <c r="W65"/>
      <c r="X65"/>
      <c r="Y65"/>
      <c r="Z65"/>
      <c r="AA65"/>
      <c r="AB65"/>
      <c r="AC65"/>
      <c r="AD65"/>
      <c r="AE65"/>
      <c r="AF65"/>
      <c r="AG65"/>
      <c r="AH65"/>
    </row>
    <row r="66" spans="1:34" s="2" customFormat="1">
      <c r="A66" s="1124"/>
      <c r="B66" s="1105"/>
      <c r="C66" s="415"/>
      <c r="D66" s="422"/>
      <c r="E66" s="422"/>
      <c r="F66" s="422"/>
      <c r="G66" s="831"/>
      <c r="H66" s="1173"/>
      <c r="I66" s="1173"/>
      <c r="J66" s="440"/>
      <c r="K66" s="1173"/>
      <c r="L66" s="1173"/>
      <c r="M66" s="1173"/>
      <c r="N66" s="1173"/>
      <c r="O66" s="1173"/>
      <c r="P66" s="1173"/>
      <c r="Q66" s="1173"/>
      <c r="R66" s="1173"/>
      <c r="S66" s="1173"/>
      <c r="T66"/>
      <c r="U66"/>
      <c r="V66"/>
      <c r="W66"/>
      <c r="X66"/>
      <c r="Y66"/>
      <c r="Z66"/>
      <c r="AA66"/>
      <c r="AB66"/>
      <c r="AC66"/>
      <c r="AD66"/>
      <c r="AE66"/>
      <c r="AF66"/>
      <c r="AG66"/>
      <c r="AH66"/>
    </row>
    <row r="67" spans="1:34" s="2" customFormat="1" ht="15.75" thickBot="1">
      <c r="A67" s="1126"/>
      <c r="B67" s="1174"/>
      <c r="C67" s="415"/>
      <c r="D67" s="422"/>
      <c r="E67" s="422"/>
      <c r="F67" s="422"/>
      <c r="G67" s="831"/>
      <c r="H67" s="1175"/>
      <c r="I67" s="1175"/>
      <c r="J67" s="441"/>
      <c r="K67" s="1175"/>
      <c r="L67" s="1175"/>
      <c r="M67" s="1175"/>
      <c r="N67" s="1175"/>
      <c r="O67" s="1175"/>
      <c r="P67" s="1175"/>
      <c r="Q67" s="1175"/>
      <c r="R67" s="1175"/>
      <c r="S67" s="1175"/>
    </row>
    <row r="68" spans="1:34" s="2" customFormat="1" ht="16.5" thickTop="1" thickBot="1">
      <c r="A68" s="2331" t="s">
        <v>762</v>
      </c>
      <c r="B68" s="2332"/>
      <c r="C68" s="298"/>
      <c r="D68" s="12"/>
      <c r="E68" s="12"/>
      <c r="F68" s="12"/>
      <c r="G68" s="26"/>
      <c r="H68" s="20"/>
      <c r="I68" s="20"/>
      <c r="J68" s="24"/>
      <c r="K68" s="20"/>
      <c r="L68" s="20"/>
      <c r="M68" s="20"/>
      <c r="N68" s="20"/>
      <c r="O68" s="20"/>
      <c r="P68" s="20"/>
      <c r="Q68" s="20"/>
      <c r="R68" s="20"/>
      <c r="S68" s="20"/>
      <c r="T68"/>
      <c r="U68"/>
      <c r="V68"/>
      <c r="W68"/>
      <c r="X68"/>
      <c r="Y68"/>
      <c r="Z68"/>
      <c r="AA68"/>
      <c r="AB68"/>
      <c r="AC68"/>
      <c r="AD68"/>
      <c r="AE68"/>
      <c r="AF68"/>
      <c r="AG68"/>
      <c r="AH68"/>
    </row>
    <row r="69" spans="1:34" ht="15.75" thickTop="1">
      <c r="A69" s="1625"/>
      <c r="B69" s="1626"/>
      <c r="C69" s="1548"/>
      <c r="D69" s="1632"/>
      <c r="E69" s="1632"/>
      <c r="F69" s="1632"/>
      <c r="G69" s="1621"/>
      <c r="H69" s="1623"/>
      <c r="I69" s="1623"/>
      <c r="J69" s="1622"/>
      <c r="K69" s="1623"/>
      <c r="L69" s="1623"/>
      <c r="M69" s="1623"/>
      <c r="N69" s="1623"/>
      <c r="O69" s="1623"/>
      <c r="P69" s="1623"/>
      <c r="Q69" s="1623"/>
      <c r="R69" s="1623"/>
      <c r="S69" s="1623"/>
      <c r="T69" s="2"/>
      <c r="U69" s="2"/>
      <c r="V69" s="2"/>
      <c r="W69" s="2"/>
      <c r="X69" s="2"/>
      <c r="Y69" s="2"/>
      <c r="Z69" s="2"/>
      <c r="AA69" s="2"/>
      <c r="AB69" s="2"/>
      <c r="AC69" s="2"/>
      <c r="AD69" s="2"/>
      <c r="AE69" s="2"/>
      <c r="AF69" s="2"/>
      <c r="AG69" s="2"/>
      <c r="AH69" s="2"/>
    </row>
    <row r="70" spans="1:34">
      <c r="A70" s="1126"/>
      <c r="B70" s="1174"/>
      <c r="C70" s="415"/>
      <c r="D70" s="422"/>
      <c r="E70" s="422"/>
      <c r="F70" s="422"/>
      <c r="G70" s="831"/>
      <c r="H70" s="1178"/>
      <c r="I70" s="1178"/>
      <c r="J70" s="442"/>
      <c r="K70" s="1178"/>
      <c r="L70" s="1178"/>
      <c r="M70" s="1178"/>
      <c r="N70" s="1178"/>
      <c r="O70" s="1178"/>
      <c r="P70" s="1178"/>
      <c r="Q70" s="1178"/>
      <c r="R70" s="1178"/>
      <c r="S70" s="1178"/>
      <c r="T70" s="2"/>
      <c r="U70" s="2"/>
      <c r="V70" s="2"/>
      <c r="W70" s="2"/>
      <c r="X70" s="2"/>
      <c r="Y70" s="2"/>
      <c r="Z70" s="2"/>
      <c r="AA70" s="2"/>
      <c r="AB70" s="2"/>
      <c r="AC70" s="2"/>
      <c r="AD70" s="2"/>
      <c r="AE70" s="2"/>
      <c r="AF70" s="2"/>
      <c r="AG70" s="2"/>
      <c r="AH70" s="2"/>
    </row>
    <row r="71" spans="1:34" ht="15.75" thickBot="1">
      <c r="A71" s="1126"/>
      <c r="B71" s="1174"/>
      <c r="C71" s="415"/>
      <c r="D71" s="422"/>
      <c r="E71" s="422"/>
      <c r="F71" s="422"/>
      <c r="G71" s="831"/>
      <c r="H71" s="1178"/>
      <c r="I71" s="1178"/>
      <c r="J71" s="442"/>
      <c r="K71" s="1178"/>
      <c r="L71" s="1178"/>
      <c r="M71" s="1178"/>
      <c r="N71" s="1178"/>
      <c r="O71" s="1178"/>
      <c r="P71" s="1178"/>
      <c r="Q71" s="1178"/>
      <c r="R71" s="1178"/>
      <c r="S71" s="1178"/>
      <c r="T71" s="2"/>
      <c r="U71" s="2"/>
      <c r="V71" s="2"/>
      <c r="W71" s="2"/>
      <c r="X71" s="2"/>
      <c r="Y71" s="2"/>
      <c r="Z71" s="2"/>
      <c r="AA71" s="2"/>
      <c r="AB71" s="2"/>
      <c r="AC71" s="2"/>
      <c r="AD71" s="2"/>
      <c r="AE71" s="2"/>
      <c r="AF71" s="2"/>
      <c r="AG71" s="2"/>
      <c r="AH71" s="2"/>
    </row>
    <row r="72" spans="1:34" ht="16.5" thickTop="1" thickBot="1">
      <c r="A72" s="2331" t="s">
        <v>763</v>
      </c>
      <c r="B72" s="2332"/>
      <c r="C72" s="298"/>
      <c r="D72" s="12"/>
      <c r="E72" s="12"/>
      <c r="F72" s="12"/>
      <c r="G72" s="26"/>
      <c r="H72" s="20"/>
      <c r="I72" s="20"/>
      <c r="J72" s="24"/>
      <c r="K72" s="20"/>
      <c r="L72" s="20"/>
      <c r="M72" s="20"/>
      <c r="N72" s="20"/>
      <c r="O72" s="20"/>
      <c r="P72" s="20"/>
      <c r="Q72" s="20"/>
      <c r="R72" s="20"/>
      <c r="S72" s="20"/>
    </row>
    <row r="73" spans="1:34" ht="15.75" thickTop="1">
      <c r="A73" s="1124"/>
      <c r="B73" s="1105" t="s">
        <v>764</v>
      </c>
      <c r="C73" s="415"/>
      <c r="D73" s="422"/>
      <c r="E73" s="422"/>
      <c r="F73" s="422"/>
      <c r="G73" s="831"/>
      <c r="H73" s="1178"/>
      <c r="I73" s="1178"/>
      <c r="J73" s="442"/>
      <c r="K73" s="1178"/>
      <c r="L73" s="1178"/>
      <c r="M73" s="1178"/>
      <c r="N73" s="1178"/>
      <c r="O73" s="1178"/>
      <c r="P73" s="1178"/>
      <c r="Q73" s="1178"/>
      <c r="R73" s="1178"/>
      <c r="S73" s="1178"/>
    </row>
    <row r="74" spans="1:34">
      <c r="A74" s="1124"/>
      <c r="B74" s="1105" t="s">
        <v>765</v>
      </c>
      <c r="C74" s="415"/>
      <c r="D74" s="422"/>
      <c r="E74" s="422"/>
      <c r="F74" s="422"/>
      <c r="G74" s="831"/>
      <c r="H74" s="1178"/>
      <c r="I74" s="1178"/>
      <c r="J74" s="442"/>
      <c r="K74" s="1178"/>
      <c r="L74" s="1178"/>
      <c r="M74" s="1178"/>
      <c r="N74" s="1178"/>
      <c r="O74" s="1178"/>
      <c r="P74" s="1178"/>
      <c r="Q74" s="1178"/>
      <c r="R74" s="1178"/>
      <c r="S74" s="1178"/>
    </row>
    <row r="75" spans="1:34">
      <c r="A75" s="1124"/>
      <c r="B75" s="1105" t="s">
        <v>766</v>
      </c>
      <c r="C75" s="415"/>
      <c r="D75" s="422"/>
      <c r="E75" s="422"/>
      <c r="F75" s="422"/>
      <c r="G75" s="831"/>
      <c r="H75" s="1178"/>
      <c r="I75" s="1178"/>
      <c r="J75" s="442"/>
      <c r="K75" s="1178"/>
      <c r="L75" s="1178"/>
      <c r="M75" s="1178"/>
      <c r="N75" s="1178"/>
      <c r="O75" s="1178"/>
      <c r="P75" s="1178"/>
      <c r="Q75" s="1178"/>
      <c r="R75" s="1178"/>
      <c r="S75" s="1178"/>
    </row>
    <row r="76" spans="1:34">
      <c r="A76" s="1124"/>
      <c r="B76" s="1105" t="s">
        <v>767</v>
      </c>
      <c r="C76" s="415"/>
      <c r="D76" s="422"/>
      <c r="E76" s="422"/>
      <c r="F76" s="422"/>
      <c r="G76" s="831"/>
      <c r="H76" s="1178"/>
      <c r="I76" s="1178"/>
      <c r="J76" s="442"/>
      <c r="K76" s="1178"/>
      <c r="L76" s="1178"/>
      <c r="M76" s="1178"/>
      <c r="N76" s="1178"/>
      <c r="O76" s="1178"/>
      <c r="P76" s="1178"/>
      <c r="Q76" s="1178"/>
      <c r="R76" s="1178"/>
      <c r="S76" s="1178"/>
    </row>
    <row r="77" spans="1:34" ht="15.75" thickBot="1">
      <c r="A77" s="443"/>
      <c r="B77" s="421"/>
      <c r="C77" s="23"/>
      <c r="D77" s="86"/>
      <c r="E77" s="86"/>
      <c r="F77" s="86"/>
      <c r="G77" s="27"/>
      <c r="H77" s="444"/>
      <c r="I77" s="444"/>
      <c r="J77" s="25"/>
      <c r="K77" s="444"/>
      <c r="L77" s="444"/>
      <c r="M77" s="444"/>
      <c r="N77" s="444"/>
      <c r="O77" s="444"/>
      <c r="P77" s="444"/>
      <c r="Q77" s="444"/>
      <c r="R77" s="444"/>
      <c r="S77" s="444"/>
    </row>
    <row r="78" spans="1:34" ht="16.5" thickTop="1" thickBot="1">
      <c r="A78" s="72" t="s">
        <v>768</v>
      </c>
      <c r="B78" s="73"/>
      <c r="C78" s="298"/>
      <c r="D78" s="12"/>
      <c r="E78" s="12"/>
      <c r="F78" s="12"/>
      <c r="G78" s="26"/>
      <c r="H78" s="20"/>
      <c r="I78" s="20"/>
      <c r="J78" s="24"/>
      <c r="K78" s="20"/>
      <c r="L78" s="20"/>
      <c r="M78" s="20"/>
      <c r="N78" s="20"/>
      <c r="O78" s="20"/>
      <c r="P78" s="20"/>
      <c r="Q78" s="20"/>
      <c r="R78" s="20"/>
      <c r="S78" s="20"/>
    </row>
    <row r="79" spans="1:34" ht="15.75" thickTop="1">
      <c r="A79" s="1620"/>
      <c r="B79" s="1627" t="s">
        <v>769</v>
      </c>
      <c r="C79" s="1548"/>
      <c r="D79" s="1632"/>
      <c r="E79" s="1632"/>
      <c r="F79" s="1632"/>
      <c r="G79" s="1621"/>
      <c r="H79" s="1629"/>
      <c r="I79" s="1629"/>
      <c r="J79" s="1628"/>
      <c r="K79" s="1629"/>
      <c r="L79" s="1629"/>
      <c r="M79" s="1629"/>
      <c r="N79" s="1629"/>
      <c r="O79" s="1629"/>
      <c r="P79" s="1629"/>
      <c r="Q79" s="1629"/>
      <c r="R79" s="1629"/>
      <c r="S79" s="1629"/>
    </row>
    <row r="80" spans="1:34">
      <c r="A80" s="1124"/>
      <c r="B80" s="1105" t="s">
        <v>770</v>
      </c>
      <c r="C80" s="415"/>
      <c r="D80" s="422"/>
      <c r="E80" s="422"/>
      <c r="F80" s="422"/>
      <c r="G80" s="831"/>
      <c r="H80" s="1182"/>
      <c r="I80" s="1182"/>
      <c r="J80" s="445"/>
      <c r="K80" s="1182"/>
      <c r="L80" s="1182"/>
      <c r="M80" s="1182"/>
      <c r="N80" s="1182"/>
      <c r="O80" s="1182"/>
      <c r="P80" s="1182"/>
      <c r="Q80" s="1182"/>
      <c r="R80" s="1182"/>
      <c r="S80" s="1182"/>
    </row>
    <row r="81" spans="1:19" ht="15.75" thickBot="1">
      <c r="A81" s="1183"/>
      <c r="B81" s="1184" t="s">
        <v>771</v>
      </c>
      <c r="C81" s="1185"/>
      <c r="D81" s="1186"/>
      <c r="E81" s="1186"/>
      <c r="F81" s="1186"/>
      <c r="G81" s="1187"/>
      <c r="H81" s="1189"/>
      <c r="I81" s="1189"/>
      <c r="J81" s="1188"/>
      <c r="K81" s="1189"/>
      <c r="L81" s="1189"/>
      <c r="M81" s="1189"/>
      <c r="N81" s="1189"/>
      <c r="O81" s="1189"/>
      <c r="P81" s="1189"/>
      <c r="Q81" s="1189"/>
      <c r="R81" s="1189"/>
      <c r="S81" s="1189"/>
    </row>
    <row r="82" spans="1:19" ht="16.5" thickTop="1" thickBot="1">
      <c r="F82" s="2"/>
      <c r="G82" s="2"/>
      <c r="H82" s="2"/>
      <c r="I82" s="2"/>
      <c r="J82" s="2"/>
      <c r="K82" s="2"/>
      <c r="L82" s="2"/>
      <c r="M82" s="2"/>
      <c r="N82" s="2"/>
      <c r="O82" s="2"/>
      <c r="P82" s="2"/>
      <c r="Q82" s="2"/>
      <c r="R82" s="2"/>
      <c r="S82" s="2"/>
    </row>
    <row r="83" spans="1:19" ht="16.5" thickTop="1" thickBot="1">
      <c r="A83" s="37" t="s">
        <v>772</v>
      </c>
      <c r="B83" s="39"/>
      <c r="F83" s="2"/>
      <c r="G83" s="2"/>
      <c r="H83" s="2"/>
      <c r="I83" s="2"/>
      <c r="J83" s="2"/>
      <c r="K83" s="2"/>
      <c r="L83" s="2"/>
      <c r="M83" s="2"/>
      <c r="N83" s="2"/>
      <c r="O83" s="2"/>
      <c r="P83" s="2"/>
      <c r="Q83" s="2"/>
      <c r="R83" s="2"/>
      <c r="S83" s="2"/>
    </row>
    <row r="84" spans="1:19" ht="15.75" thickTop="1">
      <c r="A84" s="38" t="s">
        <v>693</v>
      </c>
      <c r="B84" s="1277" t="str">
        <f>L5</f>
        <v>Interior Specialties</v>
      </c>
      <c r="F84" s="2"/>
      <c r="G84" s="2"/>
      <c r="H84" s="2"/>
      <c r="I84" s="2"/>
      <c r="J84" s="2"/>
      <c r="K84" s="2"/>
      <c r="L84" s="2"/>
      <c r="M84" s="2"/>
      <c r="N84" s="2"/>
      <c r="O84" s="2"/>
      <c r="P84" s="2"/>
      <c r="Q84" s="2"/>
      <c r="R84" s="2"/>
      <c r="S84" s="2"/>
    </row>
    <row r="85" spans="1:19">
      <c r="A85" s="1142" t="s">
        <v>702</v>
      </c>
      <c r="B85" s="1277" t="str">
        <f>L6</f>
        <v>Carolyn Haley</v>
      </c>
      <c r="F85" s="2"/>
      <c r="G85" s="2"/>
      <c r="H85" s="2"/>
      <c r="I85" s="2"/>
      <c r="J85" s="2"/>
      <c r="K85" s="2"/>
      <c r="L85" s="2"/>
      <c r="M85" s="2"/>
      <c r="N85" s="2"/>
      <c r="O85" s="2"/>
      <c r="P85" s="2"/>
      <c r="Q85" s="2"/>
      <c r="R85" s="2"/>
      <c r="S85" s="2"/>
    </row>
    <row r="86" spans="1:19">
      <c r="A86" s="1191" t="s">
        <v>708</v>
      </c>
      <c r="B86" s="1192" t="str">
        <f>L7</f>
        <v xml:space="preserve">407-539-1303 </v>
      </c>
      <c r="F86" s="2"/>
      <c r="G86" s="2"/>
      <c r="H86" s="2"/>
      <c r="I86" s="2"/>
      <c r="J86" s="2"/>
      <c r="K86" s="2"/>
      <c r="L86" s="2"/>
      <c r="M86" s="2"/>
      <c r="N86" s="2"/>
      <c r="O86" s="2"/>
      <c r="P86" s="2"/>
      <c r="Q86" s="2"/>
      <c r="R86" s="2"/>
      <c r="S86" s="2"/>
    </row>
    <row r="87" spans="1:19">
      <c r="A87" s="1191" t="s">
        <v>713</v>
      </c>
      <c r="B87" s="1278" t="str">
        <f>L8</f>
        <v>chaley@interiorspecialties.com</v>
      </c>
      <c r="F87" s="2"/>
      <c r="G87" s="2"/>
      <c r="H87" s="2"/>
      <c r="I87" s="2"/>
      <c r="J87" s="2"/>
      <c r="K87" s="2"/>
      <c r="L87" s="2"/>
      <c r="M87" s="2"/>
      <c r="N87" s="2"/>
      <c r="O87" s="2"/>
      <c r="P87" s="2"/>
      <c r="Q87" s="2"/>
      <c r="R87" s="2"/>
      <c r="S87" s="2"/>
    </row>
    <row r="88" spans="1:19" ht="15.75" thickBot="1">
      <c r="A88" s="1194" t="s">
        <v>69</v>
      </c>
      <c r="B88" s="1231">
        <f>L9</f>
        <v>302971.71000000002</v>
      </c>
      <c r="F88" s="2"/>
      <c r="G88" s="2"/>
      <c r="H88" s="2"/>
      <c r="I88" s="2"/>
      <c r="J88" s="2"/>
      <c r="K88" s="2"/>
      <c r="L88" s="2"/>
      <c r="M88" s="2"/>
      <c r="N88" s="2"/>
      <c r="O88" s="2"/>
      <c r="P88" s="2"/>
      <c r="Q88" s="2"/>
      <c r="R88" s="2"/>
      <c r="S88" s="2"/>
    </row>
    <row r="89" spans="1:19" ht="15.75" thickTop="1"/>
  </sheetData>
  <mergeCells count="41">
    <mergeCell ref="A56:B56"/>
    <mergeCell ref="A60:B60"/>
    <mergeCell ref="A64:B64"/>
    <mergeCell ref="A68:B68"/>
    <mergeCell ref="A72:B72"/>
    <mergeCell ref="R9:S9"/>
    <mergeCell ref="J8:K8"/>
    <mergeCell ref="L8:M8"/>
    <mergeCell ref="N8:O8"/>
    <mergeCell ref="P8:Q8"/>
    <mergeCell ref="R8:S8"/>
    <mergeCell ref="J9:K9"/>
    <mergeCell ref="L9:M9"/>
    <mergeCell ref="N9:O9"/>
    <mergeCell ref="P9:Q9"/>
    <mergeCell ref="R7:S7"/>
    <mergeCell ref="J6:K6"/>
    <mergeCell ref="L6:M6"/>
    <mergeCell ref="N6:O6"/>
    <mergeCell ref="P6:Q6"/>
    <mergeCell ref="R6:S6"/>
    <mergeCell ref="J7:K7"/>
    <mergeCell ref="L7:M7"/>
    <mergeCell ref="N7:O7"/>
    <mergeCell ref="P7:Q7"/>
    <mergeCell ref="R5:S5"/>
    <mergeCell ref="J4:K4"/>
    <mergeCell ref="L4:M4"/>
    <mergeCell ref="N4:O4"/>
    <mergeCell ref="P4:Q4"/>
    <mergeCell ref="R4:S4"/>
    <mergeCell ref="J5:K5"/>
    <mergeCell ref="L5:M5"/>
    <mergeCell ref="N5:O5"/>
    <mergeCell ref="P5:Q5"/>
    <mergeCell ref="H9:I9"/>
    <mergeCell ref="H4:I4"/>
    <mergeCell ref="H5:I5"/>
    <mergeCell ref="H6:I6"/>
    <mergeCell ref="H7:I7"/>
    <mergeCell ref="H8:I8"/>
  </mergeCells>
  <conditionalFormatting sqref="H11:H19 H21:H47 J21:J47 L21:L47 N21:N47 P21:P47 R21:R47">
    <cfRule type="cellIs" dxfId="339" priority="5" operator="equal">
      <formula>"X"</formula>
    </cfRule>
    <cfRule type="cellIs" dxfId="338" priority="6" operator="equal">
      <formula>"I"</formula>
    </cfRule>
  </conditionalFormatting>
  <conditionalFormatting sqref="J11:J19">
    <cfRule type="cellIs" dxfId="337" priority="3" operator="equal">
      <formula>"X"</formula>
    </cfRule>
    <cfRule type="cellIs" dxfId="336" priority="4" operator="equal">
      <formula>"I"</formula>
    </cfRule>
  </conditionalFormatting>
  <conditionalFormatting sqref="L11:L19">
    <cfRule type="cellIs" dxfId="335" priority="1" operator="equal">
      <formula>"X"</formula>
    </cfRule>
    <cfRule type="cellIs" dxfId="334" priority="2" operator="equal">
      <formula>"I"</formula>
    </cfRule>
  </conditionalFormatting>
  <conditionalFormatting sqref="N11:N19 P11:P19 R11:R19">
    <cfRule type="cellIs" dxfId="333" priority="21" operator="equal">
      <formula>"X"</formula>
    </cfRule>
    <cfRule type="cellIs" dxfId="332" priority="22" operator="equal">
      <formula>"I"</formula>
    </cfRule>
  </conditionalFormatting>
  <hyperlinks>
    <hyperlink ref="B4" location="'Cost Summary'!A1" display="BACK TO SUMMARY SHEET" xr:uid="{1889A787-41EB-48BD-88EE-70A88A74F29A}"/>
    <hyperlink ref="H8:I8" r:id="rId1" display="Mcooper@specialtiesdirect.com" xr:uid="{0E821A52-0ABD-468B-950D-3DC2FA58CEC6}"/>
    <hyperlink ref="J8:K8" r:id="rId2" display="tj-terrick@cfl.rr.com" xr:uid="{AA612E8E-CEFE-4A5A-A450-4A1E5233A7F3}"/>
    <hyperlink ref="N8:O8" r:id="rId3" display="hanna@asterakb.com" xr:uid="{3CEA7654-1016-41A7-BB9D-8EE64F2293F3}"/>
    <hyperlink ref="L8:M8" r:id="rId4" display="chaley@interiorspecialties.com" xr:uid="{DEE730A7-9FDB-4DD3-8DB1-CC279C6044D1}"/>
  </hyperlinks>
  <pageMargins left="0.7" right="0.7" top="0.75" bottom="0.75" header="0.3" footer="0.3"/>
  <pageSetup orientation="portrait" r:id="rId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F73B-ABB9-4ABD-B535-BBB32D0BF040}">
  <dimension ref="A1:S109"/>
  <sheetViews>
    <sheetView workbookViewId="0">
      <pane xSplit="2" ySplit="9" topLeftCell="C61" activePane="bottomRight" state="frozen"/>
      <selection pane="topRight" activeCell="C1" sqref="C1"/>
      <selection pane="bottomLeft" activeCell="A11" sqref="A11"/>
      <selection pane="bottomRight" activeCell="I71" sqref="I71:I72"/>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85"/>
      <c r="F1" s="64"/>
      <c r="G1" s="62" t="s">
        <v>679</v>
      </c>
    </row>
    <row r="2" spans="1:19" ht="15.75" thickBot="1">
      <c r="E2" s="85"/>
      <c r="F2" s="61"/>
      <c r="G2" s="62" t="s">
        <v>681</v>
      </c>
      <c r="H2" s="2364"/>
      <c r="I2" s="2364"/>
      <c r="J2" s="2364"/>
      <c r="K2" s="2364"/>
      <c r="L2" s="2364"/>
      <c r="M2" s="2364"/>
      <c r="N2" s="2364"/>
      <c r="O2" s="2364"/>
      <c r="P2" s="2364"/>
      <c r="Q2" s="2364"/>
      <c r="R2" s="2364"/>
      <c r="S2" s="2364"/>
    </row>
    <row r="3" spans="1:19" ht="21" thickBot="1">
      <c r="B3" s="74" t="s">
        <v>684</v>
      </c>
      <c r="E3" s="85"/>
      <c r="F3" s="63"/>
      <c r="G3" s="62" t="s">
        <v>683</v>
      </c>
      <c r="H3" s="2319" t="s">
        <v>686</v>
      </c>
      <c r="I3" s="2320"/>
      <c r="J3" s="2319" t="s">
        <v>687</v>
      </c>
      <c r="K3" s="2320"/>
      <c r="L3" s="2319" t="s">
        <v>688</v>
      </c>
      <c r="M3" s="2320"/>
      <c r="N3" s="2319" t="s">
        <v>689</v>
      </c>
      <c r="O3" s="2320"/>
      <c r="P3" s="2319" t="s">
        <v>773</v>
      </c>
      <c r="Q3" s="2320"/>
      <c r="R3" s="2319" t="s">
        <v>774</v>
      </c>
      <c r="S3" s="2320"/>
    </row>
    <row r="4" spans="1:19" ht="15.75" thickTop="1">
      <c r="A4" s="3" t="s">
        <v>692</v>
      </c>
      <c r="B4" s="4" t="str">
        <f>'Area Calculations'!B4</f>
        <v>ERAU Residential Hall &amp; Garage Building</v>
      </c>
      <c r="C4" s="5"/>
      <c r="D4" s="5"/>
      <c r="E4" s="5"/>
      <c r="F4" s="5"/>
      <c r="G4" s="6" t="s">
        <v>693</v>
      </c>
      <c r="H4" s="2362"/>
      <c r="I4" s="2363"/>
      <c r="J4" s="2376"/>
      <c r="K4" s="2363"/>
      <c r="L4" s="2376"/>
      <c r="M4" s="2363"/>
      <c r="N4" s="2376"/>
      <c r="O4" s="2363"/>
      <c r="P4" s="2376"/>
      <c r="Q4" s="2363"/>
      <c r="R4" s="2376"/>
      <c r="S4" s="2363"/>
    </row>
    <row r="5" spans="1:19">
      <c r="A5" s="930" t="s">
        <v>700</v>
      </c>
      <c r="B5" s="481" t="s">
        <v>1865</v>
      </c>
      <c r="C5" s="422"/>
      <c r="D5" s="422"/>
      <c r="E5" s="422"/>
      <c r="F5" s="422"/>
      <c r="G5" s="466" t="s">
        <v>702</v>
      </c>
      <c r="H5" s="2359"/>
      <c r="I5" s="2360"/>
      <c r="J5" s="2378"/>
      <c r="K5" s="2360"/>
      <c r="L5" s="2378"/>
      <c r="M5" s="2360"/>
      <c r="N5" s="2378"/>
      <c r="O5" s="2360"/>
      <c r="P5" s="2378"/>
      <c r="Q5" s="2360"/>
      <c r="R5" s="2378"/>
      <c r="S5" s="2360"/>
    </row>
    <row r="6" spans="1:19">
      <c r="A6" s="930" t="s">
        <v>706</v>
      </c>
      <c r="B6" s="482" t="s">
        <v>1866</v>
      </c>
      <c r="C6" s="422"/>
      <c r="D6" s="422"/>
      <c r="E6" s="422"/>
      <c r="F6" s="422"/>
      <c r="G6" s="466" t="s">
        <v>708</v>
      </c>
      <c r="H6" s="2361"/>
      <c r="I6" s="2358"/>
      <c r="J6" s="2377"/>
      <c r="K6" s="2358"/>
      <c r="L6" s="2377"/>
      <c r="M6" s="2358"/>
      <c r="N6" s="2377"/>
      <c r="O6" s="2358"/>
      <c r="P6" s="2377"/>
      <c r="Q6" s="2358"/>
      <c r="R6" s="2377"/>
      <c r="S6" s="2358"/>
    </row>
    <row r="7" spans="1:19">
      <c r="A7" s="930" t="s">
        <v>712</v>
      </c>
      <c r="B7" s="483"/>
      <c r="C7" s="422"/>
      <c r="D7" s="422"/>
      <c r="E7" s="422"/>
      <c r="F7" s="422"/>
      <c r="G7" s="466" t="s">
        <v>713</v>
      </c>
      <c r="H7" s="2355"/>
      <c r="I7" s="2356"/>
      <c r="J7" s="2381"/>
      <c r="K7" s="2356"/>
      <c r="L7" s="2381"/>
      <c r="M7" s="2356"/>
      <c r="N7" s="2381"/>
      <c r="O7" s="2356"/>
      <c r="P7" s="2381"/>
      <c r="Q7" s="2356"/>
      <c r="R7" s="2381"/>
      <c r="S7" s="2356"/>
    </row>
    <row r="8" spans="1:19" ht="15.75" thickBot="1">
      <c r="A8" s="467" t="s">
        <v>717</v>
      </c>
      <c r="B8" s="340"/>
      <c r="C8" s="86"/>
      <c r="D8" s="86"/>
      <c r="E8" s="86"/>
      <c r="F8" s="86"/>
      <c r="G8" s="467" t="s">
        <v>717</v>
      </c>
      <c r="H8" s="2379">
        <f>I70</f>
        <v>0</v>
      </c>
      <c r="I8" s="2380"/>
      <c r="J8" s="2379">
        <f>K70</f>
        <v>0</v>
      </c>
      <c r="K8" s="2380"/>
      <c r="L8" s="2379">
        <f>M70</f>
        <v>0</v>
      </c>
      <c r="M8" s="2380"/>
      <c r="N8" s="2379">
        <f>O70</f>
        <v>0</v>
      </c>
      <c r="O8" s="2380"/>
      <c r="P8" s="2379">
        <f>Q70</f>
        <v>0</v>
      </c>
      <c r="Q8" s="2380"/>
      <c r="R8" s="2379">
        <f>S70</f>
        <v>0</v>
      </c>
      <c r="S8" s="2380"/>
    </row>
    <row r="9" spans="1:19" ht="31.5" thickTop="1" thickBot="1">
      <c r="A9" s="7" t="s">
        <v>1452</v>
      </c>
      <c r="B9" s="8"/>
      <c r="C9" s="9" t="s">
        <v>718</v>
      </c>
      <c r="D9" s="9" t="s">
        <v>719</v>
      </c>
      <c r="E9" s="9" t="s">
        <v>720</v>
      </c>
      <c r="F9" s="9" t="s">
        <v>721</v>
      </c>
      <c r="G9" s="10" t="s">
        <v>722</v>
      </c>
      <c r="H9" s="11" t="s">
        <v>723</v>
      </c>
      <c r="I9" s="11" t="s">
        <v>724</v>
      </c>
      <c r="J9" s="11" t="s">
        <v>723</v>
      </c>
      <c r="K9" s="11" t="s">
        <v>724</v>
      </c>
      <c r="L9" s="11" t="s">
        <v>723</v>
      </c>
      <c r="M9" s="11" t="s">
        <v>724</v>
      </c>
      <c r="N9" s="11" t="s">
        <v>723</v>
      </c>
      <c r="O9" s="11" t="s">
        <v>724</v>
      </c>
      <c r="P9" s="11" t="s">
        <v>723</v>
      </c>
      <c r="Q9" s="11" t="s">
        <v>724</v>
      </c>
      <c r="R9" s="11" t="s">
        <v>723</v>
      </c>
      <c r="S9" s="11" t="s">
        <v>724</v>
      </c>
    </row>
    <row r="10" spans="1:19" ht="15.75" hidden="1" thickTop="1">
      <c r="A10" s="931"/>
      <c r="B10" s="1648" t="s">
        <v>1453</v>
      </c>
      <c r="C10" s="422"/>
      <c r="D10" s="422"/>
      <c r="E10" s="422"/>
      <c r="F10" s="422"/>
      <c r="G10" s="468"/>
      <c r="H10" s="1649"/>
      <c r="I10" s="1649"/>
      <c r="J10" s="1649"/>
      <c r="K10" s="1649"/>
      <c r="L10" s="1649"/>
      <c r="M10" s="1649"/>
      <c r="N10" s="1649"/>
      <c r="O10" s="1649"/>
      <c r="P10" s="1649"/>
      <c r="Q10" s="1649"/>
      <c r="R10" s="1649"/>
      <c r="S10" s="1649"/>
    </row>
    <row r="11" spans="1:19" hidden="1">
      <c r="A11" s="931"/>
      <c r="B11" s="481" t="e">
        <f>'Area Calculations'!#REF!</f>
        <v>#REF!</v>
      </c>
      <c r="C11" s="484" t="s">
        <v>1035</v>
      </c>
      <c r="D11" s="422"/>
      <c r="E11" s="422"/>
      <c r="F11" s="422"/>
      <c r="G11" s="468"/>
      <c r="H11" s="1649"/>
      <c r="I11" s="1649"/>
      <c r="J11" s="1649"/>
      <c r="K11" s="1649"/>
      <c r="L11" s="1649"/>
      <c r="M11" s="1649"/>
      <c r="N11" s="1649"/>
      <c r="O11" s="1649"/>
      <c r="P11" s="1649"/>
      <c r="Q11" s="1649"/>
      <c r="R11" s="1649"/>
      <c r="S11" s="1649"/>
    </row>
    <row r="12" spans="1:19" hidden="1">
      <c r="A12" s="931"/>
      <c r="B12" s="481" t="e">
        <f>'Area Calculations'!#REF!</f>
        <v>#REF!</v>
      </c>
      <c r="C12" s="484" t="s">
        <v>1035</v>
      </c>
      <c r="D12" s="422"/>
      <c r="E12" s="422"/>
      <c r="F12" s="422"/>
      <c r="G12" s="468"/>
      <c r="H12" s="1649"/>
      <c r="I12" s="1649"/>
      <c r="J12" s="1649"/>
      <c r="K12" s="1649"/>
      <c r="L12" s="1649"/>
      <c r="M12" s="1649"/>
      <c r="N12" s="1649"/>
      <c r="O12" s="1649"/>
      <c r="P12" s="1649"/>
      <c r="Q12" s="1649"/>
      <c r="R12" s="1649"/>
      <c r="S12" s="1649"/>
    </row>
    <row r="13" spans="1:19" hidden="1">
      <c r="A13" s="931"/>
      <c r="B13" s="481" t="e">
        <f>'Area Calculations'!#REF!</f>
        <v>#REF!</v>
      </c>
      <c r="C13" s="484" t="s">
        <v>1035</v>
      </c>
      <c r="D13" s="422"/>
      <c r="E13" s="422"/>
      <c r="F13" s="422"/>
      <c r="G13" s="468"/>
      <c r="H13" s="1649"/>
      <c r="I13" s="1649"/>
      <c r="J13" s="1649"/>
      <c r="K13" s="1649"/>
      <c r="L13" s="1649"/>
      <c r="M13" s="1649"/>
      <c r="N13" s="1649"/>
      <c r="O13" s="1649"/>
      <c r="P13" s="1649"/>
      <c r="Q13" s="1649"/>
      <c r="R13" s="1649"/>
      <c r="S13" s="1649"/>
    </row>
    <row r="14" spans="1:19" hidden="1">
      <c r="A14" s="931"/>
      <c r="B14" s="481" t="e">
        <f>'Area Calculations'!#REF!</f>
        <v>#REF!</v>
      </c>
      <c r="C14" s="484" t="s">
        <v>1035</v>
      </c>
      <c r="D14" s="422"/>
      <c r="E14" s="422"/>
      <c r="F14" s="422"/>
      <c r="G14" s="468"/>
      <c r="H14" s="1649"/>
      <c r="I14" s="1649"/>
      <c r="J14" s="1649"/>
      <c r="K14" s="1649"/>
      <c r="L14" s="1649"/>
      <c r="M14" s="1649"/>
      <c r="N14" s="1649"/>
      <c r="O14" s="1649"/>
      <c r="P14" s="1649"/>
      <c r="Q14" s="1649"/>
      <c r="R14" s="1649"/>
      <c r="S14" s="1649"/>
    </row>
    <row r="15" spans="1:19" hidden="1">
      <c r="A15" s="931"/>
      <c r="B15" s="481" t="e">
        <f>'Area Calculations'!#REF!</f>
        <v>#REF!</v>
      </c>
      <c r="C15" s="484" t="s">
        <v>1035</v>
      </c>
      <c r="D15" s="422"/>
      <c r="E15" s="422"/>
      <c r="F15" s="422"/>
      <c r="G15" s="468"/>
      <c r="H15" s="1649"/>
      <c r="I15" s="1649"/>
      <c r="J15" s="1649"/>
      <c r="K15" s="1649"/>
      <c r="L15" s="1649"/>
      <c r="M15" s="1649"/>
      <c r="N15" s="1649"/>
      <c r="O15" s="1649"/>
      <c r="P15" s="1649"/>
      <c r="Q15" s="1649"/>
      <c r="R15" s="1649"/>
      <c r="S15" s="1649"/>
    </row>
    <row r="16" spans="1:19" hidden="1">
      <c r="A16" s="931"/>
      <c r="B16" s="481" t="e">
        <f>'Area Calculations'!#REF!</f>
        <v>#REF!</v>
      </c>
      <c r="C16" s="484" t="s">
        <v>1035</v>
      </c>
      <c r="D16" s="422"/>
      <c r="E16" s="422"/>
      <c r="F16" s="422"/>
      <c r="G16" s="468"/>
      <c r="H16" s="1649"/>
      <c r="I16" s="1649"/>
      <c r="J16" s="1649"/>
      <c r="K16" s="1649"/>
      <c r="L16" s="1649"/>
      <c r="M16" s="1649"/>
      <c r="N16" s="1649"/>
      <c r="O16" s="1649"/>
      <c r="P16" s="1649"/>
      <c r="Q16" s="1649"/>
      <c r="R16" s="1649"/>
      <c r="S16" s="1649"/>
    </row>
    <row r="17" spans="1:19" hidden="1">
      <c r="A17" s="931"/>
      <c r="B17" s="481" t="e">
        <f>'Area Calculations'!#REF!</f>
        <v>#REF!</v>
      </c>
      <c r="C17" s="484" t="s">
        <v>1035</v>
      </c>
      <c r="D17" s="422"/>
      <c r="E17" s="422"/>
      <c r="F17" s="422"/>
      <c r="G17" s="468"/>
      <c r="H17" s="1649"/>
      <c r="I17" s="1649"/>
      <c r="J17" s="1649"/>
      <c r="K17" s="1649"/>
      <c r="L17" s="1649"/>
      <c r="M17" s="1649"/>
      <c r="N17" s="1649"/>
      <c r="O17" s="1649"/>
      <c r="P17" s="1649"/>
      <c r="Q17" s="1649"/>
      <c r="R17" s="1649"/>
      <c r="S17" s="1649"/>
    </row>
    <row r="18" spans="1:19" hidden="1">
      <c r="A18" s="931"/>
      <c r="B18" s="481" t="e">
        <f>'Area Calculations'!#REF!</f>
        <v>#REF!</v>
      </c>
      <c r="C18" s="484" t="s">
        <v>1035</v>
      </c>
      <c r="D18" s="422"/>
      <c r="E18" s="422"/>
      <c r="F18" s="422"/>
      <c r="G18" s="468"/>
      <c r="H18" s="1649"/>
      <c r="I18" s="1649"/>
      <c r="J18" s="1649"/>
      <c r="K18" s="1649"/>
      <c r="L18" s="1649"/>
      <c r="M18" s="1649"/>
      <c r="N18" s="1649"/>
      <c r="O18" s="1649"/>
      <c r="P18" s="1649"/>
      <c r="Q18" s="1649"/>
      <c r="R18" s="1649"/>
      <c r="S18" s="1649"/>
    </row>
    <row r="19" spans="1:19" hidden="1">
      <c r="A19" s="931"/>
      <c r="B19" s="481" t="e">
        <f>'Area Calculations'!#REF!</f>
        <v>#REF!</v>
      </c>
      <c r="C19" s="484" t="s">
        <v>1035</v>
      </c>
      <c r="D19" s="422"/>
      <c r="E19" s="422"/>
      <c r="F19" s="422"/>
      <c r="G19" s="468"/>
      <c r="H19" s="1649"/>
      <c r="I19" s="1649"/>
      <c r="J19" s="1649"/>
      <c r="K19" s="1649"/>
      <c r="L19" s="1649"/>
      <c r="M19" s="1649"/>
      <c r="N19" s="1649"/>
      <c r="O19" s="1649"/>
      <c r="P19" s="1649"/>
      <c r="Q19" s="1649"/>
      <c r="R19" s="1649"/>
      <c r="S19" s="1649"/>
    </row>
    <row r="20" spans="1:19" ht="15.75" thickTop="1">
      <c r="A20" s="1650"/>
      <c r="B20" s="481"/>
      <c r="C20" s="484"/>
      <c r="D20" s="422"/>
      <c r="E20" s="422"/>
      <c r="F20" s="422"/>
      <c r="G20" s="468"/>
      <c r="H20" s="1649"/>
      <c r="I20" s="1649"/>
      <c r="J20" s="1649"/>
      <c r="K20" s="1649"/>
      <c r="L20" s="1649"/>
      <c r="M20" s="1649"/>
      <c r="N20" s="1649"/>
      <c r="O20" s="1649"/>
      <c r="P20" s="1649"/>
      <c r="Q20" s="1649"/>
      <c r="R20" s="1649"/>
      <c r="S20" s="1649"/>
    </row>
    <row r="21" spans="1:19" ht="15.75" thickBot="1">
      <c r="A21" s="1651"/>
      <c r="B21" s="485" t="s">
        <v>1865</v>
      </c>
      <c r="C21" s="28"/>
      <c r="D21" s="29"/>
      <c r="E21" s="29"/>
      <c r="F21" s="29"/>
      <c r="G21" s="33"/>
      <c r="H21" s="1652"/>
      <c r="I21" s="1653"/>
      <c r="J21" s="1652"/>
      <c r="K21" s="1653"/>
      <c r="L21" s="1652"/>
      <c r="M21" s="1653"/>
      <c r="N21" s="1652"/>
      <c r="O21" s="1653"/>
      <c r="P21" s="1652"/>
      <c r="Q21" s="1653"/>
      <c r="R21" s="1652"/>
      <c r="S21" s="1653"/>
    </row>
    <row r="22" spans="1:19">
      <c r="A22" s="1651"/>
      <c r="B22" s="1654" t="s">
        <v>725</v>
      </c>
      <c r="C22" s="484"/>
      <c r="D22" s="422"/>
      <c r="E22" s="422"/>
      <c r="F22" s="422"/>
      <c r="G22" s="468"/>
      <c r="H22" s="1652"/>
      <c r="I22" s="1653"/>
      <c r="J22" s="1652"/>
      <c r="K22" s="1653"/>
      <c r="L22" s="1652"/>
      <c r="M22" s="1653"/>
      <c r="N22" s="1652"/>
      <c r="O22" s="1653"/>
      <c r="P22" s="1652"/>
      <c r="Q22" s="1653"/>
      <c r="R22" s="1652"/>
      <c r="S22" s="1653"/>
    </row>
    <row r="23" spans="1:19">
      <c r="A23" s="1651"/>
      <c r="B23" s="1655" t="s">
        <v>726</v>
      </c>
      <c r="C23" s="484"/>
      <c r="D23" s="422"/>
      <c r="E23" s="422"/>
      <c r="F23" s="422"/>
      <c r="G23" s="468"/>
      <c r="H23" s="1652"/>
      <c r="I23" s="1653"/>
      <c r="J23" s="1652"/>
      <c r="K23" s="1628"/>
      <c r="L23" s="1652"/>
      <c r="M23" s="1628"/>
      <c r="N23" s="1628"/>
      <c r="O23" s="1628"/>
      <c r="P23" s="1628"/>
      <c r="Q23" s="1628"/>
      <c r="R23" s="1628"/>
      <c r="S23" s="1628"/>
    </row>
    <row r="24" spans="1:19">
      <c r="A24" s="1656"/>
      <c r="B24" s="1655" t="s">
        <v>728</v>
      </c>
      <c r="C24" s="476"/>
      <c r="D24" s="422"/>
      <c r="E24" s="422"/>
      <c r="F24" s="422"/>
      <c r="G24" s="468"/>
      <c r="H24" s="1652"/>
      <c r="I24" s="1653"/>
      <c r="J24" s="1652"/>
      <c r="K24" s="1628"/>
      <c r="L24" s="1652"/>
      <c r="M24" s="1628"/>
      <c r="N24" s="1628"/>
      <c r="O24" s="1628"/>
      <c r="P24" s="1628"/>
      <c r="Q24" s="1628"/>
      <c r="R24" s="1628"/>
      <c r="S24" s="1628"/>
    </row>
    <row r="25" spans="1:19">
      <c r="A25" s="1656"/>
      <c r="B25" s="1657" t="s">
        <v>729</v>
      </c>
      <c r="C25" s="476"/>
      <c r="D25" s="422"/>
      <c r="E25" s="422"/>
      <c r="F25" s="422"/>
      <c r="G25" s="468"/>
      <c r="H25" s="1652"/>
      <c r="I25" s="1653"/>
      <c r="J25" s="1652"/>
      <c r="K25" s="1628"/>
      <c r="L25" s="1652"/>
      <c r="M25" s="1628"/>
      <c r="N25" s="1628"/>
      <c r="O25" s="1628"/>
      <c r="P25" s="1628"/>
      <c r="Q25" s="1628"/>
      <c r="R25" s="1628"/>
      <c r="S25" s="1628"/>
    </row>
    <row r="26" spans="1:19" s="36" customFormat="1">
      <c r="A26" s="1650"/>
      <c r="B26" s="1657" t="s">
        <v>731</v>
      </c>
      <c r="C26" s="423"/>
      <c r="D26" s="418"/>
      <c r="E26" s="418"/>
      <c r="F26" s="418"/>
      <c r="G26" s="423"/>
      <c r="H26" s="1652"/>
      <c r="I26" s="1653"/>
      <c r="J26" s="1658"/>
      <c r="K26" s="1419"/>
      <c r="L26" s="1658"/>
      <c r="M26" s="1419"/>
      <c r="N26" s="1419"/>
      <c r="O26" s="1419"/>
      <c r="P26" s="1419"/>
      <c r="Q26" s="1419"/>
      <c r="R26" s="1419"/>
      <c r="S26" s="1419"/>
    </row>
    <row r="27" spans="1:19" s="36" customFormat="1">
      <c r="A27" s="1651"/>
      <c r="B27" s="1657" t="s">
        <v>732</v>
      </c>
      <c r="C27" s="423"/>
      <c r="D27" s="418"/>
      <c r="E27" s="418"/>
      <c r="F27" s="418"/>
      <c r="G27" s="423"/>
      <c r="H27" s="1652"/>
      <c r="I27" s="1510"/>
      <c r="J27" s="1658"/>
      <c r="K27" s="1419"/>
      <c r="L27" s="1658"/>
      <c r="M27" s="1419"/>
      <c r="N27" s="1419"/>
      <c r="O27" s="1419"/>
      <c r="P27" s="1419"/>
      <c r="Q27" s="1419"/>
      <c r="R27" s="1419"/>
      <c r="S27" s="1419"/>
    </row>
    <row r="28" spans="1:19" s="36" customFormat="1">
      <c r="A28" s="1651"/>
      <c r="B28" s="1657" t="s">
        <v>733</v>
      </c>
      <c r="C28" s="423"/>
      <c r="D28" s="418"/>
      <c r="E28" s="418"/>
      <c r="F28" s="418"/>
      <c r="G28" s="423"/>
      <c r="H28" s="1652"/>
      <c r="I28" s="1510"/>
      <c r="J28" s="1658"/>
      <c r="K28" s="1419"/>
      <c r="L28" s="1658"/>
      <c r="M28" s="1419"/>
      <c r="N28" s="1419"/>
      <c r="O28" s="1419"/>
      <c r="P28" s="1419"/>
      <c r="Q28" s="1419"/>
      <c r="R28" s="1419"/>
      <c r="S28" s="1419"/>
    </row>
    <row r="29" spans="1:19" s="36" customFormat="1">
      <c r="A29" s="1651"/>
      <c r="B29" s="1659" t="s">
        <v>736</v>
      </c>
      <c r="C29" s="423"/>
      <c r="D29" s="418"/>
      <c r="E29" s="418"/>
      <c r="F29" s="418"/>
      <c r="G29" s="423"/>
      <c r="H29" s="1652"/>
      <c r="I29" s="1510"/>
      <c r="J29" s="1658"/>
      <c r="K29" s="1419"/>
      <c r="L29" s="1658"/>
      <c r="M29" s="1419"/>
      <c r="N29" s="1419"/>
      <c r="O29" s="1419"/>
      <c r="P29" s="1419"/>
      <c r="Q29" s="1419"/>
      <c r="R29" s="1419"/>
      <c r="S29" s="1419"/>
    </row>
    <row r="30" spans="1:19" s="36" customFormat="1">
      <c r="A30" s="1650"/>
      <c r="B30" s="1660" t="s">
        <v>737</v>
      </c>
      <c r="C30" s="427"/>
      <c r="D30" s="426"/>
      <c r="E30" s="426"/>
      <c r="F30" s="426"/>
      <c r="G30" s="427"/>
      <c r="H30" s="1661"/>
      <c r="I30" s="1519"/>
      <c r="J30" s="1156"/>
      <c r="K30" s="1422"/>
      <c r="L30" s="1156"/>
      <c r="M30" s="1422"/>
      <c r="N30" s="1422"/>
      <c r="O30" s="1422"/>
      <c r="P30" s="1422"/>
      <c r="Q30" s="1422"/>
      <c r="R30" s="1422"/>
      <c r="S30" s="1422"/>
    </row>
    <row r="31" spans="1:19" s="36" customFormat="1">
      <c r="A31" s="1650"/>
      <c r="B31" s="1662"/>
      <c r="C31" s="423"/>
      <c r="D31" s="418"/>
      <c r="E31" s="418"/>
      <c r="F31" s="418"/>
      <c r="G31" s="423"/>
      <c r="H31" s="1652"/>
      <c r="I31" s="1510"/>
      <c r="J31" s="1658"/>
      <c r="K31" s="1419"/>
      <c r="L31" s="1658"/>
      <c r="M31" s="1419"/>
      <c r="N31" s="1419"/>
      <c r="O31" s="1419"/>
      <c r="P31" s="1419"/>
      <c r="Q31" s="1419"/>
      <c r="R31" s="1419"/>
      <c r="S31" s="1419"/>
    </row>
    <row r="32" spans="1:19" s="36" customFormat="1">
      <c r="A32" s="1651"/>
      <c r="B32" s="1662"/>
      <c r="C32" s="477"/>
      <c r="D32" s="418"/>
      <c r="E32" s="418"/>
      <c r="F32" s="418"/>
      <c r="G32" s="423"/>
      <c r="H32" s="1652"/>
      <c r="I32" s="1510"/>
      <c r="J32" s="1658"/>
      <c r="K32" s="1419"/>
      <c r="L32" s="1658"/>
      <c r="M32" s="1419"/>
      <c r="N32" s="1419"/>
      <c r="O32" s="1419"/>
      <c r="P32" s="1419"/>
      <c r="Q32" s="1419"/>
      <c r="R32" s="1419"/>
      <c r="S32" s="1419"/>
    </row>
    <row r="33" spans="1:19" s="36" customFormat="1">
      <c r="A33" s="1651"/>
      <c r="B33" s="1662"/>
      <c r="C33" s="477"/>
      <c r="D33" s="418"/>
      <c r="E33" s="418"/>
      <c r="F33" s="418"/>
      <c r="G33" s="423"/>
      <c r="H33" s="1652"/>
      <c r="I33" s="1510"/>
      <c r="J33" s="1658"/>
      <c r="K33" s="1419"/>
      <c r="L33" s="1658"/>
      <c r="M33" s="1419"/>
      <c r="N33" s="1419"/>
      <c r="O33" s="1419"/>
      <c r="P33" s="1419"/>
      <c r="Q33" s="1419"/>
      <c r="R33" s="1419"/>
      <c r="S33" s="1419"/>
    </row>
    <row r="34" spans="1:19" s="36" customFormat="1">
      <c r="A34" s="1651"/>
      <c r="B34" s="1662"/>
      <c r="C34" s="477"/>
      <c r="D34" s="418"/>
      <c r="E34" s="418"/>
      <c r="F34" s="418"/>
      <c r="G34" s="423"/>
      <c r="H34" s="1652"/>
      <c r="I34" s="1510"/>
      <c r="J34" s="1658"/>
      <c r="K34" s="1419"/>
      <c r="L34" s="1658"/>
      <c r="M34" s="1419"/>
      <c r="N34" s="1419"/>
      <c r="O34" s="1419"/>
      <c r="P34" s="1419"/>
      <c r="Q34" s="1419"/>
      <c r="R34" s="1419"/>
      <c r="S34" s="1419"/>
    </row>
    <row r="35" spans="1:19" s="36" customFormat="1">
      <c r="A35" s="1651"/>
      <c r="B35" s="1662"/>
      <c r="C35" s="477"/>
      <c r="D35" s="418"/>
      <c r="E35" s="418"/>
      <c r="F35" s="418"/>
      <c r="G35" s="423"/>
      <c r="H35" s="1652"/>
      <c r="I35" s="1510"/>
      <c r="J35" s="1658"/>
      <c r="K35" s="1419"/>
      <c r="L35" s="1658"/>
      <c r="M35" s="1419"/>
      <c r="N35" s="1419"/>
      <c r="O35" s="1419"/>
      <c r="P35" s="1419"/>
      <c r="Q35" s="1419"/>
      <c r="R35" s="1419"/>
      <c r="S35" s="1419"/>
    </row>
    <row r="36" spans="1:19" s="36" customFormat="1">
      <c r="A36" s="1651"/>
      <c r="B36" s="1662"/>
      <c r="C36" s="477"/>
      <c r="D36" s="418"/>
      <c r="E36" s="418"/>
      <c r="F36" s="418"/>
      <c r="G36" s="423"/>
      <c r="H36" s="1652"/>
      <c r="I36" s="1510"/>
      <c r="J36" s="1658"/>
      <c r="K36" s="1419"/>
      <c r="L36" s="1658"/>
      <c r="M36" s="1419"/>
      <c r="N36" s="1419"/>
      <c r="O36" s="1419"/>
      <c r="P36" s="1419"/>
      <c r="Q36" s="1419"/>
      <c r="R36" s="1419"/>
      <c r="S36" s="1419"/>
    </row>
    <row r="37" spans="1:19" s="36" customFormat="1">
      <c r="A37" s="1651"/>
      <c r="B37" s="1662"/>
      <c r="C37" s="477"/>
      <c r="D37" s="418"/>
      <c r="E37" s="478"/>
      <c r="F37" s="492"/>
      <c r="G37" s="423"/>
      <c r="H37" s="1652"/>
      <c r="I37" s="1510"/>
      <c r="J37" s="1658"/>
      <c r="K37" s="1419"/>
      <c r="L37" s="1658"/>
      <c r="M37" s="1419"/>
      <c r="N37" s="1419"/>
      <c r="O37" s="1419"/>
      <c r="P37" s="1419"/>
      <c r="Q37" s="1419"/>
      <c r="R37" s="1419"/>
      <c r="S37" s="1419"/>
    </row>
    <row r="38" spans="1:19" s="36" customFormat="1">
      <c r="A38" s="1651"/>
      <c r="B38" s="1662"/>
      <c r="C38" s="477"/>
      <c r="D38" s="418"/>
      <c r="E38" s="478"/>
      <c r="F38" s="492"/>
      <c r="G38" s="423"/>
      <c r="H38" s="1652"/>
      <c r="I38" s="1510"/>
      <c r="J38" s="1658"/>
      <c r="K38" s="1419"/>
      <c r="L38" s="1658"/>
      <c r="M38" s="1419"/>
      <c r="N38" s="1419"/>
      <c r="O38" s="1419"/>
      <c r="P38" s="1419"/>
      <c r="Q38" s="1419"/>
      <c r="R38" s="1419"/>
      <c r="S38" s="1419"/>
    </row>
    <row r="39" spans="1:19" s="36" customFormat="1">
      <c r="A39" s="1651"/>
      <c r="B39" s="1662"/>
      <c r="C39" s="477"/>
      <c r="D39" s="418"/>
      <c r="E39" s="478"/>
      <c r="F39" s="492"/>
      <c r="G39" s="423"/>
      <c r="H39" s="1652"/>
      <c r="I39" s="1510"/>
      <c r="J39" s="1658"/>
      <c r="K39" s="1419"/>
      <c r="L39" s="1658"/>
      <c r="M39" s="1419"/>
      <c r="N39" s="1419"/>
      <c r="O39" s="1419"/>
      <c r="P39" s="1419"/>
      <c r="Q39" s="1419"/>
      <c r="R39" s="1419"/>
      <c r="S39" s="1419"/>
    </row>
    <row r="40" spans="1:19" s="36" customFormat="1">
      <c r="A40" s="1651"/>
      <c r="B40" s="1663"/>
      <c r="C40" s="477"/>
      <c r="D40" s="418"/>
      <c r="E40" s="478"/>
      <c r="F40" s="492"/>
      <c r="G40" s="423"/>
      <c r="H40" s="1652"/>
      <c r="I40" s="1510"/>
      <c r="J40" s="1658"/>
      <c r="K40" s="1419"/>
      <c r="L40" s="1658"/>
      <c r="M40" s="1419"/>
      <c r="N40" s="1419"/>
      <c r="O40" s="1419"/>
      <c r="P40" s="1419"/>
      <c r="Q40" s="1419"/>
      <c r="R40" s="1419"/>
      <c r="S40" s="1419"/>
    </row>
    <row r="41" spans="1:19" s="36" customFormat="1">
      <c r="A41" s="1651"/>
      <c r="B41" s="1664"/>
      <c r="C41" s="477"/>
      <c r="D41" s="418"/>
      <c r="E41" s="478"/>
      <c r="F41" s="492"/>
      <c r="G41" s="423"/>
      <c r="H41" s="1652"/>
      <c r="I41" s="1510"/>
      <c r="J41" s="1658"/>
      <c r="K41" s="1419"/>
      <c r="L41" s="1658"/>
      <c r="M41" s="1419"/>
      <c r="N41" s="1419"/>
      <c r="O41" s="1419"/>
      <c r="P41" s="1419"/>
      <c r="Q41" s="1419"/>
      <c r="R41" s="1419"/>
      <c r="S41" s="1419"/>
    </row>
    <row r="42" spans="1:19" s="36" customFormat="1">
      <c r="A42" s="1651"/>
      <c r="B42" s="67"/>
      <c r="C42" s="477"/>
      <c r="D42" s="418"/>
      <c r="E42" s="478"/>
      <c r="F42" s="492"/>
      <c r="G42" s="423"/>
      <c r="H42" s="1652"/>
      <c r="I42" s="1510"/>
      <c r="J42" s="1658"/>
      <c r="K42" s="1419"/>
      <c r="L42" s="1658"/>
      <c r="M42" s="1419"/>
      <c r="N42" s="1419"/>
      <c r="O42" s="1419"/>
      <c r="P42" s="1419"/>
      <c r="Q42" s="1419"/>
      <c r="R42" s="1419"/>
      <c r="S42" s="1419"/>
    </row>
    <row r="43" spans="1:19" s="36" customFormat="1">
      <c r="A43" s="1651"/>
      <c r="B43" s="1662"/>
      <c r="C43" s="477"/>
      <c r="D43" s="418"/>
      <c r="E43" s="478"/>
      <c r="F43" s="492"/>
      <c r="G43" s="423"/>
      <c r="H43" s="1652"/>
      <c r="I43" s="1510"/>
      <c r="J43" s="1658"/>
      <c r="K43" s="1419"/>
      <c r="L43" s="1658"/>
      <c r="M43" s="1419"/>
      <c r="N43" s="1419"/>
      <c r="O43" s="1419"/>
      <c r="P43" s="1419"/>
      <c r="Q43" s="1419"/>
      <c r="R43" s="1419"/>
      <c r="S43" s="1419"/>
    </row>
    <row r="44" spans="1:19" s="36" customFormat="1">
      <c r="A44" s="1651"/>
      <c r="B44" s="1662"/>
      <c r="C44" s="477"/>
      <c r="D44" s="418"/>
      <c r="E44" s="478"/>
      <c r="F44" s="492"/>
      <c r="G44" s="423"/>
      <c r="H44" s="1652"/>
      <c r="I44" s="1510"/>
      <c r="J44" s="1658"/>
      <c r="K44" s="1419"/>
      <c r="L44" s="1658"/>
      <c r="M44" s="1419"/>
      <c r="N44" s="1419"/>
      <c r="O44" s="1419"/>
      <c r="P44" s="1419"/>
      <c r="Q44" s="1419"/>
      <c r="R44" s="1419"/>
      <c r="S44" s="1419"/>
    </row>
    <row r="45" spans="1:19" s="36" customFormat="1">
      <c r="A45" s="1651"/>
      <c r="B45" s="1662"/>
      <c r="C45" s="477"/>
      <c r="D45" s="418"/>
      <c r="E45" s="478"/>
      <c r="F45" s="492"/>
      <c r="G45" s="423"/>
      <c r="H45" s="1652"/>
      <c r="I45" s="1510"/>
      <c r="J45" s="1658"/>
      <c r="K45" s="1419"/>
      <c r="L45" s="1658"/>
      <c r="M45" s="1419"/>
      <c r="N45" s="1419"/>
      <c r="O45" s="1419"/>
      <c r="P45" s="1419"/>
      <c r="Q45" s="1419"/>
      <c r="R45" s="1419"/>
      <c r="S45" s="1419"/>
    </row>
    <row r="46" spans="1:19" s="36" customFormat="1">
      <c r="A46" s="1651"/>
      <c r="B46" s="1662"/>
      <c r="C46" s="477"/>
      <c r="D46" s="418"/>
      <c r="E46" s="478"/>
      <c r="F46" s="492"/>
      <c r="G46" s="423"/>
      <c r="H46" s="1652"/>
      <c r="I46" s="1510"/>
      <c r="J46" s="1658"/>
      <c r="K46" s="1419"/>
      <c r="L46" s="1658"/>
      <c r="M46" s="1419"/>
      <c r="N46" s="1419"/>
      <c r="O46" s="1419"/>
      <c r="P46" s="1419"/>
      <c r="Q46" s="1419"/>
      <c r="R46" s="1419"/>
      <c r="S46" s="1419"/>
    </row>
    <row r="47" spans="1:19" s="36" customFormat="1">
      <c r="A47" s="1651"/>
      <c r="B47" s="1662"/>
      <c r="C47" s="477"/>
      <c r="D47" s="418"/>
      <c r="E47" s="478"/>
      <c r="F47" s="492"/>
      <c r="G47" s="423"/>
      <c r="H47" s="1652"/>
      <c r="I47" s="1510"/>
      <c r="J47" s="1658"/>
      <c r="K47" s="1419"/>
      <c r="L47" s="1658"/>
      <c r="M47" s="1419"/>
      <c r="N47" s="1419"/>
      <c r="O47" s="1419"/>
      <c r="P47" s="1419"/>
      <c r="Q47" s="1419"/>
      <c r="R47" s="1419"/>
      <c r="S47" s="1419"/>
    </row>
    <row r="48" spans="1:19" s="36" customFormat="1">
      <c r="A48" s="1651"/>
      <c r="B48" s="1662"/>
      <c r="C48" s="477"/>
      <c r="D48" s="418"/>
      <c r="E48" s="478"/>
      <c r="F48" s="492"/>
      <c r="G48" s="423"/>
      <c r="H48" s="1652"/>
      <c r="I48" s="1510"/>
      <c r="J48" s="1658"/>
      <c r="K48" s="1419"/>
      <c r="L48" s="1658"/>
      <c r="M48" s="1419"/>
      <c r="N48" s="1419"/>
      <c r="O48" s="1419"/>
      <c r="P48" s="1419"/>
      <c r="Q48" s="1419"/>
      <c r="R48" s="1419"/>
      <c r="S48" s="1419"/>
    </row>
    <row r="49" spans="1:19" s="36" customFormat="1">
      <c r="A49" s="1651"/>
      <c r="B49" s="1662"/>
      <c r="C49" s="477"/>
      <c r="D49" s="418"/>
      <c r="E49" s="478"/>
      <c r="F49" s="492"/>
      <c r="G49" s="423"/>
      <c r="H49" s="1652"/>
      <c r="I49" s="1510"/>
      <c r="J49" s="1658"/>
      <c r="K49" s="1419"/>
      <c r="L49" s="1658"/>
      <c r="M49" s="1419"/>
      <c r="N49" s="1419"/>
      <c r="O49" s="1419"/>
      <c r="P49" s="1419"/>
      <c r="Q49" s="1419"/>
      <c r="R49" s="1419"/>
      <c r="S49" s="1419"/>
    </row>
    <row r="50" spans="1:19" s="36" customFormat="1">
      <c r="A50" s="1651"/>
      <c r="B50" s="1662"/>
      <c r="C50" s="477"/>
      <c r="D50" s="418"/>
      <c r="E50" s="478"/>
      <c r="F50" s="492"/>
      <c r="G50" s="423"/>
      <c r="H50" s="1652"/>
      <c r="I50" s="1510"/>
      <c r="J50" s="1658"/>
      <c r="K50" s="1419"/>
      <c r="L50" s="1658"/>
      <c r="M50" s="1419"/>
      <c r="N50" s="1419"/>
      <c r="O50" s="1419"/>
      <c r="P50" s="1419"/>
      <c r="Q50" s="1419"/>
      <c r="R50" s="1419"/>
      <c r="S50" s="1419"/>
    </row>
    <row r="51" spans="1:19" s="36" customFormat="1">
      <c r="A51" s="1651"/>
      <c r="B51" s="1662"/>
      <c r="C51" s="477"/>
      <c r="D51" s="418"/>
      <c r="E51" s="478"/>
      <c r="F51" s="492"/>
      <c r="G51" s="423"/>
      <c r="H51" s="1652"/>
      <c r="I51" s="1510"/>
      <c r="J51" s="1658"/>
      <c r="K51" s="1419"/>
      <c r="L51" s="1658"/>
      <c r="M51" s="1419"/>
      <c r="N51" s="1419"/>
      <c r="O51" s="1419"/>
      <c r="P51" s="1419"/>
      <c r="Q51" s="1419"/>
      <c r="R51" s="1419"/>
      <c r="S51" s="1419"/>
    </row>
    <row r="52" spans="1:19" s="36" customFormat="1">
      <c r="A52" s="1651"/>
      <c r="B52" s="1662"/>
      <c r="C52" s="477"/>
      <c r="D52" s="418"/>
      <c r="E52" s="478"/>
      <c r="F52" s="492"/>
      <c r="G52" s="423"/>
      <c r="H52" s="1652"/>
      <c r="I52" s="1510"/>
      <c r="J52" s="1658"/>
      <c r="K52" s="1419"/>
      <c r="L52" s="1658"/>
      <c r="M52" s="1419"/>
      <c r="N52" s="1419"/>
      <c r="O52" s="1419"/>
      <c r="P52" s="1419"/>
      <c r="Q52" s="1419"/>
      <c r="R52" s="1419"/>
      <c r="S52" s="1419"/>
    </row>
    <row r="53" spans="1:19" s="36" customFormat="1">
      <c r="A53" s="1651"/>
      <c r="B53" s="1662"/>
      <c r="C53" s="477"/>
      <c r="D53" s="418"/>
      <c r="E53" s="478"/>
      <c r="F53" s="492"/>
      <c r="G53" s="423"/>
      <c r="H53" s="1652"/>
      <c r="I53" s="1510"/>
      <c r="J53" s="1658"/>
      <c r="K53" s="1419"/>
      <c r="L53" s="1658"/>
      <c r="M53" s="1419"/>
      <c r="N53" s="1419"/>
      <c r="O53" s="1419"/>
      <c r="P53" s="1419"/>
      <c r="Q53" s="1419"/>
      <c r="R53" s="1419"/>
      <c r="S53" s="1419"/>
    </row>
    <row r="54" spans="1:19" s="36" customFormat="1">
      <c r="A54" s="1650"/>
      <c r="B54" s="1662"/>
      <c r="C54" s="423"/>
      <c r="D54" s="418"/>
      <c r="E54" s="478"/>
      <c r="F54" s="492"/>
      <c r="G54" s="423"/>
      <c r="H54" s="1652"/>
      <c r="I54" s="1510"/>
      <c r="J54" s="1658"/>
      <c r="K54" s="1419"/>
      <c r="L54" s="1658"/>
      <c r="M54" s="1419"/>
      <c r="N54" s="1419"/>
      <c r="O54" s="1419"/>
      <c r="P54" s="1419"/>
      <c r="Q54" s="1419"/>
      <c r="R54" s="1419"/>
      <c r="S54" s="1419"/>
    </row>
    <row r="55" spans="1:19">
      <c r="A55" s="1656"/>
      <c r="B55" s="1662"/>
      <c r="C55" s="423"/>
      <c r="D55" s="422"/>
      <c r="E55" s="478"/>
      <c r="F55" s="492"/>
      <c r="G55" s="468"/>
      <c r="H55" s="1652"/>
      <c r="I55" s="1653"/>
      <c r="J55" s="1182"/>
      <c r="K55" s="1182"/>
      <c r="L55" s="1182"/>
      <c r="M55" s="1628"/>
      <c r="N55" s="1628"/>
      <c r="O55" s="1628"/>
      <c r="P55" s="1628"/>
      <c r="Q55" s="1628"/>
      <c r="R55" s="1628"/>
      <c r="S55" s="1628"/>
    </row>
    <row r="56" spans="1:19">
      <c r="A56" s="1656"/>
      <c r="B56" s="60"/>
      <c r="C56" s="423"/>
      <c r="D56" s="422"/>
      <c r="E56" s="478"/>
      <c r="F56" s="492"/>
      <c r="G56" s="468"/>
      <c r="H56" s="1652"/>
      <c r="I56" s="1653"/>
      <c r="J56" s="1652"/>
      <c r="K56" s="1628"/>
      <c r="L56" s="1652"/>
      <c r="M56" s="1628"/>
      <c r="N56" s="1628"/>
      <c r="O56" s="1628"/>
      <c r="P56" s="1628"/>
      <c r="Q56" s="1628"/>
      <c r="R56" s="1628"/>
      <c r="S56" s="1628"/>
    </row>
    <row r="57" spans="1:19">
      <c r="A57" s="1656"/>
      <c r="B57" s="1663"/>
      <c r="C57" s="423"/>
      <c r="D57" s="422"/>
      <c r="E57" s="422"/>
      <c r="F57" s="422"/>
      <c r="G57" s="468"/>
      <c r="H57" s="1652"/>
      <c r="I57" s="1653"/>
      <c r="J57" s="1652"/>
      <c r="K57" s="1628"/>
      <c r="L57" s="1652"/>
      <c r="M57" s="1628"/>
      <c r="N57" s="1628"/>
      <c r="O57" s="1628"/>
      <c r="P57" s="1628"/>
      <c r="Q57" s="1628"/>
      <c r="R57" s="1628"/>
      <c r="S57" s="1628"/>
    </row>
    <row r="58" spans="1:19">
      <c r="A58" s="1656"/>
      <c r="B58" s="1663"/>
      <c r="C58" s="423"/>
      <c r="D58" s="422"/>
      <c r="E58" s="422"/>
      <c r="F58" s="422"/>
      <c r="G58" s="468"/>
      <c r="H58" s="1652"/>
      <c r="I58" s="1628"/>
      <c r="J58" s="1182"/>
      <c r="K58" s="1628"/>
      <c r="L58" s="1652"/>
      <c r="M58" s="1628"/>
      <c r="N58" s="1628"/>
      <c r="O58" s="1628"/>
      <c r="P58" s="1628"/>
      <c r="Q58" s="1628"/>
      <c r="R58" s="1628"/>
      <c r="S58" s="1628"/>
    </row>
    <row r="59" spans="1:19">
      <c r="A59" s="1656"/>
      <c r="B59" s="1665"/>
      <c r="C59" s="423"/>
      <c r="D59" s="422"/>
      <c r="E59" s="422"/>
      <c r="F59" s="422"/>
      <c r="G59" s="468"/>
      <c r="H59" s="1652"/>
      <c r="I59" s="1628"/>
      <c r="J59" s="1652"/>
      <c r="K59" s="1628"/>
      <c r="L59" s="1652"/>
      <c r="M59" s="1628"/>
      <c r="N59" s="1628"/>
      <c r="O59" s="1628"/>
      <c r="P59" s="1628"/>
      <c r="Q59" s="1628"/>
      <c r="R59" s="1628"/>
      <c r="S59" s="1628"/>
    </row>
    <row r="60" spans="1:19">
      <c r="A60" s="1656"/>
      <c r="B60" s="1666"/>
      <c r="C60" s="423"/>
      <c r="D60" s="422"/>
      <c r="E60" s="422"/>
      <c r="F60" s="422"/>
      <c r="G60" s="468"/>
      <c r="H60" s="1652"/>
      <c r="I60" s="1628"/>
      <c r="J60" s="1652"/>
      <c r="K60" s="1628"/>
      <c r="L60" s="1652"/>
      <c r="M60" s="1628"/>
      <c r="N60" s="1628"/>
      <c r="O60" s="1628"/>
      <c r="P60" s="1628"/>
      <c r="Q60" s="1628"/>
      <c r="R60" s="1628"/>
      <c r="S60" s="1628"/>
    </row>
    <row r="61" spans="1:19">
      <c r="A61" s="1656"/>
      <c r="B61" s="1666"/>
      <c r="C61" s="423"/>
      <c r="D61" s="422"/>
      <c r="E61" s="422"/>
      <c r="F61" s="422"/>
      <c r="G61" s="468"/>
      <c r="H61" s="1652"/>
      <c r="I61" s="1653"/>
      <c r="J61" s="1652"/>
      <c r="K61" s="1653"/>
      <c r="L61" s="1628"/>
      <c r="M61" s="1653"/>
      <c r="N61" s="1628"/>
      <c r="O61" s="1653"/>
      <c r="P61" s="1628"/>
      <c r="Q61" s="1628"/>
      <c r="R61" s="1628"/>
      <c r="S61" s="1628"/>
    </row>
    <row r="62" spans="1:19">
      <c r="A62" s="1656"/>
      <c r="B62" s="1666"/>
      <c r="C62" s="423"/>
      <c r="D62" s="422"/>
      <c r="E62" s="422"/>
      <c r="F62" s="422"/>
      <c r="G62" s="468"/>
      <c r="H62" s="1652"/>
      <c r="I62" s="1653"/>
      <c r="J62" s="1652"/>
      <c r="K62" s="1653"/>
      <c r="L62" s="1628"/>
      <c r="M62" s="1653"/>
      <c r="N62" s="1628"/>
      <c r="O62" s="1653"/>
      <c r="P62" s="1628"/>
      <c r="Q62" s="1628"/>
      <c r="R62" s="1628"/>
      <c r="S62" s="1628"/>
    </row>
    <row r="63" spans="1:19">
      <c r="A63" s="1656"/>
      <c r="B63" s="1666"/>
      <c r="C63" s="423"/>
      <c r="D63" s="422"/>
      <c r="E63" s="422"/>
      <c r="F63" s="422"/>
      <c r="G63" s="468"/>
      <c r="H63" s="1652"/>
      <c r="I63" s="1653"/>
      <c r="J63" s="1652"/>
      <c r="K63" s="1653"/>
      <c r="L63" s="1628"/>
      <c r="M63" s="1653"/>
      <c r="N63" s="1628"/>
      <c r="O63" s="1653"/>
      <c r="P63" s="1628"/>
      <c r="Q63" s="1628"/>
      <c r="R63" s="1628"/>
      <c r="S63" s="1628"/>
    </row>
    <row r="64" spans="1:19">
      <c r="A64" s="1656"/>
      <c r="B64" s="1666"/>
      <c r="C64" s="423"/>
      <c r="D64" s="422"/>
      <c r="E64" s="422"/>
      <c r="F64" s="422"/>
      <c r="G64" s="468"/>
      <c r="H64" s="1652"/>
      <c r="I64" s="1653"/>
      <c r="J64" s="1652"/>
      <c r="K64" s="1653"/>
      <c r="L64" s="1628"/>
      <c r="M64" s="1653"/>
      <c r="N64" s="1628"/>
      <c r="O64" s="1653"/>
      <c r="P64" s="1628"/>
      <c r="Q64" s="1628"/>
      <c r="R64" s="1628"/>
      <c r="S64" s="1628"/>
    </row>
    <row r="65" spans="1:19" ht="15.75" thickBot="1">
      <c r="A65" s="1656"/>
      <c r="B65" s="1666"/>
      <c r="C65" s="423"/>
      <c r="D65" s="422"/>
      <c r="E65" s="422"/>
      <c r="F65" s="422"/>
      <c r="G65" s="468"/>
      <c r="H65" s="1652"/>
      <c r="I65" s="1653"/>
      <c r="J65" s="1652"/>
      <c r="K65" s="1653"/>
      <c r="L65" s="1628"/>
      <c r="M65" s="1653"/>
      <c r="N65" s="1628"/>
      <c r="O65" s="1653"/>
      <c r="P65" s="1628"/>
      <c r="Q65" s="1628"/>
      <c r="R65" s="1628"/>
      <c r="S65" s="1628"/>
    </row>
    <row r="66" spans="1:19" ht="15.75" thickTop="1">
      <c r="A66" s="13"/>
      <c r="B66" s="14"/>
      <c r="C66" s="15"/>
      <c r="D66" s="15"/>
      <c r="E66" s="16"/>
      <c r="F66" s="17" t="s">
        <v>753</v>
      </c>
      <c r="G66" s="18"/>
      <c r="H66" s="19"/>
      <c r="I66" s="32">
        <f>SUM(I23:I65)</f>
        <v>0</v>
      </c>
      <c r="J66" s="19"/>
      <c r="K66" s="32">
        <f>SUM(K23:K65)</f>
        <v>0</v>
      </c>
      <c r="L66" s="19"/>
      <c r="M66" s="32">
        <f>SUM(M23:M65)</f>
        <v>0</v>
      </c>
      <c r="N66" s="19"/>
      <c r="O66" s="32">
        <f>SUM(O23:O65)</f>
        <v>0</v>
      </c>
      <c r="P66" s="19"/>
      <c r="Q66" s="32">
        <f>SUM(Q23:Q65)</f>
        <v>0</v>
      </c>
      <c r="R66" s="19"/>
      <c r="S66" s="32">
        <f>SUM(S23:S65)</f>
        <v>0</v>
      </c>
    </row>
    <row r="67" spans="1:19">
      <c r="A67" s="932"/>
      <c r="B67" s="488"/>
      <c r="C67" s="433"/>
      <c r="D67" s="433"/>
      <c r="E67" s="434"/>
      <c r="F67" s="489" t="s">
        <v>754</v>
      </c>
      <c r="G67" s="471"/>
      <c r="H67" s="1165">
        <v>0</v>
      </c>
      <c r="I67" s="1667"/>
      <c r="J67" s="1165">
        <v>0</v>
      </c>
      <c r="K67" s="1667"/>
      <c r="L67" s="1165">
        <v>0</v>
      </c>
      <c r="M67" s="1667"/>
      <c r="N67" s="1165">
        <v>0</v>
      </c>
      <c r="O67" s="1667"/>
      <c r="P67" s="1165">
        <v>0</v>
      </c>
      <c r="Q67" s="1667"/>
      <c r="R67" s="1165">
        <v>0</v>
      </c>
      <c r="S67" s="1667"/>
    </row>
    <row r="68" spans="1:19">
      <c r="A68" s="932"/>
      <c r="B68" s="488"/>
      <c r="C68" s="433"/>
      <c r="D68" s="433"/>
      <c r="E68" s="434"/>
      <c r="F68" s="489" t="s">
        <v>755</v>
      </c>
      <c r="G68" s="471"/>
      <c r="H68" s="1166"/>
      <c r="I68" s="1668">
        <f>H67*I66</f>
        <v>0</v>
      </c>
      <c r="J68" s="1166"/>
      <c r="K68" s="1668">
        <f>J67*K66</f>
        <v>0</v>
      </c>
      <c r="L68" s="1166"/>
      <c r="M68" s="1668">
        <f>L67*M66</f>
        <v>0</v>
      </c>
      <c r="N68" s="1166"/>
      <c r="O68" s="1668">
        <f>N67*O66</f>
        <v>0</v>
      </c>
      <c r="P68" s="1166"/>
      <c r="Q68" s="1668">
        <f>P67*Q66</f>
        <v>0</v>
      </c>
      <c r="R68" s="1166"/>
      <c r="S68" s="1668">
        <f>R67*S66</f>
        <v>0</v>
      </c>
    </row>
    <row r="69" spans="1:19">
      <c r="A69" s="932"/>
      <c r="B69" s="488"/>
      <c r="C69" s="433"/>
      <c r="D69" s="433"/>
      <c r="E69" s="434"/>
      <c r="F69" s="489"/>
      <c r="G69" s="471"/>
      <c r="H69" s="1166"/>
      <c r="I69" s="1669"/>
      <c r="J69" s="1166"/>
      <c r="K69" s="1669"/>
      <c r="L69" s="1166"/>
      <c r="M69" s="1669"/>
      <c r="N69" s="1166"/>
      <c r="O69" s="1669"/>
      <c r="P69" s="1166"/>
      <c r="Q69" s="1669"/>
      <c r="R69" s="1166"/>
      <c r="S69" s="1669"/>
    </row>
    <row r="70" spans="1:19">
      <c r="A70" s="932"/>
      <c r="B70" s="488"/>
      <c r="C70" s="433"/>
      <c r="D70" s="433"/>
      <c r="E70" s="434"/>
      <c r="F70" s="489" t="s">
        <v>756</v>
      </c>
      <c r="G70" s="471"/>
      <c r="H70" s="1670"/>
      <c r="I70" s="1671">
        <f>SUM(I66:I68)</f>
        <v>0</v>
      </c>
      <c r="J70" s="1670"/>
      <c r="K70" s="1671">
        <f>SUM(K66:K68)</f>
        <v>0</v>
      </c>
      <c r="L70" s="1670"/>
      <c r="M70" s="1671">
        <f>SUM(M66:M68)</f>
        <v>0</v>
      </c>
      <c r="N70" s="1670"/>
      <c r="O70" s="1671">
        <f>SUM(O66:O68)</f>
        <v>0</v>
      </c>
      <c r="P70" s="1670"/>
      <c r="Q70" s="1671">
        <f>SUM(Q66:Q68)</f>
        <v>0</v>
      </c>
      <c r="R70" s="1670"/>
      <c r="S70" s="1671">
        <f>SUM(S66:S68)</f>
        <v>0</v>
      </c>
    </row>
    <row r="71" spans="1:19">
      <c r="A71" s="932"/>
      <c r="B71" s="488"/>
      <c r="C71" s="433"/>
      <c r="D71" s="433"/>
      <c r="E71" s="434"/>
      <c r="F71" s="490" t="s">
        <v>757</v>
      </c>
      <c r="G71" s="472"/>
      <c r="H71" s="1672"/>
      <c r="I71" s="1673">
        <f>I70/'Area Calculations'!$G$4</f>
        <v>0</v>
      </c>
      <c r="J71" s="1672"/>
      <c r="K71" s="1673">
        <f>K70/'Area Calculations'!$G$4</f>
        <v>0</v>
      </c>
      <c r="L71" s="1672"/>
      <c r="M71" s="1673">
        <f>M70/'Area Calculations'!$G$4</f>
        <v>0</v>
      </c>
      <c r="N71" s="1672"/>
      <c r="O71" s="1673">
        <f>O70/'Area Calculations'!$G$4</f>
        <v>0</v>
      </c>
      <c r="P71" s="1672"/>
      <c r="Q71" s="1673">
        <f>Q70/'Area Calculations'!$G$4</f>
        <v>0</v>
      </c>
      <c r="R71" s="1672"/>
      <c r="S71" s="1673">
        <f>S70/'Area Calculations'!$G$4</f>
        <v>0</v>
      </c>
    </row>
    <row r="72" spans="1:19">
      <c r="A72" s="932"/>
      <c r="B72" s="488"/>
      <c r="C72" s="433"/>
      <c r="D72" s="433"/>
      <c r="E72" s="434"/>
      <c r="F72" s="490" t="s">
        <v>758</v>
      </c>
      <c r="G72" s="473"/>
      <c r="H72" s="1672"/>
      <c r="I72" s="1673">
        <f>I70/'Area Calculations'!$G$9</f>
        <v>0</v>
      </c>
      <c r="J72" s="1672"/>
      <c r="K72" s="1673">
        <f>K70/'Area Calculations'!$G$9</f>
        <v>0</v>
      </c>
      <c r="L72" s="1672"/>
      <c r="M72" s="1673">
        <f>M70/'Area Calculations'!$G$9</f>
        <v>0</v>
      </c>
      <c r="N72" s="1672"/>
      <c r="O72" s="1673">
        <f>O70/'Area Calculations'!$G$9</f>
        <v>0</v>
      </c>
      <c r="P72" s="1672"/>
      <c r="Q72" s="1673">
        <f>Q70/'Area Calculations'!$G$9</f>
        <v>0</v>
      </c>
      <c r="R72" s="1672"/>
      <c r="S72" s="1673">
        <f>S70/'Area Calculations'!$G$9</f>
        <v>0</v>
      </c>
    </row>
    <row r="73" spans="1:19" ht="15.75" thickBot="1">
      <c r="A73" s="932"/>
      <c r="B73" s="488"/>
      <c r="C73" s="433"/>
      <c r="D73" s="433"/>
      <c r="E73" s="434"/>
      <c r="F73" s="489"/>
      <c r="G73" s="474"/>
      <c r="H73" s="1674"/>
      <c r="I73" s="1675"/>
      <c r="J73" s="1674"/>
      <c r="K73" s="1675"/>
      <c r="L73" s="1674"/>
      <c r="M73" s="1675"/>
      <c r="N73" s="1674"/>
      <c r="O73" s="1675"/>
      <c r="P73" s="1676"/>
      <c r="Q73" s="1676"/>
      <c r="R73" s="1676"/>
      <c r="S73" s="1676"/>
    </row>
    <row r="74" spans="1:19" ht="16.5" thickTop="1" thickBot="1">
      <c r="A74" s="2331" t="s">
        <v>759</v>
      </c>
      <c r="B74" s="2365"/>
      <c r="C74" s="12"/>
      <c r="D74" s="12"/>
      <c r="E74" s="12"/>
      <c r="F74" s="12"/>
      <c r="G74" s="26"/>
      <c r="H74" s="24"/>
      <c r="I74" s="20"/>
      <c r="J74" s="20"/>
      <c r="K74" s="20"/>
      <c r="L74" s="20"/>
      <c r="M74" s="20"/>
      <c r="N74" s="20"/>
      <c r="O74" s="20"/>
      <c r="P74" s="20"/>
      <c r="Q74" s="20"/>
      <c r="R74" s="20"/>
      <c r="S74" s="20"/>
    </row>
    <row r="75" spans="1:19" ht="15.75" thickTop="1">
      <c r="A75" s="1677"/>
      <c r="B75" s="481"/>
      <c r="C75" s="1678"/>
      <c r="D75" s="1678"/>
      <c r="E75" s="1678"/>
      <c r="F75" s="1678"/>
      <c r="G75" s="1679"/>
      <c r="H75" s="1680"/>
      <c r="I75" s="1681"/>
      <c r="J75" s="1681"/>
      <c r="K75" s="1681"/>
      <c r="L75" s="1681"/>
      <c r="M75" s="1681"/>
      <c r="N75" s="1681"/>
      <c r="O75" s="1681"/>
      <c r="P75" s="1681"/>
      <c r="Q75" s="1681"/>
      <c r="R75" s="1681"/>
      <c r="S75" s="1681"/>
    </row>
    <row r="76" spans="1:19" s="2" customFormat="1">
      <c r="A76" s="1677"/>
      <c r="B76" s="481"/>
      <c r="C76" s="1678"/>
      <c r="D76" s="1678"/>
      <c r="E76" s="1678"/>
      <c r="F76" s="1678"/>
      <c r="G76" s="1679"/>
      <c r="H76" s="1680"/>
      <c r="I76" s="1681"/>
      <c r="J76" s="1681"/>
      <c r="K76" s="1681"/>
      <c r="L76" s="1681"/>
      <c r="M76" s="1681"/>
      <c r="N76" s="1681"/>
      <c r="O76" s="1681"/>
      <c r="P76" s="1681"/>
      <c r="Q76" s="1681"/>
      <c r="R76" s="1681"/>
      <c r="S76" s="1681"/>
    </row>
    <row r="77" spans="1:19" s="2" customFormat="1" ht="15.75" thickBot="1">
      <c r="A77" s="1677"/>
      <c r="B77" s="481"/>
      <c r="C77" s="1678"/>
      <c r="D77" s="1678"/>
      <c r="E77" s="1678"/>
      <c r="F77" s="1678"/>
      <c r="G77" s="1679"/>
      <c r="H77" s="1680"/>
      <c r="I77" s="1681"/>
      <c r="J77" s="1681"/>
      <c r="K77" s="1681"/>
      <c r="L77" s="1681"/>
      <c r="M77" s="1681"/>
      <c r="N77" s="1681"/>
      <c r="O77" s="1681"/>
      <c r="P77" s="1681"/>
      <c r="Q77" s="1681"/>
      <c r="R77" s="1681"/>
      <c r="S77" s="1681"/>
    </row>
    <row r="78" spans="1:19" ht="16.5" thickTop="1" thickBot="1">
      <c r="A78" s="2331" t="s">
        <v>760</v>
      </c>
      <c r="B78" s="2365"/>
      <c r="C78" s="12"/>
      <c r="D78" s="12"/>
      <c r="E78" s="12"/>
      <c r="F78" s="12"/>
      <c r="G78" s="26"/>
      <c r="H78" s="24"/>
      <c r="I78" s="20"/>
      <c r="J78" s="20"/>
      <c r="K78" s="20"/>
      <c r="L78" s="20"/>
      <c r="M78" s="20"/>
      <c r="N78" s="20"/>
      <c r="O78" s="20"/>
      <c r="P78" s="20"/>
      <c r="Q78" s="20"/>
      <c r="R78" s="20"/>
      <c r="S78" s="20"/>
    </row>
    <row r="79" spans="1:19" s="2" customFormat="1" ht="15.75" thickTop="1">
      <c r="A79" s="1677"/>
      <c r="B79" s="481"/>
      <c r="C79" s="1678"/>
      <c r="D79" s="1678"/>
      <c r="E79" s="1678"/>
      <c r="F79" s="1678"/>
      <c r="G79" s="1679"/>
      <c r="H79" s="1680"/>
      <c r="I79" s="1681"/>
      <c r="J79" s="1681"/>
      <c r="K79" s="1681"/>
      <c r="L79" s="1681"/>
      <c r="M79" s="1681"/>
      <c r="N79" s="1681"/>
      <c r="O79" s="1681"/>
      <c r="P79" s="1681"/>
      <c r="Q79" s="1681"/>
      <c r="R79" s="1681"/>
      <c r="S79" s="1681"/>
    </row>
    <row r="80" spans="1:19" s="2" customFormat="1">
      <c r="A80" s="1677"/>
      <c r="B80" s="481"/>
      <c r="C80" s="1678"/>
      <c r="D80" s="1678"/>
      <c r="E80" s="1678"/>
      <c r="F80" s="1678"/>
      <c r="G80" s="1679"/>
      <c r="H80" s="1680"/>
      <c r="I80" s="1681"/>
      <c r="J80" s="1681"/>
      <c r="K80" s="1681"/>
      <c r="L80" s="1681"/>
      <c r="M80" s="1681"/>
      <c r="N80" s="1681"/>
      <c r="O80" s="1681"/>
      <c r="P80" s="1681"/>
      <c r="Q80" s="1681"/>
      <c r="R80" s="1681"/>
      <c r="S80" s="1681"/>
    </row>
    <row r="81" spans="1:19" ht="15.75" thickBot="1">
      <c r="A81" s="1677"/>
      <c r="B81" s="481"/>
      <c r="C81" s="1678"/>
      <c r="D81" s="1678"/>
      <c r="E81" s="1678"/>
      <c r="F81" s="1678"/>
      <c r="G81" s="1679"/>
      <c r="H81" s="1680"/>
      <c r="I81" s="1681"/>
      <c r="J81" s="1681"/>
      <c r="K81" s="1681"/>
      <c r="L81" s="1681"/>
      <c r="M81" s="1681"/>
      <c r="N81" s="1681"/>
      <c r="O81" s="1681"/>
      <c r="P81" s="1681"/>
      <c r="Q81" s="1681"/>
      <c r="R81" s="1681"/>
      <c r="S81" s="1681"/>
    </row>
    <row r="82" spans="1:19" ht="16.5" thickTop="1" thickBot="1">
      <c r="A82" s="2331" t="s">
        <v>761</v>
      </c>
      <c r="B82" s="2365"/>
      <c r="C82" s="12"/>
      <c r="D82" s="12"/>
      <c r="E82" s="12"/>
      <c r="F82" s="12"/>
      <c r="G82" s="26"/>
      <c r="H82" s="24"/>
      <c r="I82" s="20"/>
      <c r="J82" s="20"/>
      <c r="K82" s="20"/>
      <c r="L82" s="20"/>
      <c r="M82" s="20"/>
      <c r="N82" s="20"/>
      <c r="O82" s="20"/>
      <c r="P82" s="20"/>
      <c r="Q82" s="20"/>
      <c r="R82" s="20"/>
      <c r="S82" s="20"/>
    </row>
    <row r="83" spans="1:19" ht="15.75" thickTop="1">
      <c r="A83" s="1677"/>
      <c r="B83" s="481"/>
      <c r="C83" s="1678"/>
      <c r="D83" s="1678"/>
      <c r="E83" s="1678"/>
      <c r="F83" s="1678"/>
      <c r="G83" s="1679"/>
      <c r="H83" s="1680"/>
      <c r="I83" s="1681"/>
      <c r="J83" s="1681"/>
      <c r="K83" s="1681"/>
      <c r="L83" s="1681"/>
      <c r="M83" s="1681"/>
      <c r="N83" s="1681"/>
      <c r="O83" s="1681"/>
      <c r="P83" s="1681"/>
      <c r="Q83" s="1681"/>
      <c r="R83" s="1681"/>
      <c r="S83" s="1681"/>
    </row>
    <row r="84" spans="1:19">
      <c r="A84" s="931"/>
      <c r="B84" s="481"/>
      <c r="C84" s="422"/>
      <c r="D84" s="422"/>
      <c r="E84" s="422"/>
      <c r="F84" s="422"/>
      <c r="G84" s="831"/>
      <c r="H84" s="440"/>
      <c r="I84" s="1173"/>
      <c r="J84" s="1173"/>
      <c r="K84" s="1173"/>
      <c r="L84" s="1173"/>
      <c r="M84" s="1173"/>
      <c r="N84" s="1173"/>
      <c r="O84" s="1173"/>
      <c r="P84" s="1173"/>
      <c r="Q84" s="1173"/>
      <c r="R84" s="1173"/>
      <c r="S84" s="1173"/>
    </row>
    <row r="85" spans="1:19" ht="15.75" thickBot="1">
      <c r="A85" s="933"/>
      <c r="B85" s="491"/>
      <c r="C85" s="422"/>
      <c r="D85" s="422"/>
      <c r="E85" s="422"/>
      <c r="F85" s="422"/>
      <c r="G85" s="831"/>
      <c r="H85" s="441"/>
      <c r="I85" s="1175"/>
      <c r="J85" s="1175"/>
      <c r="K85" s="1175"/>
      <c r="L85" s="1175"/>
      <c r="M85" s="1175"/>
      <c r="N85" s="1175"/>
      <c r="O85" s="1175"/>
      <c r="P85" s="1175"/>
      <c r="Q85" s="1175"/>
      <c r="R85" s="1175"/>
      <c r="S85" s="1175"/>
    </row>
    <row r="86" spans="1:19" ht="16.5" thickTop="1" thickBot="1">
      <c r="A86" s="2331" t="s">
        <v>762</v>
      </c>
      <c r="B86" s="2365"/>
      <c r="C86" s="12"/>
      <c r="D86" s="12"/>
      <c r="E86" s="12"/>
      <c r="F86" s="12"/>
      <c r="G86" s="26"/>
      <c r="H86" s="24"/>
      <c r="I86" s="20"/>
      <c r="J86" s="20"/>
      <c r="K86" s="20"/>
      <c r="L86" s="20"/>
      <c r="M86" s="20"/>
      <c r="N86" s="20"/>
      <c r="O86" s="20"/>
      <c r="P86" s="20"/>
      <c r="Q86" s="20"/>
      <c r="R86" s="20"/>
      <c r="S86" s="20"/>
    </row>
    <row r="87" spans="1:19" ht="15.75" thickTop="1">
      <c r="A87" s="1682"/>
      <c r="B87" s="1683"/>
      <c r="C87" s="1678"/>
      <c r="D87" s="1678"/>
      <c r="E87" s="1678"/>
      <c r="F87" s="1678"/>
      <c r="G87" s="1679"/>
      <c r="H87" s="1680"/>
      <c r="I87" s="1681"/>
      <c r="J87" s="1681"/>
      <c r="K87" s="1681"/>
      <c r="L87" s="1681"/>
      <c r="M87" s="1681"/>
      <c r="N87" s="1681"/>
      <c r="O87" s="1681"/>
      <c r="P87" s="1681"/>
      <c r="Q87" s="1681"/>
      <c r="R87" s="1681"/>
      <c r="S87" s="1681"/>
    </row>
    <row r="88" spans="1:19">
      <c r="A88" s="933"/>
      <c r="B88" s="491"/>
      <c r="C88" s="422"/>
      <c r="D88" s="422"/>
      <c r="E88" s="422"/>
      <c r="F88" s="422"/>
      <c r="G88" s="831"/>
      <c r="H88" s="442"/>
      <c r="I88" s="1178"/>
      <c r="J88" s="1178"/>
      <c r="K88" s="1178"/>
      <c r="L88" s="1178"/>
      <c r="M88" s="1178"/>
      <c r="N88" s="1178"/>
      <c r="O88" s="1178"/>
      <c r="P88" s="1178"/>
      <c r="Q88" s="1178"/>
      <c r="R88" s="1178"/>
      <c r="S88" s="1178"/>
    </row>
    <row r="89" spans="1:19" ht="15.75" thickBot="1">
      <c r="A89" s="933"/>
      <c r="B89" s="491"/>
      <c r="C89" s="422"/>
      <c r="D89" s="422"/>
      <c r="E89" s="422"/>
      <c r="F89" s="422"/>
      <c r="G89" s="831"/>
      <c r="H89" s="442"/>
      <c r="I89" s="1178"/>
      <c r="J89" s="1178"/>
      <c r="K89" s="1178"/>
      <c r="L89" s="1178"/>
      <c r="M89" s="1178"/>
      <c r="N89" s="1178"/>
      <c r="O89" s="1178"/>
      <c r="P89" s="1178"/>
      <c r="Q89" s="1178"/>
      <c r="R89" s="1178"/>
      <c r="S89" s="1178"/>
    </row>
    <row r="90" spans="1:19" ht="16.5" thickTop="1" thickBot="1">
      <c r="A90" s="2331" t="s">
        <v>763</v>
      </c>
      <c r="B90" s="2365"/>
      <c r="C90" s="12"/>
      <c r="D90" s="12"/>
      <c r="E90" s="12"/>
      <c r="F90" s="12"/>
      <c r="G90" s="26"/>
      <c r="H90" s="24"/>
      <c r="I90" s="20"/>
      <c r="J90" s="20"/>
      <c r="K90" s="20"/>
      <c r="L90" s="20"/>
      <c r="M90" s="20"/>
      <c r="N90" s="20"/>
      <c r="O90" s="20"/>
      <c r="P90" s="20"/>
      <c r="Q90" s="20"/>
      <c r="R90" s="20"/>
      <c r="S90" s="20"/>
    </row>
    <row r="91" spans="1:19" ht="15.75" thickTop="1">
      <c r="A91" s="931"/>
      <c r="B91" s="481" t="s">
        <v>764</v>
      </c>
      <c r="C91" s="422"/>
      <c r="D91" s="422"/>
      <c r="E91" s="422"/>
      <c r="F91" s="422"/>
      <c r="G91" s="831"/>
      <c r="H91" s="442"/>
      <c r="I91" s="1178"/>
      <c r="J91" s="1178"/>
      <c r="K91" s="1178"/>
      <c r="L91" s="1178"/>
      <c r="M91" s="1178"/>
      <c r="N91" s="1178"/>
      <c r="O91" s="1178"/>
      <c r="P91" s="1178"/>
      <c r="Q91" s="1178"/>
      <c r="R91" s="1178"/>
      <c r="S91" s="1178"/>
    </row>
    <row r="92" spans="1:19">
      <c r="A92" s="931"/>
      <c r="B92" s="481" t="s">
        <v>765</v>
      </c>
      <c r="C92" s="422"/>
      <c r="D92" s="422"/>
      <c r="E92" s="422"/>
      <c r="F92" s="422"/>
      <c r="G92" s="831"/>
      <c r="H92" s="442"/>
      <c r="I92" s="1178"/>
      <c r="J92" s="1178"/>
      <c r="K92" s="1178"/>
      <c r="L92" s="1178"/>
      <c r="M92" s="1178"/>
      <c r="N92" s="1178"/>
      <c r="O92" s="1178"/>
      <c r="P92" s="1178"/>
      <c r="Q92" s="1178"/>
      <c r="R92" s="1178"/>
      <c r="S92" s="1178"/>
    </row>
    <row r="93" spans="1:19">
      <c r="A93" s="931"/>
      <c r="B93" s="481" t="s">
        <v>766</v>
      </c>
      <c r="C93" s="422"/>
      <c r="D93" s="422"/>
      <c r="E93" s="422"/>
      <c r="F93" s="422"/>
      <c r="G93" s="831"/>
      <c r="H93" s="442"/>
      <c r="I93" s="1178"/>
      <c r="J93" s="1178"/>
      <c r="K93" s="1178"/>
      <c r="L93" s="1178"/>
      <c r="M93" s="1178"/>
      <c r="N93" s="1178"/>
      <c r="O93" s="1178"/>
      <c r="P93" s="1178"/>
      <c r="Q93" s="1178"/>
      <c r="R93" s="1178"/>
      <c r="S93" s="1178"/>
    </row>
    <row r="94" spans="1:19">
      <c r="A94" s="931"/>
      <c r="B94" s="481" t="s">
        <v>767</v>
      </c>
      <c r="C94" s="422"/>
      <c r="D94" s="422"/>
      <c r="E94" s="422"/>
      <c r="F94" s="422"/>
      <c r="G94" s="831"/>
      <c r="H94" s="442"/>
      <c r="I94" s="1178"/>
      <c r="J94" s="1178"/>
      <c r="K94" s="1178"/>
      <c r="L94" s="1178"/>
      <c r="M94" s="1178"/>
      <c r="N94" s="1178"/>
      <c r="O94" s="1178"/>
      <c r="P94" s="1178"/>
      <c r="Q94" s="1178"/>
      <c r="R94" s="1178"/>
      <c r="S94" s="1178"/>
    </row>
    <row r="95" spans="1:19" ht="15.75" thickBot="1">
      <c r="A95" s="475"/>
      <c r="B95" s="340"/>
      <c r="C95" s="86"/>
      <c r="D95" s="86"/>
      <c r="E95" s="86"/>
      <c r="F95" s="86"/>
      <c r="G95" s="27"/>
      <c r="H95" s="25"/>
      <c r="I95" s="444"/>
      <c r="J95" s="444"/>
      <c r="K95" s="444"/>
      <c r="L95" s="444"/>
      <c r="M95" s="444"/>
      <c r="N95" s="444"/>
      <c r="O95" s="444"/>
      <c r="P95" s="444"/>
      <c r="Q95" s="444"/>
      <c r="R95" s="444"/>
      <c r="S95" s="444"/>
    </row>
    <row r="96" spans="1:19" ht="16.5" thickTop="1" thickBot="1">
      <c r="A96" s="7" t="s">
        <v>768</v>
      </c>
      <c r="B96" s="8"/>
      <c r="C96" s="12"/>
      <c r="D96" s="12"/>
      <c r="E96" s="12"/>
      <c r="F96" s="12"/>
      <c r="G96" s="26"/>
      <c r="H96" s="24"/>
      <c r="I96" s="20"/>
      <c r="J96" s="20"/>
      <c r="K96" s="20"/>
      <c r="L96" s="20"/>
      <c r="M96" s="20"/>
      <c r="N96" s="20"/>
      <c r="O96" s="20"/>
      <c r="P96" s="20"/>
      <c r="Q96" s="20"/>
      <c r="R96" s="20"/>
      <c r="S96" s="20"/>
    </row>
    <row r="97" spans="1:19" ht="15.75" thickTop="1">
      <c r="A97" s="1677"/>
      <c r="B97" s="1684" t="s">
        <v>769</v>
      </c>
      <c r="C97" s="1678"/>
      <c r="D97" s="1678"/>
      <c r="E97" s="1678"/>
      <c r="F97" s="1678"/>
      <c r="G97" s="1679"/>
      <c r="H97" s="1628"/>
      <c r="I97" s="1601"/>
      <c r="J97" s="1601"/>
      <c r="K97" s="1601"/>
      <c r="L97" s="1601"/>
      <c r="M97" s="1601"/>
      <c r="N97" s="1601"/>
      <c r="O97" s="1601"/>
      <c r="P97" s="1601"/>
      <c r="Q97" s="1601"/>
      <c r="R97" s="1601"/>
      <c r="S97" s="1601"/>
    </row>
    <row r="98" spans="1:19">
      <c r="A98" s="931"/>
      <c r="B98" s="481" t="s">
        <v>770</v>
      </c>
      <c r="C98" s="422"/>
      <c r="D98" s="422"/>
      <c r="E98" s="422"/>
      <c r="F98" s="422"/>
      <c r="G98" s="831"/>
      <c r="H98" s="445"/>
      <c r="I98" s="1182"/>
      <c r="J98" s="1182"/>
      <c r="K98" s="1182"/>
      <c r="L98" s="1182"/>
      <c r="M98" s="1182"/>
      <c r="N98" s="1182"/>
      <c r="O98" s="1182"/>
      <c r="P98" s="1182"/>
      <c r="Q98" s="1182"/>
      <c r="R98" s="1182"/>
      <c r="S98" s="1182"/>
    </row>
    <row r="99" spans="1:19" ht="15.75" thickBot="1">
      <c r="A99" s="1685"/>
      <c r="B99" s="1686" t="s">
        <v>771</v>
      </c>
      <c r="C99" s="1186"/>
      <c r="D99" s="1186"/>
      <c r="E99" s="1186"/>
      <c r="F99" s="1186"/>
      <c r="G99" s="1187"/>
      <c r="H99" s="1188"/>
      <c r="I99" s="1189"/>
      <c r="J99" s="1189"/>
      <c r="K99" s="1189"/>
      <c r="L99" s="1189"/>
      <c r="M99" s="1189"/>
      <c r="N99" s="1189"/>
      <c r="O99" s="1189"/>
      <c r="P99" s="1189"/>
      <c r="Q99" s="1189"/>
      <c r="R99" s="1189"/>
      <c r="S99" s="1189"/>
    </row>
    <row r="100" spans="1:19" ht="16.5" thickTop="1" thickBot="1"/>
    <row r="101" spans="1:19" ht="16.5" thickTop="1" thickBot="1">
      <c r="A101" s="37" t="s">
        <v>772</v>
      </c>
      <c r="B101" s="39"/>
    </row>
    <row r="102" spans="1:19" ht="15.75" thickTop="1">
      <c r="A102" s="38" t="s">
        <v>693</v>
      </c>
      <c r="B102" s="1190"/>
    </row>
    <row r="103" spans="1:19">
      <c r="A103" s="1142" t="s">
        <v>702</v>
      </c>
      <c r="B103" s="1190"/>
    </row>
    <row r="104" spans="1:19">
      <c r="A104" s="1191" t="s">
        <v>708</v>
      </c>
      <c r="B104" s="1192"/>
    </row>
    <row r="105" spans="1:19">
      <c r="A105" s="1191" t="s">
        <v>713</v>
      </c>
      <c r="B105" s="1193"/>
    </row>
    <row r="106" spans="1:19" ht="15.75" thickBot="1">
      <c r="A106" s="1194" t="s">
        <v>69</v>
      </c>
      <c r="B106" s="1195"/>
    </row>
    <row r="107" spans="1:19" ht="15.75" thickTop="1"/>
    <row r="108" spans="1:19">
      <c r="A108" s="40"/>
      <c r="B108" s="1" t="s">
        <v>1454</v>
      </c>
    </row>
    <row r="109" spans="1:19">
      <c r="A109" s="41"/>
      <c r="B109" s="1" t="s">
        <v>1455</v>
      </c>
    </row>
  </sheetData>
  <mergeCells count="47">
    <mergeCell ref="A74:B74"/>
    <mergeCell ref="A78:B78"/>
    <mergeCell ref="A82:B82"/>
    <mergeCell ref="A86:B86"/>
    <mergeCell ref="A90:B9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6875F7F9-888D-46E3-BF19-CB2E6CDB4CFF}"/>
  </hyperlink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47A4-AEBF-44A9-AF6A-87151C928709}">
  <dimension ref="A1:S109"/>
  <sheetViews>
    <sheetView workbookViewId="0">
      <pane xSplit="2" ySplit="9" topLeftCell="G61" activePane="bottomRight" state="frozen"/>
      <selection pane="topRight" activeCell="C1" sqref="C1"/>
      <selection pane="bottomLeft" activeCell="A11" sqref="A11"/>
      <selection pane="bottomRight" activeCell="I71" sqref="I71:I72"/>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85"/>
      <c r="F1" s="64"/>
      <c r="G1" s="62" t="s">
        <v>679</v>
      </c>
    </row>
    <row r="2" spans="1:19" ht="15.75" thickBot="1">
      <c r="E2" s="85"/>
      <c r="F2" s="61"/>
      <c r="G2" s="62" t="s">
        <v>681</v>
      </c>
      <c r="H2" s="2364"/>
      <c r="I2" s="2364"/>
      <c r="J2" s="2364"/>
      <c r="K2" s="2364"/>
      <c r="L2" s="2364"/>
      <c r="M2" s="2364"/>
      <c r="N2" s="2364"/>
      <c r="O2" s="2364"/>
      <c r="P2" s="2364"/>
      <c r="Q2" s="2364"/>
      <c r="R2" s="2364"/>
      <c r="S2" s="2364"/>
    </row>
    <row r="3" spans="1:19" ht="21" thickBot="1">
      <c r="B3" s="74" t="s">
        <v>684</v>
      </c>
      <c r="E3" s="85"/>
      <c r="F3" s="63"/>
      <c r="G3" s="62" t="s">
        <v>683</v>
      </c>
      <c r="H3" s="2319" t="s">
        <v>686</v>
      </c>
      <c r="I3" s="2320"/>
      <c r="J3" s="2319" t="s">
        <v>687</v>
      </c>
      <c r="K3" s="2320"/>
      <c r="L3" s="2319" t="s">
        <v>688</v>
      </c>
      <c r="M3" s="2320"/>
      <c r="N3" s="2319" t="s">
        <v>689</v>
      </c>
      <c r="O3" s="2320"/>
      <c r="P3" s="2319" t="s">
        <v>773</v>
      </c>
      <c r="Q3" s="2320"/>
      <c r="R3" s="2319" t="s">
        <v>774</v>
      </c>
      <c r="S3" s="2320"/>
    </row>
    <row r="4" spans="1:19" ht="15.75" thickTop="1">
      <c r="A4" s="3" t="s">
        <v>692</v>
      </c>
      <c r="B4" s="4" t="str">
        <f>'Area Calculations'!B4</f>
        <v>ERAU Residential Hall &amp; Garage Building</v>
      </c>
      <c r="C4" s="5"/>
      <c r="D4" s="5"/>
      <c r="E4" s="5"/>
      <c r="F4" s="5"/>
      <c r="G4" s="6" t="s">
        <v>693</v>
      </c>
      <c r="H4" s="2362"/>
      <c r="I4" s="2363"/>
      <c r="J4" s="2376"/>
      <c r="K4" s="2363"/>
      <c r="L4" s="2376"/>
      <c r="M4" s="2363"/>
      <c r="N4" s="2376"/>
      <c r="O4" s="2363"/>
      <c r="P4" s="2376"/>
      <c r="Q4" s="2363"/>
      <c r="R4" s="2376"/>
      <c r="S4" s="2363"/>
    </row>
    <row r="5" spans="1:19">
      <c r="A5" s="930" t="s">
        <v>700</v>
      </c>
      <c r="B5" s="481" t="s">
        <v>1867</v>
      </c>
      <c r="C5" s="422"/>
      <c r="D5" s="422"/>
      <c r="E5" s="422"/>
      <c r="F5" s="422"/>
      <c r="G5" s="466" t="s">
        <v>702</v>
      </c>
      <c r="H5" s="2359"/>
      <c r="I5" s="2360"/>
      <c r="J5" s="2378"/>
      <c r="K5" s="2360"/>
      <c r="L5" s="2378"/>
      <c r="M5" s="2360"/>
      <c r="N5" s="2378"/>
      <c r="O5" s="2360"/>
      <c r="P5" s="2378"/>
      <c r="Q5" s="2360"/>
      <c r="R5" s="2378"/>
      <c r="S5" s="2360"/>
    </row>
    <row r="6" spans="1:19">
      <c r="A6" s="930" t="s">
        <v>706</v>
      </c>
      <c r="B6" s="482" t="s">
        <v>1868</v>
      </c>
      <c r="C6" s="422"/>
      <c r="D6" s="422"/>
      <c r="E6" s="422"/>
      <c r="F6" s="422"/>
      <c r="G6" s="466" t="s">
        <v>708</v>
      </c>
      <c r="H6" s="2361"/>
      <c r="I6" s="2358"/>
      <c r="J6" s="2377"/>
      <c r="K6" s="2358"/>
      <c r="L6" s="2377"/>
      <c r="M6" s="2358"/>
      <c r="N6" s="2377"/>
      <c r="O6" s="2358"/>
      <c r="P6" s="2377"/>
      <c r="Q6" s="2358"/>
      <c r="R6" s="2377"/>
      <c r="S6" s="2358"/>
    </row>
    <row r="7" spans="1:19">
      <c r="A7" s="930" t="s">
        <v>712</v>
      </c>
      <c r="B7" s="483"/>
      <c r="C7" s="422"/>
      <c r="D7" s="422"/>
      <c r="E7" s="422"/>
      <c r="F7" s="422"/>
      <c r="G7" s="466" t="s">
        <v>713</v>
      </c>
      <c r="H7" s="2355"/>
      <c r="I7" s="2356"/>
      <c r="J7" s="2381"/>
      <c r="K7" s="2356"/>
      <c r="L7" s="2381"/>
      <c r="M7" s="2356"/>
      <c r="N7" s="2381"/>
      <c r="O7" s="2356"/>
      <c r="P7" s="2381"/>
      <c r="Q7" s="2356"/>
      <c r="R7" s="2381"/>
      <c r="S7" s="2356"/>
    </row>
    <row r="8" spans="1:19" ht="15.75" thickBot="1">
      <c r="A8" s="467" t="s">
        <v>717</v>
      </c>
      <c r="B8" s="340"/>
      <c r="C8" s="86"/>
      <c r="D8" s="86"/>
      <c r="E8" s="86"/>
      <c r="F8" s="86"/>
      <c r="G8" s="467" t="s">
        <v>717</v>
      </c>
      <c r="H8" s="2379">
        <f>I70</f>
        <v>0</v>
      </c>
      <c r="I8" s="2380"/>
      <c r="J8" s="2379">
        <f>K70</f>
        <v>0</v>
      </c>
      <c r="K8" s="2380"/>
      <c r="L8" s="2379">
        <f>M70</f>
        <v>0</v>
      </c>
      <c r="M8" s="2380"/>
      <c r="N8" s="2379">
        <f>O70</f>
        <v>0</v>
      </c>
      <c r="O8" s="2380"/>
      <c r="P8" s="2379">
        <f>Q70</f>
        <v>0</v>
      </c>
      <c r="Q8" s="2380"/>
      <c r="R8" s="2379">
        <f>S70</f>
        <v>0</v>
      </c>
      <c r="S8" s="2380"/>
    </row>
    <row r="9" spans="1:19" ht="31.5" thickTop="1" thickBot="1">
      <c r="A9" s="7" t="s">
        <v>1452</v>
      </c>
      <c r="B9" s="8"/>
      <c r="C9" s="9" t="s">
        <v>718</v>
      </c>
      <c r="D9" s="9" t="s">
        <v>719</v>
      </c>
      <c r="E9" s="9" t="s">
        <v>720</v>
      </c>
      <c r="F9" s="9" t="s">
        <v>721</v>
      </c>
      <c r="G9" s="10" t="s">
        <v>722</v>
      </c>
      <c r="H9" s="11" t="s">
        <v>723</v>
      </c>
      <c r="I9" s="11" t="s">
        <v>724</v>
      </c>
      <c r="J9" s="11" t="s">
        <v>723</v>
      </c>
      <c r="K9" s="11" t="s">
        <v>724</v>
      </c>
      <c r="L9" s="11" t="s">
        <v>723</v>
      </c>
      <c r="M9" s="11" t="s">
        <v>724</v>
      </c>
      <c r="N9" s="11" t="s">
        <v>723</v>
      </c>
      <c r="O9" s="11" t="s">
        <v>724</v>
      </c>
      <c r="P9" s="11" t="s">
        <v>723</v>
      </c>
      <c r="Q9" s="11" t="s">
        <v>724</v>
      </c>
      <c r="R9" s="11" t="s">
        <v>723</v>
      </c>
      <c r="S9" s="11" t="s">
        <v>724</v>
      </c>
    </row>
    <row r="10" spans="1:19" ht="15.75" hidden="1" thickTop="1">
      <c r="A10" s="931"/>
      <c r="B10" s="1687" t="s">
        <v>1453</v>
      </c>
      <c r="C10" s="422"/>
      <c r="D10" s="422"/>
      <c r="E10" s="422"/>
      <c r="F10" s="422"/>
      <c r="G10" s="468"/>
      <c r="H10" s="1649"/>
      <c r="I10" s="1649"/>
      <c r="J10" s="1649"/>
      <c r="K10" s="1649"/>
      <c r="L10" s="1649"/>
      <c r="M10" s="1649"/>
      <c r="N10" s="1649"/>
      <c r="O10" s="1649"/>
      <c r="P10" s="1649"/>
      <c r="Q10" s="1649"/>
      <c r="R10" s="1649"/>
      <c r="S10" s="1649"/>
    </row>
    <row r="11" spans="1:19" hidden="1">
      <c r="A11" s="931"/>
      <c r="B11" s="481" t="e">
        <f>'Area Calculations'!#REF!</f>
        <v>#REF!</v>
      </c>
      <c r="C11" s="484" t="s">
        <v>1035</v>
      </c>
      <c r="D11" s="422"/>
      <c r="E11" s="422"/>
      <c r="F11" s="422"/>
      <c r="G11" s="468"/>
      <c r="H11" s="1649"/>
      <c r="I11" s="1649"/>
      <c r="J11" s="1649"/>
      <c r="K11" s="1649"/>
      <c r="L11" s="1649"/>
      <c r="M11" s="1649"/>
      <c r="N11" s="1649"/>
      <c r="O11" s="1649"/>
      <c r="P11" s="1649"/>
      <c r="Q11" s="1649"/>
      <c r="R11" s="1649"/>
      <c r="S11" s="1649"/>
    </row>
    <row r="12" spans="1:19" hidden="1">
      <c r="A12" s="931"/>
      <c r="B12" s="481" t="e">
        <f>'Area Calculations'!#REF!</f>
        <v>#REF!</v>
      </c>
      <c r="C12" s="484" t="s">
        <v>1035</v>
      </c>
      <c r="D12" s="422"/>
      <c r="E12" s="422"/>
      <c r="F12" s="422"/>
      <c r="G12" s="468"/>
      <c r="H12" s="1649"/>
      <c r="I12" s="1649"/>
      <c r="J12" s="1649"/>
      <c r="K12" s="1649"/>
      <c r="L12" s="1649"/>
      <c r="M12" s="1649"/>
      <c r="N12" s="1649"/>
      <c r="O12" s="1649"/>
      <c r="P12" s="1649"/>
      <c r="Q12" s="1649"/>
      <c r="R12" s="1649"/>
      <c r="S12" s="1649"/>
    </row>
    <row r="13" spans="1:19" hidden="1">
      <c r="A13" s="931"/>
      <c r="B13" s="481" t="e">
        <f>'Area Calculations'!#REF!</f>
        <v>#REF!</v>
      </c>
      <c r="C13" s="484" t="s">
        <v>1035</v>
      </c>
      <c r="D13" s="422"/>
      <c r="E13" s="422"/>
      <c r="F13" s="422"/>
      <c r="G13" s="468"/>
      <c r="H13" s="1649"/>
      <c r="I13" s="1649"/>
      <c r="J13" s="1649"/>
      <c r="K13" s="1649"/>
      <c r="L13" s="1649"/>
      <c r="M13" s="1649"/>
      <c r="N13" s="1649"/>
      <c r="O13" s="1649"/>
      <c r="P13" s="1649"/>
      <c r="Q13" s="1649"/>
      <c r="R13" s="1649"/>
      <c r="S13" s="1649"/>
    </row>
    <row r="14" spans="1:19" hidden="1">
      <c r="A14" s="931"/>
      <c r="B14" s="481" t="e">
        <f>'Area Calculations'!#REF!</f>
        <v>#REF!</v>
      </c>
      <c r="C14" s="484" t="s">
        <v>1035</v>
      </c>
      <c r="D14" s="422"/>
      <c r="E14" s="422"/>
      <c r="F14" s="422"/>
      <c r="G14" s="468"/>
      <c r="H14" s="1649"/>
      <c r="I14" s="1649"/>
      <c r="J14" s="1649"/>
      <c r="K14" s="1649"/>
      <c r="L14" s="1649"/>
      <c r="M14" s="1649"/>
      <c r="N14" s="1649"/>
      <c r="O14" s="1649"/>
      <c r="P14" s="1649"/>
      <c r="Q14" s="1649"/>
      <c r="R14" s="1649"/>
      <c r="S14" s="1649"/>
    </row>
    <row r="15" spans="1:19" hidden="1">
      <c r="A15" s="931"/>
      <c r="B15" s="481" t="e">
        <f>'Area Calculations'!#REF!</f>
        <v>#REF!</v>
      </c>
      <c r="C15" s="484" t="s">
        <v>1035</v>
      </c>
      <c r="D15" s="422"/>
      <c r="E15" s="422"/>
      <c r="F15" s="422"/>
      <c r="G15" s="468"/>
      <c r="H15" s="1649"/>
      <c r="I15" s="1649"/>
      <c r="J15" s="1649"/>
      <c r="K15" s="1649"/>
      <c r="L15" s="1649"/>
      <c r="M15" s="1649"/>
      <c r="N15" s="1649"/>
      <c r="O15" s="1649"/>
      <c r="P15" s="1649"/>
      <c r="Q15" s="1649"/>
      <c r="R15" s="1649"/>
      <c r="S15" s="1649"/>
    </row>
    <row r="16" spans="1:19" hidden="1">
      <c r="A16" s="931"/>
      <c r="B16" s="481" t="e">
        <f>'Area Calculations'!#REF!</f>
        <v>#REF!</v>
      </c>
      <c r="C16" s="484" t="s">
        <v>1035</v>
      </c>
      <c r="D16" s="422"/>
      <c r="E16" s="422"/>
      <c r="F16" s="422"/>
      <c r="G16" s="468"/>
      <c r="H16" s="1649"/>
      <c r="I16" s="1649"/>
      <c r="J16" s="1649"/>
      <c r="K16" s="1649"/>
      <c r="L16" s="1649"/>
      <c r="M16" s="1649"/>
      <c r="N16" s="1649"/>
      <c r="O16" s="1649"/>
      <c r="P16" s="1649"/>
      <c r="Q16" s="1649"/>
      <c r="R16" s="1649"/>
      <c r="S16" s="1649"/>
    </row>
    <row r="17" spans="1:19" hidden="1">
      <c r="A17" s="931"/>
      <c r="B17" s="481" t="e">
        <f>'Area Calculations'!#REF!</f>
        <v>#REF!</v>
      </c>
      <c r="C17" s="484" t="s">
        <v>1035</v>
      </c>
      <c r="D17" s="422"/>
      <c r="E17" s="422"/>
      <c r="F17" s="422"/>
      <c r="G17" s="468"/>
      <c r="H17" s="1649"/>
      <c r="I17" s="1649"/>
      <c r="J17" s="1649"/>
      <c r="K17" s="1649"/>
      <c r="L17" s="1649"/>
      <c r="M17" s="1649"/>
      <c r="N17" s="1649"/>
      <c r="O17" s="1649"/>
      <c r="P17" s="1649"/>
      <c r="Q17" s="1649"/>
      <c r="R17" s="1649"/>
      <c r="S17" s="1649"/>
    </row>
    <row r="18" spans="1:19" hidden="1">
      <c r="A18" s="931"/>
      <c r="B18" s="481" t="e">
        <f>'Area Calculations'!#REF!</f>
        <v>#REF!</v>
      </c>
      <c r="C18" s="484" t="s">
        <v>1035</v>
      </c>
      <c r="D18" s="422"/>
      <c r="E18" s="422"/>
      <c r="F18" s="422"/>
      <c r="G18" s="468"/>
      <c r="H18" s="1649"/>
      <c r="I18" s="1649"/>
      <c r="J18" s="1649"/>
      <c r="K18" s="1649"/>
      <c r="L18" s="1649"/>
      <c r="M18" s="1649"/>
      <c r="N18" s="1649"/>
      <c r="O18" s="1649"/>
      <c r="P18" s="1649"/>
      <c r="Q18" s="1649"/>
      <c r="R18" s="1649"/>
      <c r="S18" s="1649"/>
    </row>
    <row r="19" spans="1:19" hidden="1">
      <c r="A19" s="931"/>
      <c r="B19" s="481" t="e">
        <f>'Area Calculations'!#REF!</f>
        <v>#REF!</v>
      </c>
      <c r="C19" s="484" t="s">
        <v>1035</v>
      </c>
      <c r="D19" s="422"/>
      <c r="E19" s="422"/>
      <c r="F19" s="422"/>
      <c r="G19" s="468"/>
      <c r="H19" s="1649"/>
      <c r="I19" s="1649"/>
      <c r="J19" s="1649"/>
      <c r="K19" s="1649"/>
      <c r="L19" s="1649"/>
      <c r="M19" s="1649"/>
      <c r="N19" s="1649"/>
      <c r="O19" s="1649"/>
      <c r="P19" s="1649"/>
      <c r="Q19" s="1649"/>
      <c r="R19" s="1649"/>
      <c r="S19" s="1649"/>
    </row>
    <row r="20" spans="1:19" ht="15.75" thickTop="1">
      <c r="A20" s="931"/>
      <c r="B20" s="481"/>
      <c r="C20" s="484"/>
      <c r="D20" s="422"/>
      <c r="E20" s="422"/>
      <c r="F20" s="422"/>
      <c r="G20" s="468"/>
      <c r="H20" s="1649"/>
      <c r="I20" s="1649"/>
      <c r="J20" s="1649"/>
      <c r="K20" s="1649"/>
      <c r="L20" s="1649"/>
      <c r="M20" s="1649"/>
      <c r="N20" s="1649"/>
      <c r="O20" s="1649"/>
      <c r="P20" s="1649"/>
      <c r="Q20" s="1649"/>
      <c r="R20" s="1649"/>
      <c r="S20" s="1649"/>
    </row>
    <row r="21" spans="1:19" ht="15.75" thickBot="1">
      <c r="A21" s="31"/>
      <c r="B21" s="485" t="s">
        <v>1867</v>
      </c>
      <c r="C21" s="28"/>
      <c r="D21" s="29"/>
      <c r="E21" s="29"/>
      <c r="F21" s="29"/>
      <c r="G21" s="33"/>
      <c r="H21" s="1649"/>
      <c r="I21" s="1649"/>
      <c r="J21" s="1649"/>
      <c r="K21" s="1649"/>
      <c r="L21" s="1649"/>
      <c r="M21" s="1649"/>
      <c r="N21" s="1649"/>
      <c r="O21" s="1649"/>
      <c r="P21" s="1649"/>
      <c r="Q21" s="1649"/>
      <c r="R21" s="1649"/>
      <c r="S21" s="1649"/>
    </row>
    <row r="22" spans="1:19">
      <c r="A22" s="1656"/>
      <c r="B22" s="1654" t="s">
        <v>725</v>
      </c>
      <c r="C22" s="484"/>
      <c r="D22" s="422"/>
      <c r="E22" s="422"/>
      <c r="F22" s="422"/>
      <c r="G22" s="468"/>
      <c r="H22" s="1601"/>
      <c r="I22" s="1688"/>
      <c r="J22" s="1688"/>
      <c r="K22" s="1688"/>
      <c r="L22" s="1652"/>
      <c r="M22" s="1688"/>
      <c r="N22" s="1688"/>
      <c r="O22" s="1688"/>
      <c r="P22" s="1688"/>
      <c r="Q22" s="1688"/>
      <c r="R22" s="1688"/>
      <c r="S22" s="1688"/>
    </row>
    <row r="23" spans="1:19">
      <c r="A23" s="1656"/>
      <c r="B23" s="1689" t="s">
        <v>726</v>
      </c>
      <c r="C23" s="484"/>
      <c r="D23" s="422"/>
      <c r="E23" s="422"/>
      <c r="F23" s="422"/>
      <c r="G23" s="468"/>
      <c r="H23" s="1652"/>
      <c r="I23" s="1690"/>
      <c r="J23" s="1652"/>
      <c r="K23" s="1688"/>
      <c r="L23" s="1652"/>
      <c r="M23" s="1688"/>
      <c r="N23" s="1688"/>
      <c r="O23" s="1688"/>
      <c r="P23" s="1688"/>
      <c r="Q23" s="1688"/>
      <c r="R23" s="1688"/>
      <c r="S23" s="1688"/>
    </row>
    <row r="24" spans="1:19">
      <c r="A24" s="1656"/>
      <c r="B24" s="1689" t="s">
        <v>728</v>
      </c>
      <c r="C24" s="476"/>
      <c r="D24" s="422"/>
      <c r="E24" s="422"/>
      <c r="F24" s="422"/>
      <c r="G24" s="468"/>
      <c r="H24" s="1652"/>
      <c r="I24" s="1690"/>
      <c r="J24" s="1652"/>
      <c r="K24" s="1688"/>
      <c r="L24" s="1652"/>
      <c r="M24" s="1688"/>
      <c r="N24" s="1688"/>
      <c r="O24" s="1688"/>
      <c r="P24" s="1688"/>
      <c r="Q24" s="1688"/>
      <c r="R24" s="1688"/>
      <c r="S24" s="1688"/>
    </row>
    <row r="25" spans="1:19">
      <c r="A25" s="1656"/>
      <c r="B25" s="1691" t="s">
        <v>729</v>
      </c>
      <c r="C25" s="476"/>
      <c r="D25" s="422"/>
      <c r="E25" s="422"/>
      <c r="F25" s="422"/>
      <c r="G25" s="468"/>
      <c r="H25" s="1652"/>
      <c r="I25" s="1690"/>
      <c r="J25" s="1652"/>
      <c r="K25" s="1688"/>
      <c r="L25" s="1652"/>
      <c r="M25" s="1688"/>
      <c r="N25" s="1688"/>
      <c r="O25" s="1688"/>
      <c r="P25" s="1688"/>
      <c r="Q25" s="1688"/>
      <c r="R25" s="1688"/>
      <c r="S25" s="1688"/>
    </row>
    <row r="26" spans="1:19" s="36" customFormat="1">
      <c r="A26" s="1692"/>
      <c r="B26" s="1691" t="s">
        <v>731</v>
      </c>
      <c r="C26" s="423"/>
      <c r="D26" s="418"/>
      <c r="E26" s="418"/>
      <c r="F26" s="418"/>
      <c r="G26" s="423"/>
      <c r="H26" s="1652"/>
      <c r="I26" s="1690"/>
      <c r="J26" s="1658"/>
      <c r="K26" s="1693"/>
      <c r="L26" s="1658"/>
      <c r="M26" s="1693"/>
      <c r="N26" s="1693"/>
      <c r="O26" s="1693"/>
      <c r="P26" s="1693"/>
      <c r="Q26" s="1693"/>
      <c r="R26" s="1693"/>
      <c r="S26" s="1693"/>
    </row>
    <row r="27" spans="1:19" s="36" customFormat="1">
      <c r="A27" s="1692"/>
      <c r="B27" s="1691" t="s">
        <v>732</v>
      </c>
      <c r="C27" s="423"/>
      <c r="D27" s="418"/>
      <c r="E27" s="418"/>
      <c r="F27" s="418"/>
      <c r="G27" s="423"/>
      <c r="H27" s="1652"/>
      <c r="I27" s="1690"/>
      <c r="J27" s="1658"/>
      <c r="K27" s="1693"/>
      <c r="L27" s="1658"/>
      <c r="M27" s="1693"/>
      <c r="N27" s="1693"/>
      <c r="O27" s="1693"/>
      <c r="P27" s="1693"/>
      <c r="Q27" s="1693"/>
      <c r="R27" s="1693"/>
      <c r="S27" s="1693"/>
    </row>
    <row r="28" spans="1:19" s="36" customFormat="1">
      <c r="A28" s="1692"/>
      <c r="B28" s="1691" t="s">
        <v>733</v>
      </c>
      <c r="C28" s="423"/>
      <c r="D28" s="418"/>
      <c r="E28" s="418"/>
      <c r="F28" s="418"/>
      <c r="G28" s="423"/>
      <c r="H28" s="1652"/>
      <c r="I28" s="1690"/>
      <c r="J28" s="1658"/>
      <c r="K28" s="1693"/>
      <c r="L28" s="1658"/>
      <c r="M28" s="1693"/>
      <c r="N28" s="1693"/>
      <c r="O28" s="1693"/>
      <c r="P28" s="1693"/>
      <c r="Q28" s="1693"/>
      <c r="R28" s="1693"/>
      <c r="S28" s="1693"/>
    </row>
    <row r="29" spans="1:19" s="36" customFormat="1">
      <c r="A29" s="1692"/>
      <c r="B29" s="1694" t="s">
        <v>736</v>
      </c>
      <c r="C29" s="423"/>
      <c r="D29" s="418"/>
      <c r="E29" s="418"/>
      <c r="F29" s="418"/>
      <c r="G29" s="423"/>
      <c r="H29" s="1652"/>
      <c r="I29" s="1690"/>
      <c r="J29" s="1658"/>
      <c r="K29" s="1693"/>
      <c r="L29" s="1658"/>
      <c r="M29" s="1693"/>
      <c r="N29" s="1693"/>
      <c r="O29" s="1693"/>
      <c r="P29" s="1693"/>
      <c r="Q29" s="1693"/>
      <c r="R29" s="1693"/>
      <c r="S29" s="1693"/>
    </row>
    <row r="30" spans="1:19" s="36" customFormat="1">
      <c r="A30" s="1692"/>
      <c r="B30" s="1695" t="s">
        <v>737</v>
      </c>
      <c r="C30" s="427"/>
      <c r="D30" s="426"/>
      <c r="E30" s="426"/>
      <c r="F30" s="426"/>
      <c r="G30" s="427"/>
      <c r="H30" s="1661"/>
      <c r="I30" s="1696"/>
      <c r="J30" s="1156"/>
      <c r="K30" s="1697"/>
      <c r="L30" s="1156"/>
      <c r="M30" s="1697"/>
      <c r="N30" s="1697"/>
      <c r="O30" s="1697"/>
      <c r="P30" s="1697"/>
      <c r="Q30" s="1697"/>
      <c r="R30" s="1697"/>
      <c r="S30" s="1697"/>
    </row>
    <row r="31" spans="1:19" s="36" customFormat="1">
      <c r="A31" s="1692"/>
      <c r="B31" s="1662"/>
      <c r="C31" s="423"/>
      <c r="D31" s="418"/>
      <c r="E31" s="418"/>
      <c r="F31" s="418"/>
      <c r="G31" s="423"/>
      <c r="H31" s="1652"/>
      <c r="I31" s="1690"/>
      <c r="J31" s="1658"/>
      <c r="K31" s="1693"/>
      <c r="L31" s="1658"/>
      <c r="M31" s="1693"/>
      <c r="N31" s="1693"/>
      <c r="O31" s="1693"/>
      <c r="P31" s="1693"/>
      <c r="Q31" s="1693"/>
      <c r="R31" s="1693"/>
      <c r="S31" s="1693"/>
    </row>
    <row r="32" spans="1:19" s="36" customFormat="1">
      <c r="A32" s="1698"/>
      <c r="B32" s="1662"/>
      <c r="C32" s="477"/>
      <c r="D32" s="418"/>
      <c r="E32" s="418"/>
      <c r="F32" s="418"/>
      <c r="G32" s="423"/>
      <c r="H32" s="1652"/>
      <c r="I32" s="1690"/>
      <c r="J32" s="1658"/>
      <c r="K32" s="1693"/>
      <c r="L32" s="1658"/>
      <c r="M32" s="1693"/>
      <c r="N32" s="1693"/>
      <c r="O32" s="1693"/>
      <c r="P32" s="1693"/>
      <c r="Q32" s="1693"/>
      <c r="R32" s="1693"/>
      <c r="S32" s="1693"/>
    </row>
    <row r="33" spans="1:19" s="36" customFormat="1">
      <c r="A33" s="1698"/>
      <c r="B33" s="1662"/>
      <c r="C33" s="477"/>
      <c r="D33" s="418"/>
      <c r="E33" s="418"/>
      <c r="F33" s="418"/>
      <c r="G33" s="423"/>
      <c r="H33" s="1652"/>
      <c r="I33" s="1690"/>
      <c r="J33" s="1658"/>
      <c r="K33" s="1693"/>
      <c r="L33" s="1658"/>
      <c r="M33" s="1693"/>
      <c r="N33" s="1693"/>
      <c r="O33" s="1693"/>
      <c r="P33" s="1693"/>
      <c r="Q33" s="1693"/>
      <c r="R33" s="1693"/>
      <c r="S33" s="1693"/>
    </row>
    <row r="34" spans="1:19" s="36" customFormat="1">
      <c r="A34" s="1698"/>
      <c r="B34" s="1662"/>
      <c r="C34" s="477"/>
      <c r="D34" s="418"/>
      <c r="E34" s="418"/>
      <c r="F34" s="418"/>
      <c r="G34" s="423"/>
      <c r="H34" s="1652"/>
      <c r="I34" s="1690"/>
      <c r="J34" s="1658"/>
      <c r="K34" s="1693"/>
      <c r="L34" s="1658"/>
      <c r="M34" s="1693"/>
      <c r="N34" s="1693"/>
      <c r="O34" s="1693"/>
      <c r="P34" s="1693"/>
      <c r="Q34" s="1693"/>
      <c r="R34" s="1693"/>
      <c r="S34" s="1693"/>
    </row>
    <row r="35" spans="1:19" s="36" customFormat="1">
      <c r="A35" s="1698"/>
      <c r="B35" s="1662"/>
      <c r="C35" s="477"/>
      <c r="D35" s="418"/>
      <c r="E35" s="418"/>
      <c r="F35" s="418"/>
      <c r="G35" s="423"/>
      <c r="H35" s="1652"/>
      <c r="I35" s="1690"/>
      <c r="J35" s="1658"/>
      <c r="K35" s="1693"/>
      <c r="L35" s="1658"/>
      <c r="M35" s="1693"/>
      <c r="N35" s="1693"/>
      <c r="O35" s="1693"/>
      <c r="P35" s="1693"/>
      <c r="Q35" s="1693"/>
      <c r="R35" s="1693"/>
      <c r="S35" s="1693"/>
    </row>
    <row r="36" spans="1:19" s="36" customFormat="1">
      <c r="A36" s="1698"/>
      <c r="B36" s="1662"/>
      <c r="C36" s="477"/>
      <c r="D36" s="418"/>
      <c r="E36" s="418"/>
      <c r="F36" s="418"/>
      <c r="G36" s="423"/>
      <c r="H36" s="1652"/>
      <c r="I36" s="1690"/>
      <c r="J36" s="1658"/>
      <c r="K36" s="1693"/>
      <c r="L36" s="1658"/>
      <c r="M36" s="1693"/>
      <c r="N36" s="1693"/>
      <c r="O36" s="1693"/>
      <c r="P36" s="1693"/>
      <c r="Q36" s="1693"/>
      <c r="R36" s="1693"/>
      <c r="S36" s="1693"/>
    </row>
    <row r="37" spans="1:19" s="36" customFormat="1">
      <c r="A37" s="1698"/>
      <c r="B37" s="1662"/>
      <c r="C37" s="477"/>
      <c r="D37" s="418"/>
      <c r="E37" s="478"/>
      <c r="F37" s="492"/>
      <c r="G37" s="423"/>
      <c r="H37" s="1652"/>
      <c r="I37" s="1690"/>
      <c r="J37" s="1658"/>
      <c r="K37" s="1693"/>
      <c r="L37" s="1658"/>
      <c r="M37" s="1693"/>
      <c r="N37" s="1693"/>
      <c r="O37" s="1693"/>
      <c r="P37" s="1693"/>
      <c r="Q37" s="1693"/>
      <c r="R37" s="1693"/>
      <c r="S37" s="1693"/>
    </row>
    <row r="38" spans="1:19" s="36" customFormat="1">
      <c r="A38" s="1698"/>
      <c r="B38" s="1662"/>
      <c r="C38" s="477"/>
      <c r="D38" s="418"/>
      <c r="E38" s="478"/>
      <c r="F38" s="492"/>
      <c r="G38" s="423"/>
      <c r="H38" s="1652"/>
      <c r="I38" s="1690"/>
      <c r="J38" s="1658"/>
      <c r="K38" s="1693"/>
      <c r="L38" s="1658"/>
      <c r="M38" s="1693"/>
      <c r="N38" s="1693"/>
      <c r="O38" s="1693"/>
      <c r="P38" s="1693"/>
      <c r="Q38" s="1693"/>
      <c r="R38" s="1693"/>
      <c r="S38" s="1693"/>
    </row>
    <row r="39" spans="1:19" s="36" customFormat="1">
      <c r="A39" s="1698"/>
      <c r="B39" s="1662"/>
      <c r="C39" s="477"/>
      <c r="D39" s="418"/>
      <c r="E39" s="478"/>
      <c r="F39" s="492"/>
      <c r="G39" s="423"/>
      <c r="H39" s="1652"/>
      <c r="I39" s="1690"/>
      <c r="J39" s="1658"/>
      <c r="K39" s="1693"/>
      <c r="L39" s="1658"/>
      <c r="M39" s="1693"/>
      <c r="N39" s="1693"/>
      <c r="O39" s="1693"/>
      <c r="P39" s="1693"/>
      <c r="Q39" s="1693"/>
      <c r="R39" s="1693"/>
      <c r="S39" s="1693"/>
    </row>
    <row r="40" spans="1:19" s="36" customFormat="1">
      <c r="A40" s="1698"/>
      <c r="B40" s="1663"/>
      <c r="C40" s="477"/>
      <c r="D40" s="418"/>
      <c r="E40" s="478"/>
      <c r="F40" s="492"/>
      <c r="G40" s="423"/>
      <c r="H40" s="1652"/>
      <c r="I40" s="1690"/>
      <c r="J40" s="1658"/>
      <c r="K40" s="1693"/>
      <c r="L40" s="1658"/>
      <c r="M40" s="1693"/>
      <c r="N40" s="1693"/>
      <c r="O40" s="1693"/>
      <c r="P40" s="1693"/>
      <c r="Q40" s="1693"/>
      <c r="R40" s="1693"/>
      <c r="S40" s="1693"/>
    </row>
    <row r="41" spans="1:19" s="36" customFormat="1">
      <c r="A41" s="1698"/>
      <c r="B41" s="1664"/>
      <c r="C41" s="477"/>
      <c r="D41" s="418"/>
      <c r="E41" s="478"/>
      <c r="F41" s="492"/>
      <c r="G41" s="423"/>
      <c r="H41" s="1652"/>
      <c r="I41" s="1690"/>
      <c r="J41" s="1658"/>
      <c r="K41" s="1693"/>
      <c r="L41" s="1658"/>
      <c r="M41" s="1693"/>
      <c r="N41" s="1693"/>
      <c r="O41" s="1693"/>
      <c r="P41" s="1693"/>
      <c r="Q41" s="1693"/>
      <c r="R41" s="1693"/>
      <c r="S41" s="1693"/>
    </row>
    <row r="42" spans="1:19" s="36" customFormat="1">
      <c r="A42" s="1698"/>
      <c r="B42" s="67"/>
      <c r="C42" s="477"/>
      <c r="D42" s="418"/>
      <c r="E42" s="478"/>
      <c r="F42" s="492"/>
      <c r="G42" s="423"/>
      <c r="H42" s="1652"/>
      <c r="I42" s="1690"/>
      <c r="J42" s="1658"/>
      <c r="K42" s="1693"/>
      <c r="L42" s="1658"/>
      <c r="M42" s="1693"/>
      <c r="N42" s="1693"/>
      <c r="O42" s="1693"/>
      <c r="P42" s="1693"/>
      <c r="Q42" s="1693"/>
      <c r="R42" s="1693"/>
      <c r="S42" s="1693"/>
    </row>
    <row r="43" spans="1:19" s="36" customFormat="1">
      <c r="A43" s="1698"/>
      <c r="B43" s="1662"/>
      <c r="C43" s="477"/>
      <c r="D43" s="418"/>
      <c r="E43" s="478"/>
      <c r="F43" s="492"/>
      <c r="G43" s="423"/>
      <c r="H43" s="1652"/>
      <c r="I43" s="1690"/>
      <c r="J43" s="1658"/>
      <c r="K43" s="1693"/>
      <c r="L43" s="1658"/>
      <c r="M43" s="1693"/>
      <c r="N43" s="1693"/>
      <c r="O43" s="1693"/>
      <c r="P43" s="1693"/>
      <c r="Q43" s="1693"/>
      <c r="R43" s="1693"/>
      <c r="S43" s="1693"/>
    </row>
    <row r="44" spans="1:19" s="36" customFormat="1">
      <c r="A44" s="1698"/>
      <c r="B44" s="1662"/>
      <c r="C44" s="477"/>
      <c r="D44" s="418"/>
      <c r="E44" s="478"/>
      <c r="F44" s="492"/>
      <c r="G44" s="423"/>
      <c r="H44" s="1652"/>
      <c r="I44" s="1690"/>
      <c r="J44" s="1658"/>
      <c r="K44" s="1693"/>
      <c r="L44" s="1658"/>
      <c r="M44" s="1693"/>
      <c r="N44" s="1693"/>
      <c r="O44" s="1693"/>
      <c r="P44" s="1693"/>
      <c r="Q44" s="1693"/>
      <c r="R44" s="1693"/>
      <c r="S44" s="1693"/>
    </row>
    <row r="45" spans="1:19" s="36" customFormat="1">
      <c r="A45" s="1698"/>
      <c r="B45" s="1662"/>
      <c r="C45" s="477"/>
      <c r="D45" s="418"/>
      <c r="E45" s="478"/>
      <c r="F45" s="492"/>
      <c r="G45" s="423"/>
      <c r="H45" s="1652"/>
      <c r="I45" s="1690"/>
      <c r="J45" s="1658"/>
      <c r="K45" s="1693"/>
      <c r="L45" s="1658"/>
      <c r="M45" s="1693"/>
      <c r="N45" s="1693"/>
      <c r="O45" s="1693"/>
      <c r="P45" s="1693"/>
      <c r="Q45" s="1693"/>
      <c r="R45" s="1693"/>
      <c r="S45" s="1693"/>
    </row>
    <row r="46" spans="1:19" s="36" customFormat="1">
      <c r="A46" s="1698"/>
      <c r="B46" s="1662"/>
      <c r="C46" s="477"/>
      <c r="D46" s="418"/>
      <c r="E46" s="478"/>
      <c r="F46" s="492"/>
      <c r="G46" s="423"/>
      <c r="H46" s="1652"/>
      <c r="I46" s="1690"/>
      <c r="J46" s="1658"/>
      <c r="K46" s="1693"/>
      <c r="L46" s="1658"/>
      <c r="M46" s="1693"/>
      <c r="N46" s="1693"/>
      <c r="O46" s="1693"/>
      <c r="P46" s="1693"/>
      <c r="Q46" s="1693"/>
      <c r="R46" s="1693"/>
      <c r="S46" s="1693"/>
    </row>
    <row r="47" spans="1:19" s="36" customFormat="1">
      <c r="A47" s="1698"/>
      <c r="B47" s="1662"/>
      <c r="C47" s="477"/>
      <c r="D47" s="418"/>
      <c r="E47" s="478"/>
      <c r="F47" s="492"/>
      <c r="G47" s="423"/>
      <c r="H47" s="1652"/>
      <c r="I47" s="1690"/>
      <c r="J47" s="1658"/>
      <c r="K47" s="1693"/>
      <c r="L47" s="1658"/>
      <c r="M47" s="1693"/>
      <c r="N47" s="1693"/>
      <c r="O47" s="1693"/>
      <c r="P47" s="1693"/>
      <c r="Q47" s="1693"/>
      <c r="R47" s="1693"/>
      <c r="S47" s="1693"/>
    </row>
    <row r="48" spans="1:19" s="36" customFormat="1">
      <c r="A48" s="1698"/>
      <c r="B48" s="1662"/>
      <c r="C48" s="477"/>
      <c r="D48" s="418"/>
      <c r="E48" s="478"/>
      <c r="F48" s="492"/>
      <c r="G48" s="423"/>
      <c r="H48" s="1652"/>
      <c r="I48" s="1690"/>
      <c r="J48" s="1658"/>
      <c r="K48" s="1693"/>
      <c r="L48" s="1658"/>
      <c r="M48" s="1693"/>
      <c r="N48" s="1693"/>
      <c r="O48" s="1693"/>
      <c r="P48" s="1693"/>
      <c r="Q48" s="1693"/>
      <c r="R48" s="1693"/>
      <c r="S48" s="1693"/>
    </row>
    <row r="49" spans="1:19" s="36" customFormat="1">
      <c r="A49" s="1698"/>
      <c r="B49" s="1662"/>
      <c r="C49" s="477"/>
      <c r="D49" s="418"/>
      <c r="E49" s="478"/>
      <c r="F49" s="492"/>
      <c r="G49" s="423"/>
      <c r="H49" s="1652"/>
      <c r="I49" s="1690"/>
      <c r="J49" s="1658"/>
      <c r="K49" s="1693"/>
      <c r="L49" s="1658"/>
      <c r="M49" s="1693"/>
      <c r="N49" s="1693"/>
      <c r="O49" s="1693"/>
      <c r="P49" s="1693"/>
      <c r="Q49" s="1693"/>
      <c r="R49" s="1693"/>
      <c r="S49" s="1693"/>
    </row>
    <row r="50" spans="1:19" s="36" customFormat="1">
      <c r="A50" s="1698"/>
      <c r="B50" s="1662"/>
      <c r="C50" s="477"/>
      <c r="D50" s="418"/>
      <c r="E50" s="478"/>
      <c r="F50" s="492"/>
      <c r="G50" s="423"/>
      <c r="H50" s="1652"/>
      <c r="I50" s="1690"/>
      <c r="J50" s="1658"/>
      <c r="K50" s="1693"/>
      <c r="L50" s="1658"/>
      <c r="M50" s="1693"/>
      <c r="N50" s="1693"/>
      <c r="O50" s="1693"/>
      <c r="P50" s="1693"/>
      <c r="Q50" s="1693"/>
      <c r="R50" s="1693"/>
      <c r="S50" s="1693"/>
    </row>
    <row r="51" spans="1:19" s="36" customFormat="1">
      <c r="A51" s="1698"/>
      <c r="B51" s="1662"/>
      <c r="C51" s="477"/>
      <c r="D51" s="418"/>
      <c r="E51" s="478"/>
      <c r="F51" s="492"/>
      <c r="G51" s="423"/>
      <c r="H51" s="1652"/>
      <c r="I51" s="1690"/>
      <c r="J51" s="1658"/>
      <c r="K51" s="1693"/>
      <c r="L51" s="1658"/>
      <c r="M51" s="1693"/>
      <c r="N51" s="1693"/>
      <c r="O51" s="1693"/>
      <c r="P51" s="1693"/>
      <c r="Q51" s="1693"/>
      <c r="R51" s="1693"/>
      <c r="S51" s="1693"/>
    </row>
    <row r="52" spans="1:19" s="36" customFormat="1">
      <c r="A52" s="1698"/>
      <c r="B52" s="1662"/>
      <c r="C52" s="477"/>
      <c r="D52" s="418"/>
      <c r="E52" s="478"/>
      <c r="F52" s="492"/>
      <c r="G52" s="423"/>
      <c r="H52" s="1652"/>
      <c r="I52" s="1690"/>
      <c r="J52" s="1658"/>
      <c r="K52" s="1693"/>
      <c r="L52" s="1658"/>
      <c r="M52" s="1693"/>
      <c r="N52" s="1693"/>
      <c r="O52" s="1693"/>
      <c r="P52" s="1693"/>
      <c r="Q52" s="1693"/>
      <c r="R52" s="1693"/>
      <c r="S52" s="1693"/>
    </row>
    <row r="53" spans="1:19" s="36" customFormat="1">
      <c r="A53" s="1698"/>
      <c r="B53" s="1662"/>
      <c r="C53" s="477"/>
      <c r="D53" s="418"/>
      <c r="E53" s="478"/>
      <c r="F53" s="492"/>
      <c r="G53" s="423"/>
      <c r="H53" s="1652"/>
      <c r="I53" s="1690"/>
      <c r="J53" s="1658"/>
      <c r="K53" s="1693"/>
      <c r="L53" s="1658"/>
      <c r="M53" s="1693"/>
      <c r="N53" s="1693"/>
      <c r="O53" s="1693"/>
      <c r="P53" s="1693"/>
      <c r="Q53" s="1693"/>
      <c r="R53" s="1693"/>
      <c r="S53" s="1693"/>
    </row>
    <row r="54" spans="1:19" s="36" customFormat="1">
      <c r="A54" s="1692"/>
      <c r="B54" s="1662"/>
      <c r="C54" s="423"/>
      <c r="D54" s="418"/>
      <c r="E54" s="478"/>
      <c r="F54" s="492"/>
      <c r="G54" s="423"/>
      <c r="H54" s="1652"/>
      <c r="I54" s="1690"/>
      <c r="J54" s="1658"/>
      <c r="K54" s="1693"/>
      <c r="L54" s="1658"/>
      <c r="M54" s="1693"/>
      <c r="N54" s="1693"/>
      <c r="O54" s="1693"/>
      <c r="P54" s="1693"/>
      <c r="Q54" s="1693"/>
      <c r="R54" s="1693"/>
      <c r="S54" s="1693"/>
    </row>
    <row r="55" spans="1:19">
      <c r="A55" s="1656"/>
      <c r="B55" s="1662"/>
      <c r="C55" s="423"/>
      <c r="D55" s="422"/>
      <c r="E55" s="478"/>
      <c r="F55" s="492"/>
      <c r="G55" s="468"/>
      <c r="H55" s="1652"/>
      <c r="I55" s="1690"/>
      <c r="J55" s="1182"/>
      <c r="K55" s="1182"/>
      <c r="L55" s="1182"/>
      <c r="M55" s="1688"/>
      <c r="N55" s="1688"/>
      <c r="O55" s="1688"/>
      <c r="P55" s="1688"/>
      <c r="Q55" s="1688"/>
      <c r="R55" s="1688"/>
      <c r="S55" s="1688"/>
    </row>
    <row r="56" spans="1:19">
      <c r="A56" s="1656"/>
      <c r="B56" s="1662"/>
      <c r="C56" s="423"/>
      <c r="D56" s="422"/>
      <c r="E56" s="478"/>
      <c r="F56" s="492"/>
      <c r="G56" s="468"/>
      <c r="H56" s="1652"/>
      <c r="I56" s="1690"/>
      <c r="J56" s="1652"/>
      <c r="K56" s="1688"/>
      <c r="L56" s="1652"/>
      <c r="M56" s="1688"/>
      <c r="N56" s="1688"/>
      <c r="O56" s="1688"/>
      <c r="P56" s="1688"/>
      <c r="Q56" s="1688"/>
      <c r="R56" s="1688"/>
      <c r="S56" s="1688"/>
    </row>
    <row r="57" spans="1:19">
      <c r="A57" s="1656"/>
      <c r="B57" s="1662"/>
      <c r="C57" s="423"/>
      <c r="D57" s="422"/>
      <c r="E57" s="422"/>
      <c r="F57" s="422"/>
      <c r="G57" s="468"/>
      <c r="H57" s="1652"/>
      <c r="I57" s="1690"/>
      <c r="J57" s="1652"/>
      <c r="K57" s="1688"/>
      <c r="L57" s="1652"/>
      <c r="M57" s="1688"/>
      <c r="N57" s="1688"/>
      <c r="O57" s="1688"/>
      <c r="P57" s="1688"/>
      <c r="Q57" s="1688"/>
      <c r="R57" s="1688"/>
      <c r="S57" s="1688"/>
    </row>
    <row r="58" spans="1:19">
      <c r="A58" s="1656"/>
      <c r="B58" s="1662"/>
      <c r="C58" s="423"/>
      <c r="D58" s="422"/>
      <c r="E58" s="422"/>
      <c r="F58" s="422"/>
      <c r="G58" s="468"/>
      <c r="H58" s="1652"/>
      <c r="I58" s="1688"/>
      <c r="J58" s="1182"/>
      <c r="K58" s="1688"/>
      <c r="L58" s="1652"/>
      <c r="M58" s="1688"/>
      <c r="N58" s="1688"/>
      <c r="O58" s="1688"/>
      <c r="P58" s="1688"/>
      <c r="Q58" s="1688"/>
      <c r="R58" s="1688"/>
      <c r="S58" s="1688"/>
    </row>
    <row r="59" spans="1:19">
      <c r="A59" s="1656"/>
      <c r="B59" s="1665"/>
      <c r="C59" s="423"/>
      <c r="D59" s="422"/>
      <c r="E59" s="422"/>
      <c r="F59" s="422"/>
      <c r="G59" s="468"/>
      <c r="H59" s="1652"/>
      <c r="I59" s="1688"/>
      <c r="J59" s="1652"/>
      <c r="K59" s="1688"/>
      <c r="L59" s="1652"/>
      <c r="M59" s="1688"/>
      <c r="N59" s="1688"/>
      <c r="O59" s="1688"/>
      <c r="P59" s="1688"/>
      <c r="Q59" s="1688"/>
      <c r="R59" s="1688"/>
      <c r="S59" s="1688"/>
    </row>
    <row r="60" spans="1:19">
      <c r="A60" s="1656"/>
      <c r="B60" s="1666"/>
      <c r="C60" s="423"/>
      <c r="D60" s="422"/>
      <c r="E60" s="422"/>
      <c r="F60" s="422"/>
      <c r="G60" s="468"/>
      <c r="H60" s="1652"/>
      <c r="I60" s="1688"/>
      <c r="J60" s="1652"/>
      <c r="K60" s="1688"/>
      <c r="L60" s="1652"/>
      <c r="M60" s="1688"/>
      <c r="N60" s="1688"/>
      <c r="O60" s="1688"/>
      <c r="P60" s="1688"/>
      <c r="Q60" s="1688"/>
      <c r="R60" s="1688"/>
      <c r="S60" s="1688"/>
    </row>
    <row r="61" spans="1:19">
      <c r="A61" s="1656"/>
      <c r="B61" s="1666"/>
      <c r="C61" s="423"/>
      <c r="D61" s="422"/>
      <c r="E61" s="422"/>
      <c r="F61" s="422"/>
      <c r="G61" s="468"/>
      <c r="H61" s="1652"/>
      <c r="I61" s="1690"/>
      <c r="J61" s="1652"/>
      <c r="K61" s="1690"/>
      <c r="L61" s="1688"/>
      <c r="M61" s="1690"/>
      <c r="N61" s="1688"/>
      <c r="O61" s="1690"/>
      <c r="P61" s="1688"/>
      <c r="Q61" s="1688"/>
      <c r="R61" s="1688"/>
      <c r="S61" s="1688"/>
    </row>
    <row r="62" spans="1:19">
      <c r="A62" s="1656"/>
      <c r="B62" s="1666"/>
      <c r="C62" s="423"/>
      <c r="D62" s="422"/>
      <c r="E62" s="422"/>
      <c r="F62" s="422"/>
      <c r="G62" s="468"/>
      <c r="H62" s="1652"/>
      <c r="I62" s="1690"/>
      <c r="J62" s="1652"/>
      <c r="K62" s="1690"/>
      <c r="L62" s="1688"/>
      <c r="M62" s="1690"/>
      <c r="N62" s="1688"/>
      <c r="O62" s="1690"/>
      <c r="P62" s="1688"/>
      <c r="Q62" s="1688"/>
      <c r="R62" s="1688"/>
      <c r="S62" s="1688"/>
    </row>
    <row r="63" spans="1:19">
      <c r="A63" s="1656"/>
      <c r="B63" s="1666"/>
      <c r="C63" s="423"/>
      <c r="D63" s="422"/>
      <c r="E63" s="422"/>
      <c r="F63" s="422"/>
      <c r="G63" s="468"/>
      <c r="H63" s="1652"/>
      <c r="I63" s="1690"/>
      <c r="J63" s="1652"/>
      <c r="K63" s="1690"/>
      <c r="L63" s="1688"/>
      <c r="M63" s="1690"/>
      <c r="N63" s="1688"/>
      <c r="O63" s="1690"/>
      <c r="P63" s="1688"/>
      <c r="Q63" s="1688"/>
      <c r="R63" s="1688"/>
      <c r="S63" s="1688"/>
    </row>
    <row r="64" spans="1:19">
      <c r="A64" s="1656"/>
      <c r="B64" s="1666"/>
      <c r="C64" s="423"/>
      <c r="D64" s="422"/>
      <c r="E64" s="422"/>
      <c r="F64" s="422"/>
      <c r="G64" s="468"/>
      <c r="H64" s="1652"/>
      <c r="I64" s="1690"/>
      <c r="J64" s="1652"/>
      <c r="K64" s="1690"/>
      <c r="L64" s="1688"/>
      <c r="M64" s="1690"/>
      <c r="N64" s="1688"/>
      <c r="O64" s="1690"/>
      <c r="P64" s="1688"/>
      <c r="Q64" s="1688"/>
      <c r="R64" s="1688"/>
      <c r="S64" s="1688"/>
    </row>
    <row r="65" spans="1:19" ht="15.75" thickBot="1">
      <c r="A65" s="1656"/>
      <c r="B65" s="1666"/>
      <c r="C65" s="423"/>
      <c r="D65" s="422"/>
      <c r="E65" s="422"/>
      <c r="F65" s="422"/>
      <c r="G65" s="468"/>
      <c r="H65" s="1652"/>
      <c r="I65" s="1690"/>
      <c r="J65" s="1652"/>
      <c r="K65" s="1690"/>
      <c r="L65" s="1688"/>
      <c r="M65" s="1690"/>
      <c r="N65" s="1688"/>
      <c r="O65" s="1690"/>
      <c r="P65" s="1688"/>
      <c r="Q65" s="1688"/>
      <c r="R65" s="1688"/>
      <c r="S65" s="1688"/>
    </row>
    <row r="66" spans="1:19" ht="15.75" thickTop="1">
      <c r="A66" s="13"/>
      <c r="B66" s="14"/>
      <c r="C66" s="15"/>
      <c r="D66" s="15"/>
      <c r="E66" s="16"/>
      <c r="F66" s="17" t="s">
        <v>753</v>
      </c>
      <c r="G66" s="18"/>
      <c r="H66" s="19"/>
      <c r="I66" s="32">
        <f>SUM(I23:I65)</f>
        <v>0</v>
      </c>
      <c r="J66" s="19"/>
      <c r="K66" s="32">
        <f>SUM(K23:K65)</f>
        <v>0</v>
      </c>
      <c r="L66" s="19"/>
      <c r="M66" s="32">
        <f>SUM(M23:M65)</f>
        <v>0</v>
      </c>
      <c r="N66" s="19"/>
      <c r="O66" s="32">
        <f>SUM(O23:O65)</f>
        <v>0</v>
      </c>
      <c r="P66" s="19"/>
      <c r="Q66" s="32">
        <f>SUM(Q23:Q65)</f>
        <v>0</v>
      </c>
      <c r="R66" s="19"/>
      <c r="S66" s="32">
        <f>SUM(S23:S65)</f>
        <v>0</v>
      </c>
    </row>
    <row r="67" spans="1:19">
      <c r="A67" s="932"/>
      <c r="B67" s="488"/>
      <c r="C67" s="433"/>
      <c r="D67" s="433"/>
      <c r="E67" s="434"/>
      <c r="F67" s="489" t="s">
        <v>754</v>
      </c>
      <c r="G67" s="471"/>
      <c r="H67" s="1165">
        <v>0</v>
      </c>
      <c r="I67" s="1667"/>
      <c r="J67" s="1165">
        <v>0</v>
      </c>
      <c r="K67" s="1667"/>
      <c r="L67" s="1165">
        <v>0</v>
      </c>
      <c r="M67" s="1667"/>
      <c r="N67" s="1165">
        <v>0</v>
      </c>
      <c r="O67" s="1667"/>
      <c r="P67" s="1165">
        <v>0</v>
      </c>
      <c r="Q67" s="1667"/>
      <c r="R67" s="1165">
        <v>0</v>
      </c>
      <c r="S67" s="1667"/>
    </row>
    <row r="68" spans="1:19">
      <c r="A68" s="932"/>
      <c r="B68" s="488"/>
      <c r="C68" s="433"/>
      <c r="D68" s="433"/>
      <c r="E68" s="434"/>
      <c r="F68" s="489" t="s">
        <v>755</v>
      </c>
      <c r="G68" s="471"/>
      <c r="H68" s="1166"/>
      <c r="I68" s="1668">
        <f>H67*I66</f>
        <v>0</v>
      </c>
      <c r="J68" s="1166"/>
      <c r="K68" s="1668">
        <f>J67*K66</f>
        <v>0</v>
      </c>
      <c r="L68" s="1166"/>
      <c r="M68" s="1668">
        <f>L67*M66</f>
        <v>0</v>
      </c>
      <c r="N68" s="1166"/>
      <c r="O68" s="1668">
        <f>N67*O66</f>
        <v>0</v>
      </c>
      <c r="P68" s="1166"/>
      <c r="Q68" s="1668">
        <f>P67*Q66</f>
        <v>0</v>
      </c>
      <c r="R68" s="1166"/>
      <c r="S68" s="1668">
        <f>R67*S66</f>
        <v>0</v>
      </c>
    </row>
    <row r="69" spans="1:19">
      <c r="A69" s="932"/>
      <c r="B69" s="488"/>
      <c r="C69" s="433"/>
      <c r="D69" s="433"/>
      <c r="E69" s="434"/>
      <c r="F69" s="489"/>
      <c r="G69" s="471"/>
      <c r="H69" s="1166"/>
      <c r="I69" s="1669"/>
      <c r="J69" s="1166"/>
      <c r="K69" s="1669"/>
      <c r="L69" s="1166"/>
      <c r="M69" s="1669"/>
      <c r="N69" s="1166"/>
      <c r="O69" s="1669"/>
      <c r="P69" s="1166"/>
      <c r="Q69" s="1669"/>
      <c r="R69" s="1166"/>
      <c r="S69" s="1669"/>
    </row>
    <row r="70" spans="1:19">
      <c r="A70" s="932"/>
      <c r="B70" s="488"/>
      <c r="C70" s="433"/>
      <c r="D70" s="433"/>
      <c r="E70" s="434"/>
      <c r="F70" s="489" t="s">
        <v>756</v>
      </c>
      <c r="G70" s="471"/>
      <c r="H70" s="1670"/>
      <c r="I70" s="1671">
        <f>SUM(I66:I68)</f>
        <v>0</v>
      </c>
      <c r="J70" s="1670"/>
      <c r="K70" s="1671">
        <f>SUM(K66:K68)</f>
        <v>0</v>
      </c>
      <c r="L70" s="1670"/>
      <c r="M70" s="1671">
        <f>SUM(M66:M68)</f>
        <v>0</v>
      </c>
      <c r="N70" s="1670"/>
      <c r="O70" s="1671">
        <f>SUM(O66:O68)</f>
        <v>0</v>
      </c>
      <c r="P70" s="1670"/>
      <c r="Q70" s="1671">
        <f>SUM(Q66:Q68)</f>
        <v>0</v>
      </c>
      <c r="R70" s="1670"/>
      <c r="S70" s="1671">
        <f>SUM(S66:S68)</f>
        <v>0</v>
      </c>
    </row>
    <row r="71" spans="1:19">
      <c r="A71" s="932"/>
      <c r="B71" s="488"/>
      <c r="C71" s="433"/>
      <c r="D71" s="433"/>
      <c r="E71" s="434"/>
      <c r="F71" s="490" t="s">
        <v>757</v>
      </c>
      <c r="G71" s="472"/>
      <c r="H71" s="1672"/>
      <c r="I71" s="1673">
        <f>I70/'Area Calculations'!$G$4</f>
        <v>0</v>
      </c>
      <c r="J71" s="1672"/>
      <c r="K71" s="1673">
        <f>K70/'Area Calculations'!$G$4</f>
        <v>0</v>
      </c>
      <c r="L71" s="1672"/>
      <c r="M71" s="1673">
        <f>M70/'Area Calculations'!$G$4</f>
        <v>0</v>
      </c>
      <c r="N71" s="1672"/>
      <c r="O71" s="1673">
        <f>O70/'Area Calculations'!$G$4</f>
        <v>0</v>
      </c>
      <c r="P71" s="1672"/>
      <c r="Q71" s="1673">
        <f>Q70/'Area Calculations'!$G$4</f>
        <v>0</v>
      </c>
      <c r="R71" s="1672"/>
      <c r="S71" s="1673">
        <f>S70/'Area Calculations'!$G$4</f>
        <v>0</v>
      </c>
    </row>
    <row r="72" spans="1:19">
      <c r="A72" s="932"/>
      <c r="B72" s="488"/>
      <c r="C72" s="433"/>
      <c r="D72" s="433"/>
      <c r="E72" s="434"/>
      <c r="F72" s="490" t="s">
        <v>758</v>
      </c>
      <c r="G72" s="473"/>
      <c r="H72" s="1672"/>
      <c r="I72" s="1673">
        <f>I70/'Area Calculations'!$G$9</f>
        <v>0</v>
      </c>
      <c r="J72" s="1672"/>
      <c r="K72" s="1673">
        <f>K70/'Area Calculations'!$G$9</f>
        <v>0</v>
      </c>
      <c r="L72" s="1672"/>
      <c r="M72" s="1673">
        <f>M70/'Area Calculations'!$G$9</f>
        <v>0</v>
      </c>
      <c r="N72" s="1672"/>
      <c r="O72" s="1673">
        <f>O70/'Area Calculations'!$G$9</f>
        <v>0</v>
      </c>
      <c r="P72" s="1672"/>
      <c r="Q72" s="1673">
        <f>Q70/'Area Calculations'!$G$9</f>
        <v>0</v>
      </c>
      <c r="R72" s="1672"/>
      <c r="S72" s="1673">
        <f>S70/'Area Calculations'!$G$9</f>
        <v>0</v>
      </c>
    </row>
    <row r="73" spans="1:19" ht="15.75" thickBot="1">
      <c r="A73" s="932"/>
      <c r="B73" s="488"/>
      <c r="C73" s="433"/>
      <c r="D73" s="433"/>
      <c r="E73" s="434"/>
      <c r="F73" s="489"/>
      <c r="G73" s="474"/>
      <c r="H73" s="1674"/>
      <c r="I73" s="1675"/>
      <c r="J73" s="1674"/>
      <c r="K73" s="1675"/>
      <c r="L73" s="1674"/>
      <c r="M73" s="1675"/>
      <c r="N73" s="1674"/>
      <c r="O73" s="1675"/>
      <c r="P73" s="1674"/>
      <c r="Q73" s="1675"/>
      <c r="R73" s="1674"/>
      <c r="S73" s="1675"/>
    </row>
    <row r="74" spans="1:19" ht="16.5" thickTop="1" thickBot="1">
      <c r="A74" s="2331" t="s">
        <v>759</v>
      </c>
      <c r="B74" s="2365"/>
      <c r="C74" s="12"/>
      <c r="D74" s="12"/>
      <c r="E74" s="12"/>
      <c r="F74" s="12"/>
      <c r="G74" s="26"/>
      <c r="H74" s="24"/>
      <c r="I74" s="20"/>
      <c r="J74" s="20"/>
      <c r="K74" s="20"/>
      <c r="L74" s="20"/>
      <c r="M74" s="20"/>
      <c r="N74" s="20"/>
      <c r="O74" s="20"/>
      <c r="P74" s="20"/>
      <c r="Q74" s="20"/>
      <c r="R74" s="20"/>
      <c r="S74" s="20"/>
    </row>
    <row r="75" spans="1:19" ht="15.75" thickTop="1">
      <c r="A75" s="1699"/>
      <c r="B75" s="481"/>
      <c r="C75" s="1700"/>
      <c r="D75" s="1700"/>
      <c r="E75" s="1700"/>
      <c r="F75" s="1700"/>
      <c r="G75" s="1701"/>
      <c r="H75" s="1702"/>
      <c r="I75" s="1703"/>
      <c r="J75" s="1703"/>
      <c r="K75" s="1703"/>
      <c r="L75" s="1703"/>
      <c r="M75" s="1703"/>
      <c r="N75" s="1703"/>
      <c r="O75" s="1703"/>
      <c r="P75" s="1703"/>
      <c r="Q75" s="1703"/>
      <c r="R75" s="1703"/>
      <c r="S75" s="1703"/>
    </row>
    <row r="76" spans="1:19" s="2" customFormat="1">
      <c r="A76" s="1699"/>
      <c r="B76" s="481"/>
      <c r="C76" s="1700"/>
      <c r="D76" s="1700"/>
      <c r="E76" s="1700"/>
      <c r="F76" s="1700"/>
      <c r="G76" s="1701"/>
      <c r="H76" s="1702"/>
      <c r="I76" s="1703"/>
      <c r="J76" s="1703"/>
      <c r="K76" s="1703"/>
      <c r="L76" s="1703"/>
      <c r="M76" s="1703"/>
      <c r="N76" s="1703"/>
      <c r="O76" s="1703"/>
      <c r="P76" s="1703"/>
      <c r="Q76" s="1703"/>
      <c r="R76" s="1703"/>
      <c r="S76" s="1703"/>
    </row>
    <row r="77" spans="1:19" s="2" customFormat="1" ht="15.75" thickBot="1">
      <c r="A77" s="1699"/>
      <c r="B77" s="481"/>
      <c r="C77" s="1700"/>
      <c r="D77" s="1700"/>
      <c r="E77" s="1700"/>
      <c r="F77" s="1700"/>
      <c r="G77" s="1701"/>
      <c r="H77" s="1702"/>
      <c r="I77" s="1703"/>
      <c r="J77" s="1703"/>
      <c r="K77" s="1703"/>
      <c r="L77" s="1703"/>
      <c r="M77" s="1703"/>
      <c r="N77" s="1703"/>
      <c r="O77" s="1703"/>
      <c r="P77" s="1703"/>
      <c r="Q77" s="1703"/>
      <c r="R77" s="1703"/>
      <c r="S77" s="1703"/>
    </row>
    <row r="78" spans="1:19" ht="16.5" thickTop="1" thickBot="1">
      <c r="A78" s="2331" t="s">
        <v>760</v>
      </c>
      <c r="B78" s="2365"/>
      <c r="C78" s="12"/>
      <c r="D78" s="12"/>
      <c r="E78" s="12"/>
      <c r="F78" s="12"/>
      <c r="G78" s="26"/>
      <c r="H78" s="24"/>
      <c r="I78" s="20"/>
      <c r="J78" s="20"/>
      <c r="K78" s="20"/>
      <c r="L78" s="20"/>
      <c r="M78" s="20"/>
      <c r="N78" s="20"/>
      <c r="O78" s="20"/>
      <c r="P78" s="20"/>
      <c r="Q78" s="20"/>
      <c r="R78" s="20"/>
      <c r="S78" s="20"/>
    </row>
    <row r="79" spans="1:19" s="2" customFormat="1" ht="15.75" thickTop="1">
      <c r="A79" s="1699"/>
      <c r="B79" s="481"/>
      <c r="C79" s="1700"/>
      <c r="D79" s="1700"/>
      <c r="E79" s="1700"/>
      <c r="F79" s="1700"/>
      <c r="G79" s="1701"/>
      <c r="H79" s="1702"/>
      <c r="I79" s="1703"/>
      <c r="J79" s="1703"/>
      <c r="K79" s="1703"/>
      <c r="L79" s="1703"/>
      <c r="M79" s="1703"/>
      <c r="N79" s="1703"/>
      <c r="O79" s="1703"/>
      <c r="P79" s="1703"/>
      <c r="Q79" s="1703"/>
      <c r="R79" s="1703"/>
      <c r="S79" s="1703"/>
    </row>
    <row r="80" spans="1:19" s="2" customFormat="1">
      <c r="A80" s="1699"/>
      <c r="B80" s="481"/>
      <c r="C80" s="1700"/>
      <c r="D80" s="1700"/>
      <c r="E80" s="1700"/>
      <c r="F80" s="1700"/>
      <c r="G80" s="1701"/>
      <c r="H80" s="1702"/>
      <c r="I80" s="1703"/>
      <c r="J80" s="1703"/>
      <c r="K80" s="1703"/>
      <c r="L80" s="1703"/>
      <c r="M80" s="1703"/>
      <c r="N80" s="1703"/>
      <c r="O80" s="1703"/>
      <c r="P80" s="1703"/>
      <c r="Q80" s="1703"/>
      <c r="R80" s="1703"/>
      <c r="S80" s="1703"/>
    </row>
    <row r="81" spans="1:19" ht="15.75" thickBot="1">
      <c r="A81" s="1699"/>
      <c r="B81" s="481"/>
      <c r="C81" s="1700"/>
      <c r="D81" s="1700"/>
      <c r="E81" s="1700"/>
      <c r="F81" s="1700"/>
      <c r="G81" s="1701"/>
      <c r="H81" s="1702"/>
      <c r="I81" s="1703"/>
      <c r="J81" s="1703"/>
      <c r="K81" s="1703"/>
      <c r="L81" s="1703"/>
      <c r="M81" s="1703"/>
      <c r="N81" s="1703"/>
      <c r="O81" s="1703"/>
      <c r="P81" s="1703"/>
      <c r="Q81" s="1703"/>
      <c r="R81" s="1703"/>
      <c r="S81" s="1703"/>
    </row>
    <row r="82" spans="1:19" ht="16.5" thickTop="1" thickBot="1">
      <c r="A82" s="2331" t="s">
        <v>761</v>
      </c>
      <c r="B82" s="2365"/>
      <c r="C82" s="12"/>
      <c r="D82" s="12"/>
      <c r="E82" s="12"/>
      <c r="F82" s="12"/>
      <c r="G82" s="26"/>
      <c r="H82" s="24"/>
      <c r="I82" s="20"/>
      <c r="J82" s="20"/>
      <c r="K82" s="20"/>
      <c r="L82" s="20"/>
      <c r="M82" s="20"/>
      <c r="N82" s="20"/>
      <c r="O82" s="20"/>
      <c r="P82" s="20"/>
      <c r="Q82" s="20"/>
      <c r="R82" s="20"/>
      <c r="S82" s="20"/>
    </row>
    <row r="83" spans="1:19" ht="15.75" thickTop="1">
      <c r="A83" s="1699"/>
      <c r="B83" s="481"/>
      <c r="C83" s="1700"/>
      <c r="D83" s="1700"/>
      <c r="E83" s="1700"/>
      <c r="F83" s="1700"/>
      <c r="G83" s="1701"/>
      <c r="H83" s="1702"/>
      <c r="I83" s="1703"/>
      <c r="J83" s="1703"/>
      <c r="K83" s="1703"/>
      <c r="L83" s="1703"/>
      <c r="M83" s="1703"/>
      <c r="N83" s="1703"/>
      <c r="O83" s="1703"/>
      <c r="P83" s="1703"/>
      <c r="Q83" s="1703"/>
      <c r="R83" s="1703"/>
      <c r="S83" s="1703"/>
    </row>
    <row r="84" spans="1:19">
      <c r="A84" s="931"/>
      <c r="B84" s="481"/>
      <c r="C84" s="422"/>
      <c r="D84" s="422"/>
      <c r="E84" s="422"/>
      <c r="F84" s="422"/>
      <c r="G84" s="831"/>
      <c r="H84" s="440"/>
      <c r="I84" s="1173"/>
      <c r="J84" s="1173"/>
      <c r="K84" s="1173"/>
      <c r="L84" s="1173"/>
      <c r="M84" s="1173"/>
      <c r="N84" s="1173"/>
      <c r="O84" s="1173"/>
      <c r="P84" s="1173"/>
      <c r="Q84" s="1173"/>
      <c r="R84" s="1173"/>
      <c r="S84" s="1173"/>
    </row>
    <row r="85" spans="1:19" ht="15.75" thickBot="1">
      <c r="A85" s="933"/>
      <c r="B85" s="491"/>
      <c r="C85" s="422"/>
      <c r="D85" s="422"/>
      <c r="E85" s="422"/>
      <c r="F85" s="422"/>
      <c r="G85" s="831"/>
      <c r="H85" s="441"/>
      <c r="I85" s="1175"/>
      <c r="J85" s="1175"/>
      <c r="K85" s="1175"/>
      <c r="L85" s="1175"/>
      <c r="M85" s="1175"/>
      <c r="N85" s="1175"/>
      <c r="O85" s="1175"/>
      <c r="P85" s="1175"/>
      <c r="Q85" s="1175"/>
      <c r="R85" s="1175"/>
      <c r="S85" s="1175"/>
    </row>
    <row r="86" spans="1:19" ht="16.5" thickTop="1" thickBot="1">
      <c r="A86" s="2331" t="s">
        <v>762</v>
      </c>
      <c r="B86" s="2365"/>
      <c r="C86" s="12"/>
      <c r="D86" s="12"/>
      <c r="E86" s="12"/>
      <c r="F86" s="12"/>
      <c r="G86" s="26"/>
      <c r="H86" s="24"/>
      <c r="I86" s="20"/>
      <c r="J86" s="20"/>
      <c r="K86" s="20"/>
      <c r="L86" s="20"/>
      <c r="M86" s="20"/>
      <c r="N86" s="20"/>
      <c r="O86" s="20"/>
      <c r="P86" s="20"/>
      <c r="Q86" s="20"/>
      <c r="R86" s="20"/>
      <c r="S86" s="20"/>
    </row>
    <row r="87" spans="1:19" ht="15.75" thickTop="1">
      <c r="A87" s="1704"/>
      <c r="B87" s="1705"/>
      <c r="C87" s="1700"/>
      <c r="D87" s="1700"/>
      <c r="E87" s="1700"/>
      <c r="F87" s="1700"/>
      <c r="G87" s="1701"/>
      <c r="H87" s="1702"/>
      <c r="I87" s="1703"/>
      <c r="J87" s="1703"/>
      <c r="K87" s="1703"/>
      <c r="L87" s="1703"/>
      <c r="M87" s="1703"/>
      <c r="N87" s="1703"/>
      <c r="O87" s="1703"/>
      <c r="P87" s="1703"/>
      <c r="Q87" s="1703"/>
      <c r="R87" s="1703"/>
      <c r="S87" s="1703"/>
    </row>
    <row r="88" spans="1:19">
      <c r="A88" s="933"/>
      <c r="B88" s="491"/>
      <c r="C88" s="422"/>
      <c r="D88" s="422"/>
      <c r="E88" s="422"/>
      <c r="F88" s="422"/>
      <c r="G88" s="831"/>
      <c r="H88" s="442"/>
      <c r="I88" s="1178"/>
      <c r="J88" s="1178"/>
      <c r="K88" s="1178"/>
      <c r="L88" s="1178"/>
      <c r="M88" s="1178"/>
      <c r="N88" s="1178"/>
      <c r="O88" s="1178"/>
      <c r="P88" s="1178"/>
      <c r="Q88" s="1178"/>
      <c r="R88" s="1178"/>
      <c r="S88" s="1178"/>
    </row>
    <row r="89" spans="1:19" ht="15.75" thickBot="1">
      <c r="A89" s="933"/>
      <c r="B89" s="491"/>
      <c r="C89" s="422"/>
      <c r="D89" s="422"/>
      <c r="E89" s="422"/>
      <c r="F89" s="422"/>
      <c r="G89" s="831"/>
      <c r="H89" s="442"/>
      <c r="I89" s="1178"/>
      <c r="J89" s="1178"/>
      <c r="K89" s="1178"/>
      <c r="L89" s="1178"/>
      <c r="M89" s="1178"/>
      <c r="N89" s="1178"/>
      <c r="O89" s="1178"/>
      <c r="P89" s="1178"/>
      <c r="Q89" s="1178"/>
      <c r="R89" s="1178"/>
      <c r="S89" s="1178"/>
    </row>
    <row r="90" spans="1:19" ht="16.5" thickTop="1" thickBot="1">
      <c r="A90" s="2331" t="s">
        <v>763</v>
      </c>
      <c r="B90" s="2365"/>
      <c r="C90" s="12"/>
      <c r="D90" s="12"/>
      <c r="E90" s="12"/>
      <c r="F90" s="12"/>
      <c r="G90" s="26"/>
      <c r="H90" s="24"/>
      <c r="I90" s="20"/>
      <c r="J90" s="20"/>
      <c r="K90" s="20"/>
      <c r="L90" s="20"/>
      <c r="M90" s="20"/>
      <c r="N90" s="20"/>
      <c r="O90" s="20"/>
      <c r="P90" s="20"/>
      <c r="Q90" s="20"/>
      <c r="R90" s="20"/>
      <c r="S90" s="20"/>
    </row>
    <row r="91" spans="1:19" ht="15.75" thickTop="1">
      <c r="A91" s="931"/>
      <c r="B91" s="481" t="s">
        <v>764</v>
      </c>
      <c r="C91" s="422"/>
      <c r="D91" s="422"/>
      <c r="E91" s="422"/>
      <c r="F91" s="422"/>
      <c r="G91" s="831"/>
      <c r="H91" s="442"/>
      <c r="I91" s="1178"/>
      <c r="J91" s="1178"/>
      <c r="K91" s="1178"/>
      <c r="L91" s="1178"/>
      <c r="M91" s="1178"/>
      <c r="N91" s="1178"/>
      <c r="O91" s="1178"/>
      <c r="P91" s="1178"/>
      <c r="Q91" s="1178"/>
      <c r="R91" s="1178"/>
      <c r="S91" s="1178"/>
    </row>
    <row r="92" spans="1:19">
      <c r="A92" s="931"/>
      <c r="B92" s="481" t="s">
        <v>765</v>
      </c>
      <c r="C92" s="422"/>
      <c r="D92" s="422"/>
      <c r="E92" s="422"/>
      <c r="F92" s="422"/>
      <c r="G92" s="831"/>
      <c r="H92" s="442"/>
      <c r="I92" s="1178"/>
      <c r="J92" s="1178"/>
      <c r="K92" s="1178"/>
      <c r="L92" s="1178"/>
      <c r="M92" s="1178"/>
      <c r="N92" s="1178"/>
      <c r="O92" s="1178"/>
      <c r="P92" s="1178"/>
      <c r="Q92" s="1178"/>
      <c r="R92" s="1178"/>
      <c r="S92" s="1178"/>
    </row>
    <row r="93" spans="1:19">
      <c r="A93" s="931"/>
      <c r="B93" s="481" t="s">
        <v>766</v>
      </c>
      <c r="C93" s="422"/>
      <c r="D93" s="422"/>
      <c r="E93" s="422"/>
      <c r="F93" s="422"/>
      <c r="G93" s="831"/>
      <c r="H93" s="442"/>
      <c r="I93" s="1178"/>
      <c r="J93" s="1178"/>
      <c r="K93" s="1178"/>
      <c r="L93" s="1178"/>
      <c r="M93" s="1178"/>
      <c r="N93" s="1178"/>
      <c r="O93" s="1178"/>
      <c r="P93" s="1178"/>
      <c r="Q93" s="1178"/>
      <c r="R93" s="1178"/>
      <c r="S93" s="1178"/>
    </row>
    <row r="94" spans="1:19">
      <c r="A94" s="931"/>
      <c r="B94" s="481" t="s">
        <v>767</v>
      </c>
      <c r="C94" s="422"/>
      <c r="D94" s="422"/>
      <c r="E94" s="422"/>
      <c r="F94" s="422"/>
      <c r="G94" s="831"/>
      <c r="H94" s="442"/>
      <c r="I94" s="1178"/>
      <c r="J94" s="1178"/>
      <c r="K94" s="1178"/>
      <c r="L94" s="1178"/>
      <c r="M94" s="1178"/>
      <c r="N94" s="1178"/>
      <c r="O94" s="1178"/>
      <c r="P94" s="1178"/>
      <c r="Q94" s="1178"/>
      <c r="R94" s="1178"/>
      <c r="S94" s="1178"/>
    </row>
    <row r="95" spans="1:19" ht="15.75" thickBot="1">
      <c r="A95" s="475"/>
      <c r="B95" s="340"/>
      <c r="C95" s="86"/>
      <c r="D95" s="86"/>
      <c r="E95" s="86"/>
      <c r="F95" s="86"/>
      <c r="G95" s="27"/>
      <c r="H95" s="25"/>
      <c r="I95" s="444"/>
      <c r="J95" s="444"/>
      <c r="K95" s="444"/>
      <c r="L95" s="444"/>
      <c r="M95" s="444"/>
      <c r="N95" s="444"/>
      <c r="O95" s="444"/>
      <c r="P95" s="444"/>
      <c r="Q95" s="444"/>
      <c r="R95" s="444"/>
      <c r="S95" s="444"/>
    </row>
    <row r="96" spans="1:19" ht="16.5" thickTop="1" thickBot="1">
      <c r="A96" s="7" t="s">
        <v>768</v>
      </c>
      <c r="B96" s="8"/>
      <c r="C96" s="12"/>
      <c r="D96" s="12"/>
      <c r="E96" s="12"/>
      <c r="F96" s="12"/>
      <c r="G96" s="26"/>
      <c r="H96" s="24"/>
      <c r="I96" s="20"/>
      <c r="J96" s="20"/>
      <c r="K96" s="20"/>
      <c r="L96" s="20"/>
      <c r="M96" s="20"/>
      <c r="N96" s="20"/>
      <c r="O96" s="20"/>
      <c r="P96" s="20"/>
      <c r="Q96" s="20"/>
      <c r="R96" s="20"/>
      <c r="S96" s="20"/>
    </row>
    <row r="97" spans="1:19" ht="15.75" thickTop="1">
      <c r="A97" s="1699"/>
      <c r="B97" s="1706" t="s">
        <v>769</v>
      </c>
      <c r="C97" s="1700"/>
      <c r="D97" s="1700"/>
      <c r="E97" s="1700"/>
      <c r="F97" s="1700"/>
      <c r="G97" s="1701"/>
      <c r="H97" s="1688"/>
      <c r="I97" s="1601"/>
      <c r="J97" s="1601"/>
      <c r="K97" s="1601"/>
      <c r="L97" s="1601"/>
      <c r="M97" s="1601"/>
      <c r="N97" s="1601"/>
      <c r="O97" s="1601"/>
      <c r="P97" s="1601"/>
      <c r="Q97" s="1601"/>
      <c r="R97" s="1601"/>
      <c r="S97" s="1601"/>
    </row>
    <row r="98" spans="1:19">
      <c r="A98" s="931"/>
      <c r="B98" s="481" t="s">
        <v>770</v>
      </c>
      <c r="C98" s="422"/>
      <c r="D98" s="422"/>
      <c r="E98" s="422"/>
      <c r="F98" s="422"/>
      <c r="G98" s="831"/>
      <c r="H98" s="445"/>
      <c r="I98" s="1182"/>
      <c r="J98" s="1182"/>
      <c r="K98" s="1182"/>
      <c r="L98" s="1182"/>
      <c r="M98" s="1182"/>
      <c r="N98" s="1182"/>
      <c r="O98" s="1182"/>
      <c r="P98" s="1182"/>
      <c r="Q98" s="1182"/>
      <c r="R98" s="1182"/>
      <c r="S98" s="1182"/>
    </row>
    <row r="99" spans="1:19" ht="15.75" thickBot="1">
      <c r="A99" s="1685"/>
      <c r="B99" s="1686" t="s">
        <v>771</v>
      </c>
      <c r="C99" s="1186"/>
      <c r="D99" s="1186"/>
      <c r="E99" s="1186"/>
      <c r="F99" s="1186"/>
      <c r="G99" s="1187"/>
      <c r="H99" s="1188"/>
      <c r="I99" s="1189"/>
      <c r="J99" s="1189"/>
      <c r="K99" s="1189"/>
      <c r="L99" s="1189"/>
      <c r="M99" s="1189"/>
      <c r="N99" s="1189"/>
      <c r="O99" s="1189"/>
      <c r="P99" s="1189"/>
      <c r="Q99" s="1189"/>
      <c r="R99" s="1189"/>
      <c r="S99" s="1189"/>
    </row>
    <row r="100" spans="1:19" ht="16.5" thickTop="1" thickBot="1"/>
    <row r="101" spans="1:19" ht="16.5" thickTop="1" thickBot="1">
      <c r="A101" s="37" t="s">
        <v>772</v>
      </c>
      <c r="B101" s="39"/>
    </row>
    <row r="102" spans="1:19" ht="15.75" thickTop="1">
      <c r="A102" s="38" t="s">
        <v>693</v>
      </c>
      <c r="B102" s="1190"/>
    </row>
    <row r="103" spans="1:19">
      <c r="A103" s="1142" t="s">
        <v>702</v>
      </c>
      <c r="B103" s="1190"/>
    </row>
    <row r="104" spans="1:19">
      <c r="A104" s="1191" t="s">
        <v>708</v>
      </c>
      <c r="B104" s="1192"/>
    </row>
    <row r="105" spans="1:19">
      <c r="A105" s="1191" t="s">
        <v>713</v>
      </c>
      <c r="B105" s="1193"/>
    </row>
    <row r="106" spans="1:19" ht="15.75" thickBot="1">
      <c r="A106" s="1194" t="s">
        <v>69</v>
      </c>
      <c r="B106" s="1195"/>
    </row>
    <row r="107" spans="1:19" ht="15.75" thickTop="1"/>
    <row r="108" spans="1:19">
      <c r="A108" s="40"/>
      <c r="B108" s="1" t="s">
        <v>1454</v>
      </c>
    </row>
    <row r="109" spans="1:19">
      <c r="A109" s="41"/>
      <c r="B109" s="1" t="s">
        <v>1455</v>
      </c>
    </row>
  </sheetData>
  <mergeCells count="47">
    <mergeCell ref="A74:B74"/>
    <mergeCell ref="A78:B78"/>
    <mergeCell ref="A82:B82"/>
    <mergeCell ref="A86:B86"/>
    <mergeCell ref="A90:B9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545205F6-FA4E-4375-9979-3E2AD6C37031}"/>
  </hyperlink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EF8A8-0DF4-457A-89FD-957801F70E27}">
  <sheetPr>
    <tabColor theme="9" tint="0.39997558519241921"/>
  </sheetPr>
  <dimension ref="A1:AO70"/>
  <sheetViews>
    <sheetView zoomScale="90" zoomScaleNormal="90" workbookViewId="0">
      <pane xSplit="2" ySplit="10" topLeftCell="F11" activePane="bottomRight" state="frozen"/>
      <selection pane="topRight" activeCell="C1" sqref="C1"/>
      <selection pane="bottomLeft" activeCell="A11" sqref="A11"/>
      <selection pane="bottomRight" activeCell="F27" sqref="F27"/>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c r="A5" s="292" t="s">
        <v>692</v>
      </c>
      <c r="B5" s="299" t="str">
        <f>'Area Calculations'!B4</f>
        <v>ERAU Residential Hall &amp; Garage Building</v>
      </c>
      <c r="C5" s="294"/>
      <c r="D5" s="263"/>
      <c r="E5" s="264"/>
      <c r="F5" s="279"/>
      <c r="G5" s="271" t="s">
        <v>693</v>
      </c>
      <c r="H5" s="2366" t="s">
        <v>414</v>
      </c>
      <c r="I5" s="2367"/>
      <c r="J5" s="2366" t="s">
        <v>1832</v>
      </c>
      <c r="K5" s="2367"/>
      <c r="L5" s="2321"/>
      <c r="M5" s="2322"/>
      <c r="N5" s="2321"/>
      <c r="O5" s="2322"/>
      <c r="P5" s="2333"/>
      <c r="Q5" s="2334"/>
      <c r="R5" s="2333"/>
      <c r="S5" s="2334"/>
      <c r="X5" s="261"/>
    </row>
    <row r="6" spans="1:24">
      <c r="A6" s="1082" t="s">
        <v>700</v>
      </c>
      <c r="B6" s="1196" t="s">
        <v>342</v>
      </c>
      <c r="C6" s="415"/>
      <c r="D6" s="416"/>
      <c r="E6" s="417"/>
      <c r="F6" s="418"/>
      <c r="G6" s="419" t="s">
        <v>702</v>
      </c>
      <c r="H6" s="2368" t="s">
        <v>1836</v>
      </c>
      <c r="I6" s="2369"/>
      <c r="J6" s="2368" t="s">
        <v>1837</v>
      </c>
      <c r="K6" s="2369"/>
      <c r="L6" s="2325"/>
      <c r="M6" s="2326"/>
      <c r="N6" s="2325"/>
      <c r="O6" s="2326"/>
      <c r="P6" s="2313"/>
      <c r="Q6" s="2314"/>
      <c r="R6" s="2313"/>
      <c r="S6" s="2314"/>
      <c r="X6" s="261"/>
    </row>
    <row r="7" spans="1:24">
      <c r="A7" s="1082" t="s">
        <v>706</v>
      </c>
      <c r="B7" s="1197" t="s">
        <v>1869</v>
      </c>
      <c r="C7" s="415"/>
      <c r="D7" s="416"/>
      <c r="E7" s="417"/>
      <c r="F7" s="418"/>
      <c r="G7" s="829" t="s">
        <v>708</v>
      </c>
      <c r="H7" s="2368" t="s">
        <v>1841</v>
      </c>
      <c r="I7" s="2369"/>
      <c r="J7" s="2368" t="s">
        <v>1842</v>
      </c>
      <c r="K7" s="2369"/>
      <c r="L7" s="2325"/>
      <c r="M7" s="2326"/>
      <c r="N7" s="2325"/>
      <c r="O7" s="2326"/>
      <c r="P7" s="2313"/>
      <c r="Q7" s="2314"/>
      <c r="R7" s="2313"/>
      <c r="S7" s="2314"/>
      <c r="X7" s="261"/>
    </row>
    <row r="8" spans="1:24">
      <c r="A8" s="1082" t="s">
        <v>712</v>
      </c>
      <c r="B8" s="1198"/>
      <c r="C8" s="415"/>
      <c r="D8" s="416"/>
      <c r="E8" s="417"/>
      <c r="F8" s="418"/>
      <c r="G8" s="829" t="s">
        <v>713</v>
      </c>
      <c r="H8" s="2343" t="s">
        <v>1845</v>
      </c>
      <c r="I8" s="2344"/>
      <c r="J8" s="2343" t="s">
        <v>1846</v>
      </c>
      <c r="K8" s="2344"/>
      <c r="L8" s="2329"/>
      <c r="M8" s="2328"/>
      <c r="N8" s="2329"/>
      <c r="O8" s="2328"/>
      <c r="P8" s="2315"/>
      <c r="Q8" s="2316"/>
      <c r="R8" s="2315"/>
      <c r="S8" s="2316"/>
      <c r="X8" s="261"/>
    </row>
    <row r="9" spans="1:24" ht="15.75" thickBot="1">
      <c r="A9" s="420"/>
      <c r="B9" s="421"/>
      <c r="C9" s="23"/>
      <c r="D9" s="265"/>
      <c r="E9" s="266"/>
      <c r="F9" s="283"/>
      <c r="G9" s="284" t="s">
        <v>717</v>
      </c>
      <c r="H9" s="2317">
        <f>I33</f>
        <v>60366</v>
      </c>
      <c r="I9" s="2318"/>
      <c r="J9" s="2317">
        <f>K33</f>
        <v>61565.279999999999</v>
      </c>
      <c r="K9" s="2318"/>
      <c r="L9" s="2317">
        <f>M33</f>
        <v>0</v>
      </c>
      <c r="M9" s="2318"/>
      <c r="N9" s="2330">
        <f>O33</f>
        <v>0</v>
      </c>
      <c r="O9" s="2330"/>
      <c r="P9" s="2317">
        <f>Q33</f>
        <v>0</v>
      </c>
      <c r="Q9" s="2318"/>
      <c r="R9" s="2317">
        <f>S33</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707"/>
      <c r="B11" s="1708" t="s">
        <v>725</v>
      </c>
      <c r="C11" s="1554"/>
      <c r="D11" s="1700"/>
      <c r="E11" s="1700"/>
      <c r="F11" s="1709"/>
      <c r="G11" s="1710"/>
      <c r="H11" s="1711"/>
      <c r="I11" s="1712"/>
      <c r="J11" s="1711"/>
      <c r="K11" s="285"/>
      <c r="L11" s="1711"/>
      <c r="M11" s="1713"/>
      <c r="N11" s="1711"/>
      <c r="O11" s="1713"/>
      <c r="P11" s="1711"/>
      <c r="Q11" s="1713"/>
      <c r="R11" s="1711"/>
      <c r="S11" s="1713"/>
    </row>
    <row r="12" spans="1:24">
      <c r="A12" s="1707"/>
      <c r="B12" s="1263" t="s">
        <v>726</v>
      </c>
      <c r="C12" s="446"/>
      <c r="D12" s="422"/>
      <c r="E12" s="422"/>
      <c r="F12" s="418"/>
      <c r="G12" s="423"/>
      <c r="H12" s="1264" t="s">
        <v>727</v>
      </c>
      <c r="I12" s="1712"/>
      <c r="J12" s="1264" t="s">
        <v>727</v>
      </c>
      <c r="K12" s="1713"/>
      <c r="L12" s="1264"/>
      <c r="M12" s="1713"/>
      <c r="N12" s="1264"/>
      <c r="O12" s="1713"/>
      <c r="P12" s="1264"/>
      <c r="Q12" s="1713"/>
      <c r="R12" s="1264"/>
      <c r="S12" s="1713"/>
    </row>
    <row r="13" spans="1:24">
      <c r="A13" s="1097"/>
      <c r="B13" s="1263" t="s">
        <v>728</v>
      </c>
      <c r="C13" s="446"/>
      <c r="D13" s="422"/>
      <c r="E13" s="422"/>
      <c r="F13" s="418"/>
      <c r="G13" s="423"/>
      <c r="H13" s="1264" t="s">
        <v>727</v>
      </c>
      <c r="I13" s="1712"/>
      <c r="J13" s="1264" t="s">
        <v>727</v>
      </c>
      <c r="K13" s="1713"/>
      <c r="L13" s="1264"/>
      <c r="M13" s="1713"/>
      <c r="N13" s="1264"/>
      <c r="O13" s="1713"/>
      <c r="P13" s="1264"/>
      <c r="Q13" s="1713"/>
      <c r="R13" s="1264"/>
      <c r="S13" s="1713"/>
    </row>
    <row r="14" spans="1:24">
      <c r="A14" s="1707"/>
      <c r="B14" s="1265" t="s">
        <v>729</v>
      </c>
      <c r="C14" s="446"/>
      <c r="D14" s="422"/>
      <c r="E14" s="422"/>
      <c r="F14" s="418"/>
      <c r="G14" s="423"/>
      <c r="H14" s="1264" t="s">
        <v>730</v>
      </c>
      <c r="I14" s="1712"/>
      <c r="J14" s="1264" t="s">
        <v>730</v>
      </c>
      <c r="K14" s="1713"/>
      <c r="L14" s="1264"/>
      <c r="M14" s="1713"/>
      <c r="N14" s="1264"/>
      <c r="O14" s="1713"/>
      <c r="P14" s="1264"/>
      <c r="Q14" s="1713"/>
      <c r="R14" s="1264"/>
      <c r="S14" s="1713"/>
    </row>
    <row r="15" spans="1:24">
      <c r="A15" s="1097"/>
      <c r="B15" s="1265" t="s">
        <v>731</v>
      </c>
      <c r="C15" s="446"/>
      <c r="D15" s="422"/>
      <c r="E15" s="422"/>
      <c r="F15" s="418"/>
      <c r="G15" s="423"/>
      <c r="H15" s="1264" t="s">
        <v>727</v>
      </c>
      <c r="I15" s="1712"/>
      <c r="J15" s="1264" t="s">
        <v>727</v>
      </c>
      <c r="K15" s="1712"/>
      <c r="L15" s="1264"/>
      <c r="M15" s="1712"/>
      <c r="N15" s="1264"/>
      <c r="O15" s="1712"/>
      <c r="P15" s="1264"/>
      <c r="Q15" s="1712"/>
      <c r="R15" s="1264"/>
      <c r="S15" s="1712"/>
    </row>
    <row r="16" spans="1:24">
      <c r="A16" s="1707"/>
      <c r="B16" s="1265" t="s">
        <v>732</v>
      </c>
      <c r="C16" s="446"/>
      <c r="D16" s="422"/>
      <c r="E16" s="422"/>
      <c r="F16" s="418"/>
      <c r="G16" s="423"/>
      <c r="H16" s="1264" t="s">
        <v>727</v>
      </c>
      <c r="I16" s="1712"/>
      <c r="J16" s="1264" t="s">
        <v>727</v>
      </c>
      <c r="K16" s="1713"/>
      <c r="L16" s="1264"/>
      <c r="M16" s="1713"/>
      <c r="N16" s="1264"/>
      <c r="O16" s="1713"/>
      <c r="P16" s="1264"/>
      <c r="Q16" s="1713"/>
      <c r="R16" s="1264"/>
      <c r="S16" s="1713"/>
    </row>
    <row r="17" spans="1:41">
      <c r="A17" s="1097"/>
      <c r="B17" s="1265" t="s">
        <v>733</v>
      </c>
      <c r="C17" s="446"/>
      <c r="D17" s="422"/>
      <c r="E17" s="422"/>
      <c r="F17" s="418"/>
      <c r="G17" s="423"/>
      <c r="H17" s="1264" t="s">
        <v>727</v>
      </c>
      <c r="I17" s="1712"/>
      <c r="J17" s="1264" t="s">
        <v>727</v>
      </c>
      <c r="K17" s="1713"/>
      <c r="L17" s="1264"/>
      <c r="M17" s="1713"/>
      <c r="N17" s="1264"/>
      <c r="O17" s="1713"/>
      <c r="P17" s="1264"/>
      <c r="Q17" s="1713"/>
      <c r="R17" s="1264"/>
      <c r="S17" s="1713"/>
    </row>
    <row r="18" spans="1:41">
      <c r="A18" s="1707"/>
      <c r="B18" s="534" t="s">
        <v>734</v>
      </c>
      <c r="C18" s="446"/>
      <c r="D18" s="422"/>
      <c r="E18" s="422"/>
      <c r="F18" s="418"/>
      <c r="G18" s="423"/>
      <c r="H18" s="1264" t="s">
        <v>730</v>
      </c>
      <c r="I18" s="1712"/>
      <c r="J18" s="1264" t="s">
        <v>730</v>
      </c>
      <c r="K18" s="1713"/>
      <c r="L18" s="1264"/>
      <c r="M18" s="1713"/>
      <c r="N18" s="1264"/>
      <c r="O18" s="1713"/>
      <c r="P18" s="1264"/>
      <c r="Q18" s="1713"/>
      <c r="R18" s="1264"/>
      <c r="S18" s="1713"/>
    </row>
    <row r="19" spans="1:41">
      <c r="A19" s="1707"/>
      <c r="B19" s="1154" t="s">
        <v>736</v>
      </c>
      <c r="C19" s="446"/>
      <c r="D19" s="422"/>
      <c r="E19" s="422"/>
      <c r="F19" s="418"/>
      <c r="G19" s="423"/>
      <c r="H19" s="1264"/>
      <c r="I19" s="1712"/>
      <c r="J19" s="1264"/>
      <c r="K19" s="1713"/>
      <c r="L19" s="1264"/>
      <c r="M19" s="1713"/>
      <c r="N19" s="1264"/>
      <c r="O19" s="1713"/>
      <c r="P19" s="1264"/>
      <c r="Q19" s="1713"/>
      <c r="R19" s="1264"/>
      <c r="S19" s="1713"/>
    </row>
    <row r="20" spans="1:41">
      <c r="A20" s="1097"/>
      <c r="B20" s="1714" t="s">
        <v>737</v>
      </c>
      <c r="C20" s="447"/>
      <c r="D20" s="425"/>
      <c r="E20" s="425"/>
      <c r="F20" s="426"/>
      <c r="G20" s="427"/>
      <c r="H20" s="1156"/>
      <c r="I20" s="1715"/>
      <c r="J20" s="1156"/>
      <c r="K20" s="1716"/>
      <c r="L20" s="1156"/>
      <c r="M20" s="1716"/>
      <c r="N20" s="1156"/>
      <c r="O20" s="1716"/>
      <c r="P20" s="1156"/>
      <c r="Q20" s="1716"/>
      <c r="R20" s="1156"/>
      <c r="S20" s="1716"/>
    </row>
    <row r="21" spans="1:41">
      <c r="A21" s="1707"/>
      <c r="B21" s="1642" t="s">
        <v>1870</v>
      </c>
      <c r="C21" s="70"/>
      <c r="D21" s="86"/>
      <c r="E21" s="86"/>
      <c r="F21" s="280"/>
      <c r="G21" s="274"/>
      <c r="H21" s="1264"/>
      <c r="I21" s="428"/>
      <c r="J21" s="1264"/>
      <c r="K21" s="428"/>
      <c r="L21" s="1264"/>
      <c r="M21" s="428"/>
      <c r="N21" s="1264"/>
      <c r="O21" s="428"/>
      <c r="P21" s="1264"/>
      <c r="Q21" s="428"/>
      <c r="R21" s="1264"/>
      <c r="S21" s="428"/>
    </row>
    <row r="22" spans="1:41" s="69" customFormat="1">
      <c r="A22" s="1097"/>
      <c r="B22" s="1644"/>
      <c r="C22" s="479" t="s">
        <v>1871</v>
      </c>
      <c r="D22" s="422"/>
      <c r="E22" s="422"/>
      <c r="F22" s="429"/>
      <c r="G22" s="423"/>
      <c r="H22" s="1264"/>
      <c r="I22" s="1107"/>
      <c r="J22" s="1264"/>
      <c r="K22" s="1106"/>
      <c r="L22" s="1264"/>
      <c r="M22" s="1106"/>
      <c r="N22" s="1264"/>
      <c r="O22" s="1107"/>
      <c r="P22" s="1264"/>
      <c r="Q22" s="1107"/>
      <c r="R22" s="1264"/>
      <c r="S22" s="1106"/>
      <c r="T22"/>
      <c r="U22"/>
      <c r="V22"/>
      <c r="W22"/>
      <c r="X22"/>
      <c r="Y22"/>
      <c r="Z22"/>
      <c r="AA22"/>
      <c r="AB22"/>
      <c r="AC22"/>
      <c r="AD22"/>
      <c r="AE22"/>
      <c r="AF22"/>
      <c r="AG22"/>
      <c r="AH22"/>
      <c r="AI22"/>
      <c r="AJ22"/>
      <c r="AK22"/>
      <c r="AL22"/>
      <c r="AM22"/>
      <c r="AN22"/>
      <c r="AO22"/>
    </row>
    <row r="23" spans="1:41">
      <c r="A23" s="1707"/>
      <c r="B23" s="1643" t="s">
        <v>1872</v>
      </c>
      <c r="C23" s="415"/>
      <c r="D23" s="430">
        <f>15+50</f>
        <v>65</v>
      </c>
      <c r="E23" s="422" t="s">
        <v>468</v>
      </c>
      <c r="F23" s="1717"/>
      <c r="G23" s="1718"/>
      <c r="H23" s="1264" t="s">
        <v>727</v>
      </c>
      <c r="I23" s="1719">
        <v>53405</v>
      </c>
      <c r="J23" s="1264" t="s">
        <v>727</v>
      </c>
      <c r="K23" s="1719">
        <v>44438</v>
      </c>
      <c r="L23" s="1264"/>
      <c r="M23" s="1713"/>
      <c r="N23" s="1264"/>
      <c r="O23" s="1713"/>
      <c r="P23" s="1264"/>
      <c r="Q23" s="1713"/>
      <c r="R23" s="1264"/>
      <c r="S23" s="1713"/>
    </row>
    <row r="24" spans="1:41">
      <c r="A24" s="1097"/>
      <c r="B24" s="1643" t="s">
        <v>1873</v>
      </c>
      <c r="C24" s="415"/>
      <c r="D24" s="430">
        <f>11+45</f>
        <v>56</v>
      </c>
      <c r="E24" s="422" t="s">
        <v>468</v>
      </c>
      <c r="F24" s="431"/>
      <c r="G24" s="1718"/>
      <c r="H24" s="1264" t="s">
        <v>727</v>
      </c>
      <c r="I24" s="1713"/>
      <c r="J24" s="1264" t="s">
        <v>727</v>
      </c>
      <c r="K24" s="1713"/>
      <c r="L24" s="1264"/>
      <c r="M24" s="1713"/>
      <c r="N24" s="1264"/>
      <c r="O24" s="1713"/>
      <c r="P24" s="1264"/>
      <c r="Q24" s="1713"/>
      <c r="R24" s="1264"/>
      <c r="S24" s="1713"/>
    </row>
    <row r="25" spans="1:41">
      <c r="A25" s="1707"/>
      <c r="B25" s="1643" t="s">
        <v>1874</v>
      </c>
      <c r="C25" s="415"/>
      <c r="D25" s="430">
        <f>1</f>
        <v>1</v>
      </c>
      <c r="E25" s="422" t="s">
        <v>468</v>
      </c>
      <c r="F25" s="431"/>
      <c r="G25" s="1718"/>
      <c r="H25" s="1264" t="s">
        <v>727</v>
      </c>
      <c r="I25" s="1713"/>
      <c r="J25" s="1273" t="s">
        <v>1035</v>
      </c>
      <c r="K25" s="1720">
        <v>7500</v>
      </c>
      <c r="L25" s="1264"/>
      <c r="M25" s="1713"/>
      <c r="N25" s="1264"/>
      <c r="O25" s="1713"/>
      <c r="P25" s="1264"/>
      <c r="Q25" s="1713"/>
      <c r="R25" s="1264"/>
      <c r="S25" s="1713"/>
    </row>
    <row r="26" spans="1:41">
      <c r="A26" s="1707"/>
      <c r="B26" s="1643" t="s">
        <v>1858</v>
      </c>
      <c r="C26" s="415"/>
      <c r="D26" s="430"/>
      <c r="E26" s="422"/>
      <c r="F26" s="431"/>
      <c r="G26" s="1718"/>
      <c r="H26" s="1264" t="s">
        <v>682</v>
      </c>
      <c r="I26" s="1713"/>
      <c r="J26" s="1273" t="s">
        <v>1035</v>
      </c>
      <c r="K26" s="1720">
        <f>K23*0.06</f>
        <v>2666.2799999999997</v>
      </c>
      <c r="L26" s="1264"/>
      <c r="M26" s="1713"/>
      <c r="N26" s="1264"/>
      <c r="O26" s="1713"/>
      <c r="P26" s="1264"/>
      <c r="Q26" s="1713"/>
      <c r="R26" s="1264"/>
      <c r="S26" s="1713"/>
    </row>
    <row r="27" spans="1:41">
      <c r="A27" s="1097"/>
      <c r="B27" s="1643" t="s">
        <v>1180</v>
      </c>
      <c r="C27" s="415"/>
      <c r="D27" s="430">
        <v>1</v>
      </c>
      <c r="E27" s="422" t="s">
        <v>462</v>
      </c>
      <c r="F27" s="431"/>
      <c r="G27" s="1718"/>
      <c r="H27" s="1264" t="s">
        <v>727</v>
      </c>
      <c r="I27" s="1719">
        <v>6961</v>
      </c>
      <c r="J27" s="1273" t="s">
        <v>1035</v>
      </c>
      <c r="K27" s="1720">
        <v>6961</v>
      </c>
      <c r="L27" s="1264"/>
      <c r="M27" s="1713"/>
      <c r="N27" s="1264"/>
      <c r="O27" s="1713"/>
      <c r="P27" s="1264"/>
      <c r="Q27" s="1713"/>
      <c r="R27" s="1264"/>
      <c r="S27" s="1713"/>
    </row>
    <row r="28" spans="1:41" ht="15.75" thickBot="1">
      <c r="A28" s="1707"/>
      <c r="B28" s="1163"/>
      <c r="C28" s="23"/>
      <c r="D28" s="87"/>
      <c r="E28" s="86"/>
      <c r="F28" s="431"/>
      <c r="G28" s="830"/>
      <c r="H28" s="1264"/>
      <c r="I28" s="1713"/>
      <c r="J28" s="1264"/>
      <c r="K28" s="1713"/>
      <c r="L28" s="1264"/>
      <c r="M28" s="1713"/>
      <c r="N28" s="1264"/>
      <c r="O28" s="1713"/>
      <c r="P28" s="1264"/>
      <c r="Q28" s="1713"/>
      <c r="R28" s="1264"/>
      <c r="S28" s="1713"/>
    </row>
    <row r="29" spans="1:41" ht="15.75" thickTop="1">
      <c r="A29" s="296"/>
      <c r="B29" s="301"/>
      <c r="C29" s="297"/>
      <c r="D29" s="15"/>
      <c r="E29" s="16"/>
      <c r="F29" s="282" t="s">
        <v>753</v>
      </c>
      <c r="G29" s="272"/>
      <c r="H29" s="273"/>
      <c r="I29" s="273">
        <f>SUM(I12:I28)</f>
        <v>60366</v>
      </c>
      <c r="J29" s="273"/>
      <c r="K29" s="273">
        <f>SUM(K12:K28)</f>
        <v>61565.279999999999</v>
      </c>
      <c r="L29" s="273"/>
      <c r="M29" s="273">
        <f>SUM(M12:M28)</f>
        <v>0</v>
      </c>
      <c r="N29" s="273"/>
      <c r="O29" s="273">
        <f>SUM(O12:O28)</f>
        <v>0</v>
      </c>
      <c r="P29" s="273"/>
      <c r="Q29" s="273">
        <f>SUM(Q12:Q28)</f>
        <v>0</v>
      </c>
      <c r="R29" s="273"/>
      <c r="S29" s="273">
        <f>SUM(S12:S28)</f>
        <v>0</v>
      </c>
    </row>
    <row r="30" spans="1:41">
      <c r="A30" s="1114"/>
      <c r="B30" s="1164"/>
      <c r="C30" s="432"/>
      <c r="D30" s="433"/>
      <c r="E30" s="434"/>
      <c r="F30" s="435" t="s">
        <v>754</v>
      </c>
      <c r="G30" s="436"/>
      <c r="H30" s="1165">
        <v>0</v>
      </c>
      <c r="I30" s="1166"/>
      <c r="J30" s="1165">
        <v>0</v>
      </c>
      <c r="K30" s="1166"/>
      <c r="L30" s="1165">
        <v>0</v>
      </c>
      <c r="M30" s="1166"/>
      <c r="N30" s="1165">
        <v>0</v>
      </c>
      <c r="O30" s="1166"/>
      <c r="P30" s="1165">
        <v>0</v>
      </c>
      <c r="Q30" s="1166"/>
      <c r="R30" s="1165">
        <v>0</v>
      </c>
      <c r="S30" s="1166"/>
    </row>
    <row r="31" spans="1:41">
      <c r="A31" s="1114"/>
      <c r="B31" s="1164"/>
      <c r="C31" s="432"/>
      <c r="D31" s="433"/>
      <c r="E31" s="434"/>
      <c r="F31" s="435" t="s">
        <v>755</v>
      </c>
      <c r="G31" s="436"/>
      <c r="H31" s="1166"/>
      <c r="I31" s="1166">
        <f>H30*I29</f>
        <v>0</v>
      </c>
      <c r="J31" s="1166"/>
      <c r="K31" s="1166">
        <f>J30*K29</f>
        <v>0</v>
      </c>
      <c r="L31" s="1166"/>
      <c r="M31" s="1166">
        <f>L30*M29</f>
        <v>0</v>
      </c>
      <c r="N31" s="1166"/>
      <c r="O31" s="1166">
        <f>N30*O29</f>
        <v>0</v>
      </c>
      <c r="P31" s="1166"/>
      <c r="Q31" s="1166">
        <f>P30*Q29</f>
        <v>0</v>
      </c>
      <c r="R31" s="1166"/>
      <c r="S31" s="1166">
        <f>R30*S29</f>
        <v>0</v>
      </c>
    </row>
    <row r="32" spans="1:41">
      <c r="A32" s="1114"/>
      <c r="B32" s="1164"/>
      <c r="C32" s="432"/>
      <c r="D32" s="433"/>
      <c r="E32" s="434"/>
      <c r="F32" s="435"/>
      <c r="G32" s="436"/>
      <c r="H32" s="1166"/>
      <c r="I32" s="1166"/>
      <c r="J32" s="1166"/>
      <c r="K32" s="1166"/>
      <c r="L32" s="1166"/>
      <c r="M32" s="1166"/>
      <c r="N32" s="1166"/>
      <c r="O32" s="1166"/>
      <c r="P32" s="1166"/>
      <c r="Q32" s="1166"/>
      <c r="R32" s="1166"/>
      <c r="S32" s="1166"/>
    </row>
    <row r="33" spans="1:34">
      <c r="A33" s="1114"/>
      <c r="B33" s="1164"/>
      <c r="C33" s="432"/>
      <c r="D33" s="433"/>
      <c r="E33" s="434"/>
      <c r="F33" s="435" t="s">
        <v>756</v>
      </c>
      <c r="G33" s="436"/>
      <c r="H33" s="1166"/>
      <c r="I33" s="1166">
        <f>SUM(I29:I31)</f>
        <v>60366</v>
      </c>
      <c r="J33" s="1166"/>
      <c r="K33" s="1166">
        <f>SUM(K29:K31)</f>
        <v>61565.279999999999</v>
      </c>
      <c r="L33" s="1166"/>
      <c r="M33" s="1166">
        <f>SUM(M29:M31)</f>
        <v>0</v>
      </c>
      <c r="N33" s="1166"/>
      <c r="O33" s="1166">
        <f>SUM(O29:O31)</f>
        <v>0</v>
      </c>
      <c r="P33" s="1166"/>
      <c r="Q33" s="1166">
        <f>SUM(Q29:Q31)</f>
        <v>0</v>
      </c>
      <c r="R33" s="1166"/>
      <c r="S33" s="1166">
        <f>SUM(S29:S31)</f>
        <v>0</v>
      </c>
    </row>
    <row r="34" spans="1:34">
      <c r="A34" s="1114"/>
      <c r="B34" s="1164"/>
      <c r="C34" s="432"/>
      <c r="D34" s="433"/>
      <c r="E34" s="434"/>
      <c r="F34" s="437" t="s">
        <v>757</v>
      </c>
      <c r="G34" s="438"/>
      <c r="H34" s="1167"/>
      <c r="I34" s="1167">
        <f>I33/'Area Calculations'!$G$4</f>
        <v>0.10431978543642846</v>
      </c>
      <c r="J34" s="1167"/>
      <c r="K34" s="1167">
        <f>K33/'Area Calculations'!$G$4</f>
        <v>0.1063922870479018</v>
      </c>
      <c r="L34" s="1167"/>
      <c r="M34" s="1167">
        <f>M33/'Area Calculations'!$G$4</f>
        <v>0</v>
      </c>
      <c r="N34" s="1167"/>
      <c r="O34" s="1167">
        <f>O33/'Area Calculations'!$G$4</f>
        <v>0</v>
      </c>
      <c r="P34" s="1167"/>
      <c r="Q34" s="1167">
        <f>Q33/'Area Calculations'!$G$4</f>
        <v>0</v>
      </c>
      <c r="R34" s="1167"/>
      <c r="S34" s="1167">
        <f>S33/'Area Calculations'!$G$4</f>
        <v>0</v>
      </c>
    </row>
    <row r="35" spans="1:34">
      <c r="A35" s="1114"/>
      <c r="B35" s="1164"/>
      <c r="C35" s="432"/>
      <c r="D35" s="433"/>
      <c r="E35" s="434"/>
      <c r="F35" s="437" t="s">
        <v>758</v>
      </c>
      <c r="G35" s="438"/>
      <c r="H35" s="1167"/>
      <c r="I35" s="1167">
        <f>I33/'Area Calculations'!$G$9</f>
        <v>564.1682242990654</v>
      </c>
      <c r="J35" s="1167"/>
      <c r="K35" s="1167">
        <f>K33/'Area Calculations'!$G$9</f>
        <v>575.37644859813088</v>
      </c>
      <c r="L35" s="1167"/>
      <c r="M35" s="1167">
        <f>M33/'Area Calculations'!$G$9</f>
        <v>0</v>
      </c>
      <c r="N35" s="1167"/>
      <c r="O35" s="1167">
        <f>O33/'Area Calculations'!$G$9</f>
        <v>0</v>
      </c>
      <c r="P35" s="1167"/>
      <c r="Q35" s="1167">
        <f>Q33/'Area Calculations'!$G$9</f>
        <v>0</v>
      </c>
      <c r="R35" s="1167"/>
      <c r="S35" s="1167">
        <f>S33/'Area Calculations'!$G$9</f>
        <v>0</v>
      </c>
    </row>
    <row r="36" spans="1:34" ht="15.75" thickBot="1">
      <c r="A36" s="1114"/>
      <c r="B36" s="1164"/>
      <c r="C36" s="432"/>
      <c r="D36" s="433"/>
      <c r="E36" s="434"/>
      <c r="F36" s="439"/>
      <c r="G36" s="436"/>
      <c r="H36" s="1168"/>
      <c r="I36" s="1168"/>
      <c r="J36" s="1168"/>
      <c r="K36" s="1168"/>
      <c r="L36" s="1168"/>
      <c r="M36" s="1168"/>
      <c r="N36" s="1168"/>
      <c r="O36" s="1168"/>
      <c r="P36" s="1168"/>
      <c r="Q36" s="1168"/>
      <c r="R36" s="1168"/>
      <c r="S36" s="1168"/>
    </row>
    <row r="37" spans="1:34" ht="16.5" thickTop="1" thickBot="1">
      <c r="A37" s="2331" t="s">
        <v>759</v>
      </c>
      <c r="B37" s="2332"/>
      <c r="C37" s="298"/>
      <c r="D37" s="12"/>
      <c r="E37" s="12"/>
      <c r="F37" s="12"/>
      <c r="G37" s="26"/>
      <c r="H37" s="24"/>
      <c r="I37" s="20"/>
      <c r="J37" s="20"/>
      <c r="K37" s="20"/>
      <c r="L37" s="20"/>
      <c r="M37" s="20"/>
      <c r="N37" s="20"/>
      <c r="O37" s="20"/>
      <c r="P37" s="20"/>
      <c r="Q37" s="20"/>
      <c r="R37" s="20"/>
      <c r="S37" s="20"/>
    </row>
    <row r="38" spans="1:34" ht="15.75" thickTop="1">
      <c r="A38" s="1721"/>
      <c r="B38" s="1105"/>
      <c r="C38" s="1548"/>
      <c r="D38" s="1700"/>
      <c r="E38" s="1700"/>
      <c r="F38" s="1700"/>
      <c r="G38" s="1722"/>
      <c r="H38" s="1723"/>
      <c r="I38" s="1724"/>
      <c r="J38" s="1724"/>
      <c r="K38" s="1724"/>
      <c r="L38" s="1724"/>
      <c r="M38" s="1724"/>
      <c r="N38" s="1724"/>
      <c r="O38" s="1724"/>
      <c r="P38" s="1724"/>
      <c r="Q38" s="1724"/>
      <c r="R38" s="1724"/>
      <c r="S38" s="1724"/>
    </row>
    <row r="39" spans="1:34">
      <c r="A39" s="1721"/>
      <c r="B39" s="1105"/>
      <c r="C39" s="1548"/>
      <c r="D39" s="1700"/>
      <c r="E39" s="1700"/>
      <c r="F39" s="1700"/>
      <c r="G39" s="1722"/>
      <c r="H39" s="1723"/>
      <c r="I39" s="1724"/>
      <c r="J39" s="1724"/>
      <c r="K39" s="1724"/>
      <c r="L39" s="1724"/>
      <c r="M39" s="1724"/>
      <c r="N39" s="1724"/>
      <c r="O39" s="1724"/>
      <c r="P39" s="1724"/>
      <c r="Q39" s="1724"/>
      <c r="R39" s="1724"/>
      <c r="S39" s="1724"/>
    </row>
    <row r="40" spans="1:34" ht="15.75" thickBot="1">
      <c r="A40" s="1721"/>
      <c r="B40" s="1105"/>
      <c r="C40" s="1548"/>
      <c r="D40" s="1700"/>
      <c r="E40" s="1700"/>
      <c r="F40" s="1700"/>
      <c r="G40" s="1722"/>
      <c r="H40" s="1723"/>
      <c r="I40" s="1724"/>
      <c r="J40" s="1724"/>
      <c r="K40" s="1724"/>
      <c r="L40" s="1724"/>
      <c r="M40" s="1724"/>
      <c r="N40" s="1724"/>
      <c r="O40" s="1724"/>
      <c r="P40" s="1724"/>
      <c r="Q40" s="1724"/>
      <c r="R40" s="1724"/>
      <c r="S40" s="1724"/>
    </row>
    <row r="41" spans="1:34" s="2" customFormat="1" ht="16.5" thickTop="1" thickBot="1">
      <c r="A41" s="2331" t="s">
        <v>760</v>
      </c>
      <c r="B41" s="2332"/>
      <c r="C41" s="298"/>
      <c r="D41" s="12"/>
      <c r="E41" s="12"/>
      <c r="F41" s="12"/>
      <c r="G41" s="26"/>
      <c r="H41" s="24"/>
      <c r="I41" s="20"/>
      <c r="J41" s="20"/>
      <c r="K41" s="20"/>
      <c r="L41" s="20"/>
      <c r="M41" s="20"/>
      <c r="N41" s="20"/>
      <c r="O41" s="20"/>
      <c r="P41" s="20"/>
      <c r="Q41" s="20"/>
      <c r="R41" s="20"/>
      <c r="S41" s="20"/>
      <c r="T41"/>
      <c r="U41"/>
      <c r="V41"/>
      <c r="W41"/>
      <c r="X41"/>
      <c r="Y41"/>
      <c r="Z41"/>
      <c r="AA41"/>
      <c r="AB41"/>
      <c r="AC41"/>
      <c r="AD41"/>
      <c r="AE41"/>
      <c r="AF41"/>
      <c r="AG41"/>
      <c r="AH41"/>
    </row>
    <row r="42" spans="1:34" s="2" customFormat="1" ht="15.75" thickTop="1">
      <c r="A42" s="1721"/>
      <c r="B42" s="1105"/>
      <c r="C42" s="1548"/>
      <c r="D42" s="1700"/>
      <c r="E42" s="1700"/>
      <c r="F42" s="1700"/>
      <c r="G42" s="1722"/>
      <c r="H42" s="1723"/>
      <c r="I42" s="1724"/>
      <c r="J42" s="1724"/>
      <c r="K42" s="1724"/>
      <c r="L42" s="1724"/>
      <c r="M42" s="1724"/>
      <c r="N42" s="1724"/>
      <c r="O42" s="1724"/>
      <c r="P42" s="1724"/>
      <c r="Q42" s="1724"/>
      <c r="R42" s="1724"/>
      <c r="S42" s="1724"/>
      <c r="T42"/>
      <c r="U42"/>
      <c r="V42"/>
      <c r="W42"/>
      <c r="X42"/>
      <c r="Y42"/>
      <c r="Z42"/>
      <c r="AA42"/>
      <c r="AB42"/>
      <c r="AC42"/>
      <c r="AD42"/>
      <c r="AE42"/>
      <c r="AF42"/>
      <c r="AG42"/>
      <c r="AH42"/>
    </row>
    <row r="43" spans="1:34" s="2" customFormat="1">
      <c r="A43" s="1721"/>
      <c r="B43" s="1105"/>
      <c r="C43" s="1548"/>
      <c r="D43" s="1700"/>
      <c r="E43" s="1700"/>
      <c r="F43" s="1700"/>
      <c r="G43" s="1722"/>
      <c r="H43" s="1723"/>
      <c r="I43" s="1724"/>
      <c r="J43" s="1724"/>
      <c r="K43" s="1724"/>
      <c r="L43" s="1724"/>
      <c r="M43" s="1724"/>
      <c r="N43" s="1724"/>
      <c r="O43" s="1724"/>
      <c r="P43" s="1724"/>
      <c r="Q43" s="1724"/>
      <c r="R43" s="1724"/>
      <c r="S43" s="1724"/>
      <c r="T43"/>
      <c r="U43"/>
      <c r="V43"/>
      <c r="W43"/>
      <c r="X43"/>
      <c r="Y43"/>
      <c r="Z43"/>
      <c r="AA43"/>
      <c r="AB43"/>
      <c r="AC43"/>
      <c r="AD43"/>
      <c r="AE43"/>
      <c r="AF43"/>
      <c r="AG43"/>
      <c r="AH43"/>
    </row>
    <row r="44" spans="1:34" ht="15.75" thickBot="1">
      <c r="A44" s="1721"/>
      <c r="B44" s="1105"/>
      <c r="C44" s="1548"/>
      <c r="D44" s="1700"/>
      <c r="E44" s="1700"/>
      <c r="F44" s="1700"/>
      <c r="G44" s="1722"/>
      <c r="H44" s="1723"/>
      <c r="I44" s="1724"/>
      <c r="J44" s="1724"/>
      <c r="K44" s="1724"/>
      <c r="L44" s="1724"/>
      <c r="M44" s="1724"/>
      <c r="N44" s="1724"/>
      <c r="O44" s="1724"/>
      <c r="P44" s="1724"/>
      <c r="Q44" s="1724"/>
      <c r="R44" s="1724"/>
      <c r="S44" s="1724"/>
    </row>
    <row r="45" spans="1:34" s="2" customFormat="1" ht="16.5" thickTop="1" thickBot="1">
      <c r="A45" s="2331" t="s">
        <v>761</v>
      </c>
      <c r="B45" s="2332"/>
      <c r="C45" s="298"/>
      <c r="D45" s="12"/>
      <c r="E45" s="12"/>
      <c r="F45" s="12"/>
      <c r="G45" s="26"/>
      <c r="H45" s="24"/>
      <c r="I45" s="20"/>
      <c r="J45" s="20"/>
      <c r="K45" s="20"/>
      <c r="L45" s="20"/>
      <c r="M45" s="20"/>
      <c r="N45" s="20"/>
      <c r="O45" s="20"/>
      <c r="P45" s="20"/>
      <c r="Q45" s="20"/>
      <c r="R45" s="20"/>
      <c r="S45" s="20"/>
      <c r="T45"/>
      <c r="U45"/>
      <c r="V45"/>
      <c r="W45"/>
      <c r="X45"/>
      <c r="Y45"/>
      <c r="Z45"/>
      <c r="AA45"/>
      <c r="AB45"/>
      <c r="AC45"/>
      <c r="AD45"/>
      <c r="AE45"/>
      <c r="AF45"/>
      <c r="AG45"/>
      <c r="AH45"/>
    </row>
    <row r="46" spans="1:34" s="2" customFormat="1" ht="15.75" thickTop="1">
      <c r="A46" s="1721"/>
      <c r="B46" s="1105" t="s">
        <v>1875</v>
      </c>
      <c r="C46" s="1548"/>
      <c r="D46" s="1700">
        <v>418</v>
      </c>
      <c r="E46" s="1700" t="s">
        <v>468</v>
      </c>
      <c r="F46" s="1725">
        <v>125</v>
      </c>
      <c r="G46" s="1726">
        <f>F46*D46</f>
        <v>52250</v>
      </c>
      <c r="H46" s="1723"/>
      <c r="I46" s="1724"/>
      <c r="J46" s="1724"/>
      <c r="K46" s="1724"/>
      <c r="L46" s="1724"/>
      <c r="M46" s="1724"/>
      <c r="N46" s="1724"/>
      <c r="O46" s="1724"/>
      <c r="P46" s="1724"/>
      <c r="Q46" s="1724"/>
      <c r="R46" s="1724"/>
      <c r="S46" s="1724"/>
      <c r="T46"/>
      <c r="U46"/>
      <c r="V46"/>
      <c r="W46"/>
      <c r="X46"/>
      <c r="Y46"/>
      <c r="Z46"/>
      <c r="AA46"/>
      <c r="AB46"/>
      <c r="AC46"/>
      <c r="AD46"/>
      <c r="AE46"/>
      <c r="AF46"/>
      <c r="AG46"/>
      <c r="AH46"/>
    </row>
    <row r="47" spans="1:34" s="2" customFormat="1">
      <c r="A47" s="1124"/>
      <c r="B47" s="1105"/>
      <c r="C47" s="415"/>
      <c r="D47" s="422"/>
      <c r="E47" s="422"/>
      <c r="F47" s="422"/>
      <c r="G47" s="831"/>
      <c r="H47" s="440"/>
      <c r="I47" s="1173"/>
      <c r="J47" s="1173"/>
      <c r="K47" s="1173"/>
      <c r="L47" s="1173"/>
      <c r="M47" s="1173"/>
      <c r="N47" s="1173"/>
      <c r="O47" s="1173"/>
      <c r="P47" s="1173"/>
      <c r="Q47" s="1173"/>
      <c r="R47" s="1173"/>
      <c r="S47" s="1173"/>
      <c r="T47"/>
      <c r="U47"/>
      <c r="V47"/>
      <c r="W47"/>
      <c r="X47"/>
      <c r="Y47"/>
      <c r="Z47"/>
      <c r="AA47"/>
      <c r="AB47"/>
      <c r="AC47"/>
      <c r="AD47"/>
      <c r="AE47"/>
      <c r="AF47"/>
      <c r="AG47"/>
      <c r="AH47"/>
    </row>
    <row r="48" spans="1:34" s="2" customFormat="1" ht="15.75" thickBot="1">
      <c r="A48" s="1126"/>
      <c r="B48" s="1174"/>
      <c r="C48" s="415"/>
      <c r="D48" s="422"/>
      <c r="E48" s="422"/>
      <c r="F48" s="422"/>
      <c r="G48" s="831"/>
      <c r="H48" s="441"/>
      <c r="I48" s="1175"/>
      <c r="J48" s="1175"/>
      <c r="K48" s="1175"/>
      <c r="L48" s="1175"/>
      <c r="M48" s="1175"/>
      <c r="N48" s="1175"/>
      <c r="O48" s="1175"/>
      <c r="P48" s="1175"/>
      <c r="Q48" s="1175"/>
      <c r="R48" s="1175"/>
      <c r="S48" s="1175"/>
    </row>
    <row r="49" spans="1:34" s="2" customFormat="1" ht="16.5" thickTop="1" thickBot="1">
      <c r="A49" s="2331" t="s">
        <v>762</v>
      </c>
      <c r="B49" s="2332"/>
      <c r="C49" s="298"/>
      <c r="D49" s="12"/>
      <c r="E49" s="12"/>
      <c r="F49" s="12"/>
      <c r="G49" s="26"/>
      <c r="H49" s="24"/>
      <c r="I49" s="20"/>
      <c r="J49" s="20"/>
      <c r="K49" s="20"/>
      <c r="L49" s="20"/>
      <c r="M49" s="20"/>
      <c r="N49" s="20"/>
      <c r="O49" s="20"/>
      <c r="P49" s="20"/>
      <c r="Q49" s="20"/>
      <c r="R49" s="20"/>
      <c r="S49" s="20"/>
      <c r="T49"/>
      <c r="U49"/>
      <c r="V49"/>
      <c r="W49"/>
      <c r="X49"/>
      <c r="Y49"/>
      <c r="Z49"/>
      <c r="AA49"/>
      <c r="AB49"/>
      <c r="AC49"/>
      <c r="AD49"/>
      <c r="AE49"/>
      <c r="AF49"/>
      <c r="AG49"/>
      <c r="AH49"/>
    </row>
    <row r="50" spans="1:34" ht="15.75" thickTop="1">
      <c r="A50" s="1727"/>
      <c r="B50" s="1728"/>
      <c r="C50" s="1548"/>
      <c r="D50" s="1700"/>
      <c r="E50" s="1700"/>
      <c r="F50" s="1700"/>
      <c r="G50" s="1722"/>
      <c r="H50" s="1723"/>
      <c r="I50" s="1724"/>
      <c r="J50" s="1724"/>
      <c r="K50" s="1724"/>
      <c r="L50" s="1724"/>
      <c r="M50" s="1724"/>
      <c r="N50" s="1724"/>
      <c r="O50" s="1724"/>
      <c r="P50" s="1724"/>
      <c r="Q50" s="1724"/>
      <c r="R50" s="1724"/>
      <c r="S50" s="1724"/>
      <c r="T50" s="2"/>
      <c r="U50" s="2"/>
      <c r="V50" s="2"/>
      <c r="W50" s="2"/>
      <c r="X50" s="2"/>
      <c r="Y50" s="2"/>
      <c r="Z50" s="2"/>
      <c r="AA50" s="2"/>
      <c r="AB50" s="2"/>
      <c r="AC50" s="2"/>
      <c r="AD50" s="2"/>
      <c r="AE50" s="2"/>
      <c r="AF50" s="2"/>
      <c r="AG50" s="2"/>
      <c r="AH50" s="2"/>
    </row>
    <row r="51" spans="1:34">
      <c r="A51" s="1126"/>
      <c r="B51" s="1174"/>
      <c r="C51" s="415"/>
      <c r="D51" s="422"/>
      <c r="E51" s="422"/>
      <c r="F51" s="422"/>
      <c r="G51" s="831"/>
      <c r="H51" s="442"/>
      <c r="I51" s="1178"/>
      <c r="J51" s="1178"/>
      <c r="K51" s="1178"/>
      <c r="L51" s="1178"/>
      <c r="M51" s="1178"/>
      <c r="N51" s="1178"/>
      <c r="O51" s="1178"/>
      <c r="P51" s="1178"/>
      <c r="Q51" s="1178"/>
      <c r="R51" s="1178"/>
      <c r="S51" s="1178"/>
      <c r="T51" s="2"/>
      <c r="U51" s="2"/>
      <c r="V51" s="2"/>
      <c r="W51" s="2"/>
      <c r="X51" s="2"/>
      <c r="Y51" s="2"/>
      <c r="Z51" s="2"/>
      <c r="AA51" s="2"/>
      <c r="AB51" s="2"/>
      <c r="AC51" s="2"/>
      <c r="AD51" s="2"/>
      <c r="AE51" s="2"/>
      <c r="AF51" s="2"/>
      <c r="AG51" s="2"/>
      <c r="AH51" s="2"/>
    </row>
    <row r="52" spans="1:34" ht="15.75" thickBot="1">
      <c r="A52" s="1126"/>
      <c r="B52" s="1174"/>
      <c r="C52" s="415"/>
      <c r="D52" s="422"/>
      <c r="E52" s="422"/>
      <c r="F52" s="422"/>
      <c r="G52" s="831"/>
      <c r="H52" s="442"/>
      <c r="I52" s="1178"/>
      <c r="J52" s="1178"/>
      <c r="K52" s="1178"/>
      <c r="L52" s="1178"/>
      <c r="M52" s="1178"/>
      <c r="N52" s="1178"/>
      <c r="O52" s="1178"/>
      <c r="P52" s="1178"/>
      <c r="Q52" s="1178"/>
      <c r="R52" s="1178"/>
      <c r="S52" s="1178"/>
      <c r="T52" s="2"/>
      <c r="U52" s="2"/>
      <c r="V52" s="2"/>
      <c r="W52" s="2"/>
      <c r="X52" s="2"/>
      <c r="Y52" s="2"/>
      <c r="Z52" s="2"/>
      <c r="AA52" s="2"/>
      <c r="AB52" s="2"/>
      <c r="AC52" s="2"/>
      <c r="AD52" s="2"/>
      <c r="AE52" s="2"/>
      <c r="AF52" s="2"/>
      <c r="AG52" s="2"/>
      <c r="AH52" s="2"/>
    </row>
    <row r="53" spans="1:34" ht="16.5" thickTop="1" thickBot="1">
      <c r="A53" s="2331" t="s">
        <v>763</v>
      </c>
      <c r="B53" s="2332"/>
      <c r="C53" s="298"/>
      <c r="D53" s="12"/>
      <c r="E53" s="12"/>
      <c r="F53" s="12"/>
      <c r="G53" s="26"/>
      <c r="H53" s="24"/>
      <c r="I53" s="20"/>
      <c r="J53" s="20"/>
      <c r="K53" s="20"/>
      <c r="L53" s="20"/>
      <c r="M53" s="20"/>
      <c r="N53" s="20"/>
      <c r="O53" s="20"/>
      <c r="P53" s="20"/>
      <c r="Q53" s="20"/>
      <c r="R53" s="20"/>
      <c r="S53" s="20"/>
    </row>
    <row r="54" spans="1:34" ht="15.75" thickTop="1">
      <c r="A54" s="1124"/>
      <c r="B54" s="1105" t="s">
        <v>764</v>
      </c>
      <c r="C54" s="415"/>
      <c r="D54" s="422"/>
      <c r="E54" s="422"/>
      <c r="F54" s="422"/>
      <c r="G54" s="831"/>
      <c r="H54" s="442"/>
      <c r="I54" s="1178"/>
      <c r="J54" s="1178"/>
      <c r="K54" s="1178"/>
      <c r="L54" s="1178"/>
      <c r="M54" s="1178"/>
      <c r="N54" s="1178"/>
      <c r="O54" s="1178"/>
      <c r="P54" s="1178"/>
      <c r="Q54" s="1178"/>
      <c r="R54" s="1178"/>
      <c r="S54" s="1178"/>
    </row>
    <row r="55" spans="1:34">
      <c r="A55" s="1124"/>
      <c r="B55" s="1105" t="s">
        <v>765</v>
      </c>
      <c r="C55" s="415"/>
      <c r="D55" s="422"/>
      <c r="E55" s="422"/>
      <c r="F55" s="422"/>
      <c r="G55" s="831"/>
      <c r="H55" s="442"/>
      <c r="I55" s="1178"/>
      <c r="J55" s="1178"/>
      <c r="K55" s="1178"/>
      <c r="L55" s="1178"/>
      <c r="M55" s="1178"/>
      <c r="N55" s="1178"/>
      <c r="O55" s="1178"/>
      <c r="P55" s="1178"/>
      <c r="Q55" s="1178"/>
      <c r="R55" s="1178"/>
      <c r="S55" s="1178"/>
    </row>
    <row r="56" spans="1:34">
      <c r="A56" s="1124"/>
      <c r="B56" s="1105" t="s">
        <v>766</v>
      </c>
      <c r="C56" s="415"/>
      <c r="D56" s="422"/>
      <c r="E56" s="422"/>
      <c r="F56" s="422"/>
      <c r="G56" s="831"/>
      <c r="H56" s="442"/>
      <c r="I56" s="1178"/>
      <c r="J56" s="1178"/>
      <c r="K56" s="1178"/>
      <c r="L56" s="1178"/>
      <c r="M56" s="1178"/>
      <c r="N56" s="1178"/>
      <c r="O56" s="1178"/>
      <c r="P56" s="1178"/>
      <c r="Q56" s="1178"/>
      <c r="R56" s="1178"/>
      <c r="S56" s="1178"/>
    </row>
    <row r="57" spans="1:34">
      <c r="A57" s="1124"/>
      <c r="B57" s="1105" t="s">
        <v>767</v>
      </c>
      <c r="C57" s="415"/>
      <c r="D57" s="422"/>
      <c r="E57" s="422"/>
      <c r="F57" s="422"/>
      <c r="G57" s="831"/>
      <c r="H57" s="442"/>
      <c r="I57" s="1178"/>
      <c r="J57" s="1178"/>
      <c r="K57" s="1178"/>
      <c r="L57" s="1178"/>
      <c r="M57" s="1178"/>
      <c r="N57" s="1178"/>
      <c r="O57" s="1178"/>
      <c r="P57" s="1178"/>
      <c r="Q57" s="1178"/>
      <c r="R57" s="1178"/>
      <c r="S57" s="1178"/>
    </row>
    <row r="58" spans="1:34" ht="15.75" thickBot="1">
      <c r="A58" s="443"/>
      <c r="B58" s="421"/>
      <c r="C58" s="23"/>
      <c r="D58" s="86"/>
      <c r="E58" s="86"/>
      <c r="F58" s="86"/>
      <c r="G58" s="27"/>
      <c r="H58" s="25"/>
      <c r="I58" s="444"/>
      <c r="J58" s="444"/>
      <c r="K58" s="444"/>
      <c r="L58" s="444"/>
      <c r="M58" s="444"/>
      <c r="N58" s="444"/>
      <c r="O58" s="444"/>
      <c r="P58" s="444"/>
      <c r="Q58" s="444"/>
      <c r="R58" s="444"/>
      <c r="S58" s="444"/>
    </row>
    <row r="59" spans="1:34" ht="16.5" thickTop="1" thickBot="1">
      <c r="A59" s="72" t="s">
        <v>768</v>
      </c>
      <c r="B59" s="73"/>
      <c r="C59" s="298"/>
      <c r="D59" s="12"/>
      <c r="E59" s="12"/>
      <c r="F59" s="12"/>
      <c r="G59" s="26"/>
      <c r="H59" s="24"/>
      <c r="I59" s="20"/>
      <c r="J59" s="20"/>
      <c r="K59" s="20"/>
      <c r="L59" s="20"/>
      <c r="M59" s="20"/>
      <c r="N59" s="20"/>
      <c r="O59" s="20"/>
      <c r="P59" s="20"/>
      <c r="Q59" s="20"/>
      <c r="R59" s="20"/>
      <c r="S59" s="20"/>
    </row>
    <row r="60" spans="1:34" ht="15.75" thickTop="1">
      <c r="A60" s="1721"/>
      <c r="B60" s="1729" t="s">
        <v>769</v>
      </c>
      <c r="C60" s="1548"/>
      <c r="D60" s="1700"/>
      <c r="E60" s="1700"/>
      <c r="F60" s="1700"/>
      <c r="G60" s="1722"/>
      <c r="H60" s="1730"/>
      <c r="I60" s="1731"/>
      <c r="J60" s="1731"/>
      <c r="K60" s="1731"/>
      <c r="L60" s="1731"/>
      <c r="M60" s="1731"/>
      <c r="N60" s="1731"/>
      <c r="O60" s="1731"/>
      <c r="P60" s="1731"/>
      <c r="Q60" s="1731"/>
      <c r="R60" s="1731"/>
      <c r="S60" s="1731"/>
    </row>
    <row r="61" spans="1:34">
      <c r="A61" s="1124"/>
      <c r="B61" s="1105" t="s">
        <v>770</v>
      </c>
      <c r="C61" s="415"/>
      <c r="D61" s="422"/>
      <c r="E61" s="422"/>
      <c r="F61" s="422"/>
      <c r="G61" s="831"/>
      <c r="H61" s="445"/>
      <c r="I61" s="1182"/>
      <c r="J61" s="1182"/>
      <c r="K61" s="1182"/>
      <c r="L61" s="1182"/>
      <c r="M61" s="1182"/>
      <c r="N61" s="1182"/>
      <c r="O61" s="1182"/>
      <c r="P61" s="1182"/>
      <c r="Q61" s="1182"/>
      <c r="R61" s="1182"/>
      <c r="S61" s="1182"/>
    </row>
    <row r="62" spans="1:34" ht="15.75" thickBot="1">
      <c r="A62" s="1183"/>
      <c r="B62" s="1184" t="s">
        <v>771</v>
      </c>
      <c r="C62" s="1185"/>
      <c r="D62" s="1186"/>
      <c r="E62" s="1186"/>
      <c r="F62" s="1186"/>
      <c r="G62" s="1187"/>
      <c r="H62" s="1188"/>
      <c r="I62" s="1189"/>
      <c r="J62" s="1189"/>
      <c r="K62" s="1189"/>
      <c r="L62" s="1189"/>
      <c r="M62" s="1189"/>
      <c r="N62" s="1189"/>
      <c r="O62" s="1189"/>
      <c r="P62" s="1189"/>
      <c r="Q62" s="1189"/>
      <c r="R62" s="1189"/>
      <c r="S62" s="1189"/>
    </row>
    <row r="63" spans="1:34" ht="16.5" thickTop="1" thickBot="1">
      <c r="F63" s="2"/>
      <c r="G63" s="2"/>
      <c r="H63" s="2"/>
      <c r="I63" s="2"/>
      <c r="J63" s="2"/>
      <c r="K63" s="2"/>
      <c r="L63" s="2"/>
      <c r="M63" s="2"/>
      <c r="N63" s="2"/>
      <c r="O63" s="2"/>
      <c r="P63" s="2"/>
      <c r="Q63" s="2"/>
      <c r="R63" s="2"/>
      <c r="S63" s="2"/>
    </row>
    <row r="64" spans="1:34" ht="16.5" thickTop="1" thickBot="1">
      <c r="A64" s="37" t="s">
        <v>772</v>
      </c>
      <c r="B64" s="39"/>
      <c r="F64" s="2"/>
      <c r="G64" s="2"/>
      <c r="H64" s="2"/>
      <c r="I64" s="2"/>
      <c r="J64" s="2"/>
      <c r="K64" s="2"/>
      <c r="L64" s="2"/>
      <c r="M64" s="2"/>
      <c r="N64" s="2"/>
      <c r="O64" s="2"/>
      <c r="P64" s="2"/>
      <c r="Q64" s="2"/>
      <c r="R64" s="2"/>
      <c r="S64" s="2"/>
    </row>
    <row r="65" spans="1:19" ht="15.75" thickTop="1">
      <c r="A65" s="38" t="s">
        <v>693</v>
      </c>
      <c r="B65" s="1277" t="str">
        <f>H5</f>
        <v>SDI</v>
      </c>
      <c r="F65" s="2"/>
      <c r="G65" s="2"/>
      <c r="H65" s="2"/>
      <c r="I65" s="2"/>
      <c r="J65" s="2"/>
      <c r="K65" s="2"/>
      <c r="L65" s="2"/>
      <c r="M65" s="2"/>
      <c r="N65" s="2"/>
      <c r="O65" s="2"/>
      <c r="P65" s="2"/>
      <c r="Q65" s="2"/>
      <c r="R65" s="2"/>
      <c r="S65" s="2"/>
    </row>
    <row r="66" spans="1:19">
      <c r="A66" s="1142" t="s">
        <v>702</v>
      </c>
      <c r="B66" s="1277" t="str">
        <f>H6</f>
        <v>Mike Cooper</v>
      </c>
      <c r="F66" s="2"/>
      <c r="G66" s="2"/>
      <c r="H66" s="2"/>
      <c r="I66" s="2"/>
      <c r="J66" s="2"/>
      <c r="K66" s="2"/>
      <c r="L66" s="2"/>
      <c r="M66" s="2"/>
      <c r="N66" s="2"/>
      <c r="O66" s="2"/>
      <c r="P66" s="2"/>
      <c r="Q66" s="2"/>
      <c r="R66" s="2"/>
      <c r="S66" s="2"/>
    </row>
    <row r="67" spans="1:19">
      <c r="A67" s="1191" t="s">
        <v>708</v>
      </c>
      <c r="B67" s="1192" t="str">
        <f>H7</f>
        <v>727-753-8078</v>
      </c>
      <c r="F67" s="2"/>
      <c r="G67" s="2"/>
      <c r="H67" s="2"/>
      <c r="I67" s="2"/>
      <c r="J67" s="2"/>
      <c r="K67" s="2"/>
      <c r="L67" s="2"/>
      <c r="M67" s="2"/>
      <c r="N67" s="2"/>
      <c r="O67" s="2"/>
      <c r="P67" s="2"/>
      <c r="Q67" s="2"/>
      <c r="R67" s="2"/>
      <c r="S67" s="2"/>
    </row>
    <row r="68" spans="1:19">
      <c r="A68" s="1191" t="s">
        <v>713</v>
      </c>
      <c r="B68" s="1278" t="str">
        <f>H8</f>
        <v>Mcooper@specialtiesdirect.com</v>
      </c>
      <c r="F68" s="2"/>
      <c r="G68" s="2"/>
      <c r="H68" s="2"/>
      <c r="I68" s="2"/>
      <c r="J68" s="2"/>
      <c r="K68" s="2"/>
      <c r="L68" s="2"/>
      <c r="M68" s="2"/>
      <c r="N68" s="2"/>
      <c r="O68" s="2"/>
      <c r="P68" s="2"/>
      <c r="Q68" s="2"/>
      <c r="R68" s="2"/>
      <c r="S68" s="2"/>
    </row>
    <row r="69" spans="1:19" ht="15.75" thickBot="1">
      <c r="A69" s="1194" t="s">
        <v>69</v>
      </c>
      <c r="B69" s="1231">
        <f>H9</f>
        <v>60366</v>
      </c>
      <c r="F69" s="2"/>
      <c r="G69" s="2"/>
      <c r="H69" s="2"/>
      <c r="I69" s="2"/>
      <c r="J69" s="2"/>
      <c r="K69" s="2"/>
      <c r="L69" s="2"/>
      <c r="M69" s="2"/>
      <c r="N69" s="2"/>
      <c r="O69" s="2"/>
      <c r="P69" s="2"/>
      <c r="Q69" s="2"/>
      <c r="R69" s="2"/>
      <c r="S69" s="2"/>
    </row>
    <row r="70" spans="1:19" ht="15.75" thickTop="1"/>
  </sheetData>
  <mergeCells count="41">
    <mergeCell ref="A37:B37"/>
    <mergeCell ref="A41:B41"/>
    <mergeCell ref="A45:B45"/>
    <mergeCell ref="A49:B49"/>
    <mergeCell ref="A53:B53"/>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4:I4"/>
    <mergeCell ref="J4:K4"/>
    <mergeCell ref="L4:M4"/>
    <mergeCell ref="N4:O4"/>
    <mergeCell ref="P4:Q4"/>
    <mergeCell ref="R4:S4"/>
    <mergeCell ref="H5:I5"/>
    <mergeCell ref="J5:K5"/>
    <mergeCell ref="L5:M5"/>
    <mergeCell ref="N5:O5"/>
    <mergeCell ref="P5:Q5"/>
  </mergeCells>
  <conditionalFormatting sqref="H11:H19">
    <cfRule type="cellIs" dxfId="331" priority="3" operator="equal">
      <formula>"X"</formula>
    </cfRule>
    <cfRule type="cellIs" dxfId="330" priority="4" operator="equal">
      <formula>"I"</formula>
    </cfRule>
  </conditionalFormatting>
  <conditionalFormatting sqref="J11:J19">
    <cfRule type="cellIs" dxfId="329" priority="1" operator="equal">
      <formula>"X"</formula>
    </cfRule>
    <cfRule type="cellIs" dxfId="328" priority="2" operator="equal">
      <formula>"I"</formula>
    </cfRule>
  </conditionalFormatting>
  <conditionalFormatting sqref="L11:L19 N11:N19 P11:P19 R11:R19 H21:H28 J21:J28 L21:L28 N21:N28 P21:P28 R21:R28">
    <cfRule type="cellIs" dxfId="327" priority="17" operator="equal">
      <formula>"X"</formula>
    </cfRule>
    <cfRule type="cellIs" dxfId="326" priority="18" operator="equal">
      <formula>"I"</formula>
    </cfRule>
  </conditionalFormatting>
  <hyperlinks>
    <hyperlink ref="B4" location="'Cost Summary'!A1" display="BACK TO SUMMARY SHEET" xr:uid="{7BBCA38B-B50F-4BDF-A674-D42B687B2A3E}"/>
    <hyperlink ref="H8:I8" r:id="rId1" display="Mcooper@specialtiesdirect.com" xr:uid="{183E6A6A-C699-46C0-87B4-4CBE4F791330}"/>
    <hyperlink ref="J8:K8" r:id="rId2" display="tj-terrick@cfl.rr.com" xr:uid="{3228C06C-D070-42B5-8B9F-C0EFC037E77E}"/>
  </hyperlinks>
  <pageMargins left="0.7" right="0.7" top="0.75" bottom="0.75" header="0.3" footer="0.3"/>
  <pageSetup orientation="portrait"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5DE5-D4D4-49FD-9281-8D2A88638A28}">
  <dimension ref="A1:S90"/>
  <sheetViews>
    <sheetView zoomScale="85" zoomScaleNormal="85" workbookViewId="0">
      <pane xSplit="2" ySplit="9" topLeftCell="C34" activePane="bottomRight" state="frozen"/>
      <selection pane="topRight" activeCell="C1" sqref="C1"/>
      <selection pane="bottomLeft" activeCell="A11" sqref="A11"/>
      <selection pane="bottomRight" activeCell="I52" sqref="I52:I53"/>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85"/>
      <c r="F1" s="64"/>
      <c r="G1" s="62" t="s">
        <v>679</v>
      </c>
    </row>
    <row r="2" spans="1:19" ht="15.75" thickBot="1">
      <c r="E2" s="85"/>
      <c r="F2" s="61"/>
      <c r="G2" s="62" t="s">
        <v>681</v>
      </c>
      <c r="H2" s="2364"/>
      <c r="I2" s="2364"/>
      <c r="J2" s="2364"/>
      <c r="K2" s="2364"/>
      <c r="L2" s="2364"/>
      <c r="M2" s="2364"/>
      <c r="N2" s="2364"/>
      <c r="O2" s="2364"/>
      <c r="P2" s="2364"/>
      <c r="Q2" s="2364"/>
      <c r="R2" s="2364"/>
      <c r="S2" s="2364"/>
    </row>
    <row r="3" spans="1:19" ht="21" thickBot="1">
      <c r="B3" s="74" t="s">
        <v>684</v>
      </c>
      <c r="E3" s="85"/>
      <c r="F3" s="63"/>
      <c r="G3" s="62" t="s">
        <v>683</v>
      </c>
      <c r="H3" s="2319" t="s">
        <v>686</v>
      </c>
      <c r="I3" s="2320"/>
      <c r="J3" s="2319" t="s">
        <v>687</v>
      </c>
      <c r="K3" s="2320"/>
      <c r="L3" s="2319" t="s">
        <v>688</v>
      </c>
      <c r="M3" s="2320"/>
      <c r="N3" s="2319" t="s">
        <v>689</v>
      </c>
      <c r="O3" s="2320"/>
      <c r="P3" s="2319" t="s">
        <v>773</v>
      </c>
      <c r="Q3" s="2320"/>
      <c r="R3" s="2319" t="s">
        <v>774</v>
      </c>
      <c r="S3" s="2320"/>
    </row>
    <row r="4" spans="1:19" ht="15.75" thickTop="1">
      <c r="A4" s="3" t="s">
        <v>692</v>
      </c>
      <c r="B4" s="4" t="str">
        <f>'Area Calculations'!B4</f>
        <v>ERAU Residential Hall &amp; Garage Building</v>
      </c>
      <c r="C4" s="5"/>
      <c r="D4" s="5"/>
      <c r="E4" s="5"/>
      <c r="F4" s="5"/>
      <c r="G4" s="6" t="s">
        <v>693</v>
      </c>
      <c r="H4" s="2362"/>
      <c r="I4" s="2363"/>
      <c r="J4" s="2376"/>
      <c r="K4" s="2363"/>
      <c r="L4" s="2376"/>
      <c r="M4" s="2363"/>
      <c r="N4" s="2376"/>
      <c r="O4" s="2363"/>
      <c r="P4" s="2376"/>
      <c r="Q4" s="2363"/>
      <c r="R4" s="2376"/>
      <c r="S4" s="2363"/>
    </row>
    <row r="5" spans="1:19">
      <c r="A5" s="930" t="s">
        <v>700</v>
      </c>
      <c r="B5" s="481" t="s">
        <v>1876</v>
      </c>
      <c r="C5" s="422"/>
      <c r="D5" s="422"/>
      <c r="E5" s="422"/>
      <c r="F5" s="422"/>
      <c r="G5" s="466" t="s">
        <v>702</v>
      </c>
      <c r="H5" s="2359"/>
      <c r="I5" s="2360"/>
      <c r="J5" s="2378"/>
      <c r="K5" s="2360"/>
      <c r="L5" s="2378"/>
      <c r="M5" s="2360"/>
      <c r="N5" s="2378"/>
      <c r="O5" s="2360"/>
      <c r="P5" s="2378"/>
      <c r="Q5" s="2360"/>
      <c r="R5" s="2378"/>
      <c r="S5" s="2360"/>
    </row>
    <row r="6" spans="1:19">
      <c r="A6" s="930" t="s">
        <v>706</v>
      </c>
      <c r="B6" s="482" t="s">
        <v>1877</v>
      </c>
      <c r="C6" s="422"/>
      <c r="D6" s="422"/>
      <c r="E6" s="422"/>
      <c r="F6" s="422"/>
      <c r="G6" s="466" t="s">
        <v>708</v>
      </c>
      <c r="H6" s="2361"/>
      <c r="I6" s="2358"/>
      <c r="J6" s="2377"/>
      <c r="K6" s="2358"/>
      <c r="L6" s="2377"/>
      <c r="M6" s="2358"/>
      <c r="N6" s="2377"/>
      <c r="O6" s="2358"/>
      <c r="P6" s="2377"/>
      <c r="Q6" s="2358"/>
      <c r="R6" s="2377"/>
      <c r="S6" s="2358"/>
    </row>
    <row r="7" spans="1:19">
      <c r="A7" s="930" t="s">
        <v>712</v>
      </c>
      <c r="B7" s="483"/>
      <c r="C7" s="422"/>
      <c r="D7" s="422"/>
      <c r="E7" s="422"/>
      <c r="F7" s="422"/>
      <c r="G7" s="466" t="s">
        <v>713</v>
      </c>
      <c r="H7" s="2355"/>
      <c r="I7" s="2356"/>
      <c r="J7" s="2381"/>
      <c r="K7" s="2356"/>
      <c r="L7" s="2381"/>
      <c r="M7" s="2356"/>
      <c r="N7" s="2381"/>
      <c r="O7" s="2356"/>
      <c r="P7" s="2381"/>
      <c r="Q7" s="2356"/>
      <c r="R7" s="2381"/>
      <c r="S7" s="2356"/>
    </row>
    <row r="8" spans="1:19" ht="15.75" thickBot="1">
      <c r="A8" s="467" t="s">
        <v>717</v>
      </c>
      <c r="B8" s="340"/>
      <c r="C8" s="86"/>
      <c r="D8" s="86"/>
      <c r="E8" s="86"/>
      <c r="F8" s="86"/>
      <c r="G8" s="467" t="s">
        <v>717</v>
      </c>
      <c r="H8" s="2379">
        <f>I51</f>
        <v>0</v>
      </c>
      <c r="I8" s="2380"/>
      <c r="J8" s="2379">
        <f>K51</f>
        <v>0</v>
      </c>
      <c r="K8" s="2380"/>
      <c r="L8" s="2379">
        <f>M51</f>
        <v>0</v>
      </c>
      <c r="M8" s="2380"/>
      <c r="N8" s="2379">
        <f>O51</f>
        <v>0</v>
      </c>
      <c r="O8" s="2380"/>
      <c r="P8" s="2379">
        <f>Q51</f>
        <v>0</v>
      </c>
      <c r="Q8" s="2380"/>
      <c r="R8" s="2379">
        <f>S51</f>
        <v>0</v>
      </c>
      <c r="S8" s="2380"/>
    </row>
    <row r="9" spans="1:19" ht="31.5" thickTop="1" thickBot="1">
      <c r="A9" s="7" t="s">
        <v>1452</v>
      </c>
      <c r="B9" s="8"/>
      <c r="C9" s="9" t="s">
        <v>718</v>
      </c>
      <c r="D9" s="9" t="s">
        <v>719</v>
      </c>
      <c r="E9" s="9" t="s">
        <v>720</v>
      </c>
      <c r="F9" s="9" t="s">
        <v>721</v>
      </c>
      <c r="G9" s="10" t="s">
        <v>722</v>
      </c>
      <c r="H9" s="11" t="s">
        <v>723</v>
      </c>
      <c r="I9" s="11" t="s">
        <v>724</v>
      </c>
      <c r="J9" s="11" t="s">
        <v>723</v>
      </c>
      <c r="K9" s="11" t="s">
        <v>724</v>
      </c>
      <c r="L9" s="11" t="s">
        <v>723</v>
      </c>
      <c r="M9" s="11" t="s">
        <v>724</v>
      </c>
      <c r="N9" s="11" t="s">
        <v>723</v>
      </c>
      <c r="O9" s="11" t="s">
        <v>724</v>
      </c>
      <c r="P9" s="11" t="s">
        <v>723</v>
      </c>
      <c r="Q9" s="11" t="s">
        <v>724</v>
      </c>
      <c r="R9" s="11" t="s">
        <v>723</v>
      </c>
      <c r="S9" s="11" t="s">
        <v>724</v>
      </c>
    </row>
    <row r="10" spans="1:19" ht="15.75" hidden="1" thickTop="1">
      <c r="A10" s="931"/>
      <c r="B10" s="1732" t="s">
        <v>1453</v>
      </c>
      <c r="C10" s="422"/>
      <c r="D10" s="422"/>
      <c r="E10" s="422"/>
      <c r="F10" s="422"/>
      <c r="G10" s="468"/>
      <c r="H10" s="1649"/>
      <c r="I10" s="1649"/>
      <c r="J10" s="1649"/>
      <c r="K10" s="1649"/>
      <c r="L10" s="1649"/>
      <c r="M10" s="1649"/>
      <c r="N10" s="1649"/>
      <c r="O10" s="1649"/>
      <c r="P10" s="1649"/>
      <c r="Q10" s="1649"/>
      <c r="R10" s="1649"/>
      <c r="S10" s="1649"/>
    </row>
    <row r="11" spans="1:19" hidden="1">
      <c r="A11" s="931"/>
      <c r="B11" s="481" t="e">
        <f>'Area Calculations'!#REF!</f>
        <v>#REF!</v>
      </c>
      <c r="C11" s="484" t="s">
        <v>1035</v>
      </c>
      <c r="D11" s="422"/>
      <c r="E11" s="422"/>
      <c r="F11" s="422"/>
      <c r="G11" s="468"/>
      <c r="H11" s="1649"/>
      <c r="I11" s="1649"/>
      <c r="J11" s="1649"/>
      <c r="K11" s="1649"/>
      <c r="L11" s="1649"/>
      <c r="M11" s="1649"/>
      <c r="N11" s="1649"/>
      <c r="O11" s="1649"/>
      <c r="P11" s="1649"/>
      <c r="Q11" s="1649"/>
      <c r="R11" s="1649"/>
      <c r="S11" s="1649"/>
    </row>
    <row r="12" spans="1:19" hidden="1">
      <c r="A12" s="931"/>
      <c r="B12" s="481" t="e">
        <f>'Area Calculations'!#REF!</f>
        <v>#REF!</v>
      </c>
      <c r="C12" s="484" t="s">
        <v>1035</v>
      </c>
      <c r="D12" s="422"/>
      <c r="E12" s="422"/>
      <c r="F12" s="422"/>
      <c r="G12" s="468"/>
      <c r="H12" s="1649"/>
      <c r="I12" s="1649"/>
      <c r="J12" s="1649"/>
      <c r="K12" s="1649"/>
      <c r="L12" s="1649"/>
      <c r="M12" s="1649"/>
      <c r="N12" s="1649"/>
      <c r="O12" s="1649"/>
      <c r="P12" s="1649"/>
      <c r="Q12" s="1649"/>
      <c r="R12" s="1649"/>
      <c r="S12" s="1649"/>
    </row>
    <row r="13" spans="1:19" hidden="1">
      <c r="A13" s="931"/>
      <c r="B13" s="481" t="e">
        <f>'Area Calculations'!#REF!</f>
        <v>#REF!</v>
      </c>
      <c r="C13" s="484" t="s">
        <v>1035</v>
      </c>
      <c r="D13" s="422"/>
      <c r="E13" s="422"/>
      <c r="F13" s="422"/>
      <c r="G13" s="468"/>
      <c r="H13" s="1649"/>
      <c r="I13" s="1649"/>
      <c r="J13" s="1649"/>
      <c r="K13" s="1649"/>
      <c r="L13" s="1649"/>
      <c r="M13" s="1649"/>
      <c r="N13" s="1649"/>
      <c r="O13" s="1649"/>
      <c r="P13" s="1649"/>
      <c r="Q13" s="1649"/>
      <c r="R13" s="1649"/>
      <c r="S13" s="1649"/>
    </row>
    <row r="14" spans="1:19" hidden="1">
      <c r="A14" s="931"/>
      <c r="B14" s="481" t="e">
        <f>'Area Calculations'!#REF!</f>
        <v>#REF!</v>
      </c>
      <c r="C14" s="484" t="s">
        <v>1035</v>
      </c>
      <c r="D14" s="422"/>
      <c r="E14" s="422"/>
      <c r="F14" s="422"/>
      <c r="G14" s="468"/>
      <c r="H14" s="1649"/>
      <c r="I14" s="1649"/>
      <c r="J14" s="1649"/>
      <c r="K14" s="1649"/>
      <c r="L14" s="1649"/>
      <c r="M14" s="1649"/>
      <c r="N14" s="1649"/>
      <c r="O14" s="1649"/>
      <c r="P14" s="1649"/>
      <c r="Q14" s="1649"/>
      <c r="R14" s="1649"/>
      <c r="S14" s="1649"/>
    </row>
    <row r="15" spans="1:19" hidden="1">
      <c r="A15" s="931"/>
      <c r="B15" s="481" t="e">
        <f>'Area Calculations'!#REF!</f>
        <v>#REF!</v>
      </c>
      <c r="C15" s="484" t="s">
        <v>1035</v>
      </c>
      <c r="D15" s="422"/>
      <c r="E15" s="422"/>
      <c r="F15" s="422"/>
      <c r="G15" s="468"/>
      <c r="H15" s="1649"/>
      <c r="I15" s="1649"/>
      <c r="J15" s="1649"/>
      <c r="K15" s="1649"/>
      <c r="L15" s="1649"/>
      <c r="M15" s="1649"/>
      <c r="N15" s="1649"/>
      <c r="O15" s="1649"/>
      <c r="P15" s="1649"/>
      <c r="Q15" s="1649"/>
      <c r="R15" s="1649"/>
      <c r="S15" s="1649"/>
    </row>
    <row r="16" spans="1:19" hidden="1">
      <c r="A16" s="931"/>
      <c r="B16" s="481" t="e">
        <f>'Area Calculations'!#REF!</f>
        <v>#REF!</v>
      </c>
      <c r="C16" s="484" t="s">
        <v>1035</v>
      </c>
      <c r="D16" s="422"/>
      <c r="E16" s="422"/>
      <c r="F16" s="422"/>
      <c r="G16" s="468"/>
      <c r="H16" s="1649"/>
      <c r="I16" s="1649"/>
      <c r="J16" s="1649"/>
      <c r="K16" s="1649"/>
      <c r="L16" s="1649"/>
      <c r="M16" s="1649"/>
      <c r="N16" s="1649"/>
      <c r="O16" s="1649"/>
      <c r="P16" s="1649"/>
      <c r="Q16" s="1649"/>
      <c r="R16" s="1649"/>
      <c r="S16" s="1649"/>
    </row>
    <row r="17" spans="1:19" hidden="1">
      <c r="A17" s="931"/>
      <c r="B17" s="481" t="e">
        <f>'Area Calculations'!#REF!</f>
        <v>#REF!</v>
      </c>
      <c r="C17" s="484" t="s">
        <v>1035</v>
      </c>
      <c r="D17" s="422"/>
      <c r="E17" s="422"/>
      <c r="F17" s="422"/>
      <c r="G17" s="468"/>
      <c r="H17" s="1649"/>
      <c r="I17" s="1649"/>
      <c r="J17" s="1649"/>
      <c r="K17" s="1649"/>
      <c r="L17" s="1649"/>
      <c r="M17" s="1649"/>
      <c r="N17" s="1649"/>
      <c r="O17" s="1649"/>
      <c r="P17" s="1649"/>
      <c r="Q17" s="1649"/>
      <c r="R17" s="1649"/>
      <c r="S17" s="1649"/>
    </row>
    <row r="18" spans="1:19" hidden="1">
      <c r="A18" s="931"/>
      <c r="B18" s="481" t="e">
        <f>'Area Calculations'!#REF!</f>
        <v>#REF!</v>
      </c>
      <c r="C18" s="484" t="s">
        <v>1035</v>
      </c>
      <c r="D18" s="422"/>
      <c r="E18" s="422"/>
      <c r="F18" s="422"/>
      <c r="G18" s="468"/>
      <c r="H18" s="1649"/>
      <c r="I18" s="1649"/>
      <c r="J18" s="1649"/>
      <c r="K18" s="1649"/>
      <c r="L18" s="1649"/>
      <c r="M18" s="1649"/>
      <c r="N18" s="1649"/>
      <c r="O18" s="1649"/>
      <c r="P18" s="1649"/>
      <c r="Q18" s="1649"/>
      <c r="R18" s="1649"/>
      <c r="S18" s="1649"/>
    </row>
    <row r="19" spans="1:19" hidden="1">
      <c r="A19" s="931"/>
      <c r="B19" s="481" t="e">
        <f>'Area Calculations'!#REF!</f>
        <v>#REF!</v>
      </c>
      <c r="C19" s="484" t="s">
        <v>1035</v>
      </c>
      <c r="D19" s="422"/>
      <c r="E19" s="422"/>
      <c r="F19" s="422"/>
      <c r="G19" s="468"/>
      <c r="H19" s="1649"/>
      <c r="I19" s="1649"/>
      <c r="J19" s="1649"/>
      <c r="K19" s="1649"/>
      <c r="L19" s="1649"/>
      <c r="M19" s="1649"/>
      <c r="N19" s="1649"/>
      <c r="O19" s="1649"/>
      <c r="P19" s="1649"/>
      <c r="Q19" s="1649"/>
      <c r="R19" s="1649"/>
      <c r="S19" s="1649"/>
    </row>
    <row r="20" spans="1:19" ht="15.75" thickTop="1">
      <c r="A20" s="1733"/>
      <c r="B20" s="481"/>
      <c r="C20" s="484"/>
      <c r="D20" s="422"/>
      <c r="E20" s="422"/>
      <c r="F20" s="422"/>
      <c r="G20" s="468"/>
      <c r="H20" s="1649"/>
      <c r="I20" s="1649"/>
      <c r="J20" s="1649"/>
      <c r="K20" s="1649"/>
      <c r="L20" s="1649"/>
      <c r="M20" s="1649"/>
      <c r="N20" s="1649"/>
      <c r="O20" s="1649"/>
      <c r="P20" s="1649"/>
      <c r="Q20" s="1649"/>
      <c r="R20" s="1649"/>
      <c r="S20" s="1649"/>
    </row>
    <row r="21" spans="1:19" ht="15.75" thickBot="1">
      <c r="A21" s="1733"/>
      <c r="B21" s="485" t="s">
        <v>1876</v>
      </c>
      <c r="C21" s="28"/>
      <c r="D21" s="29"/>
      <c r="E21" s="29"/>
      <c r="F21" s="29"/>
      <c r="G21" s="33"/>
      <c r="H21" s="30"/>
      <c r="I21" s="30"/>
      <c r="J21" s="30"/>
      <c r="K21" s="30"/>
      <c r="L21" s="30"/>
      <c r="M21" s="30"/>
      <c r="N21" s="30"/>
      <c r="O21" s="30"/>
      <c r="P21" s="30"/>
      <c r="Q21" s="30"/>
      <c r="R21" s="30"/>
      <c r="S21" s="30"/>
    </row>
    <row r="22" spans="1:19">
      <c r="A22" s="1733"/>
      <c r="B22" s="1654" t="s">
        <v>725</v>
      </c>
      <c r="C22" s="484"/>
      <c r="D22" s="422"/>
      <c r="E22" s="422"/>
      <c r="F22" s="422"/>
      <c r="G22" s="468"/>
      <c r="H22" s="1731"/>
      <c r="I22" s="1730"/>
      <c r="J22" s="1730"/>
      <c r="K22" s="1730"/>
      <c r="L22" s="1652"/>
      <c r="M22" s="1730"/>
      <c r="N22" s="1730"/>
      <c r="O22" s="1730"/>
      <c r="P22" s="1730"/>
      <c r="Q22" s="1730"/>
      <c r="R22" s="1730"/>
      <c r="S22" s="1730"/>
    </row>
    <row r="23" spans="1:19">
      <c r="A23" s="1734"/>
      <c r="B23" s="1735" t="s">
        <v>726</v>
      </c>
      <c r="C23" s="484"/>
      <c r="D23" s="422"/>
      <c r="E23" s="422"/>
      <c r="F23" s="422"/>
      <c r="G23" s="468"/>
      <c r="H23" s="1652"/>
      <c r="I23" s="1510"/>
      <c r="J23" s="1652"/>
      <c r="K23" s="1730"/>
      <c r="L23" s="1652"/>
      <c r="M23" s="1730"/>
      <c r="N23" s="1730"/>
      <c r="O23" s="1730"/>
      <c r="P23" s="1730"/>
      <c r="Q23" s="1730"/>
      <c r="R23" s="1730"/>
      <c r="S23" s="1730"/>
    </row>
    <row r="24" spans="1:19">
      <c r="A24" s="1734"/>
      <c r="B24" s="1735" t="s">
        <v>728</v>
      </c>
      <c r="C24" s="476"/>
      <c r="D24" s="422"/>
      <c r="E24" s="422"/>
      <c r="F24" s="422"/>
      <c r="G24" s="468"/>
      <c r="H24" s="1652"/>
      <c r="I24" s="1510"/>
      <c r="J24" s="1652"/>
      <c r="K24" s="1730"/>
      <c r="L24" s="1652"/>
      <c r="M24" s="1730"/>
      <c r="N24" s="1730"/>
      <c r="O24" s="1730"/>
      <c r="P24" s="1730"/>
      <c r="Q24" s="1730"/>
      <c r="R24" s="1730"/>
      <c r="S24" s="1730"/>
    </row>
    <row r="25" spans="1:19">
      <c r="A25" s="1734"/>
      <c r="B25" s="1657" t="s">
        <v>729</v>
      </c>
      <c r="C25" s="476"/>
      <c r="D25" s="422"/>
      <c r="E25" s="422"/>
      <c r="F25" s="422"/>
      <c r="G25" s="468"/>
      <c r="H25" s="1652"/>
      <c r="I25" s="1510"/>
      <c r="J25" s="1652"/>
      <c r="K25" s="1730"/>
      <c r="L25" s="1652"/>
      <c r="M25" s="1730"/>
      <c r="N25" s="1730"/>
      <c r="O25" s="1730"/>
      <c r="P25" s="1730"/>
      <c r="Q25" s="1730"/>
      <c r="R25" s="1730"/>
      <c r="S25" s="1730"/>
    </row>
    <row r="26" spans="1:19" s="36" customFormat="1">
      <c r="A26" s="1733"/>
      <c r="B26" s="1657" t="s">
        <v>731</v>
      </c>
      <c r="C26" s="423"/>
      <c r="D26" s="418"/>
      <c r="E26" s="418"/>
      <c r="F26" s="418"/>
      <c r="G26" s="423"/>
      <c r="H26" s="1652"/>
      <c r="I26" s="1510"/>
      <c r="J26" s="1658"/>
      <c r="K26" s="1419"/>
      <c r="L26" s="1658"/>
      <c r="M26" s="1419"/>
      <c r="N26" s="1419"/>
      <c r="O26" s="1419"/>
      <c r="P26" s="1419"/>
      <c r="Q26" s="1419"/>
      <c r="R26" s="1419"/>
      <c r="S26" s="1419"/>
    </row>
    <row r="27" spans="1:19" s="36" customFormat="1">
      <c r="A27" s="1733"/>
      <c r="B27" s="1657" t="s">
        <v>732</v>
      </c>
      <c r="C27" s="423"/>
      <c r="D27" s="418"/>
      <c r="E27" s="418"/>
      <c r="F27" s="418"/>
      <c r="G27" s="423"/>
      <c r="H27" s="1652"/>
      <c r="I27" s="1510"/>
      <c r="J27" s="1658"/>
      <c r="K27" s="1419"/>
      <c r="L27" s="1658"/>
      <c r="M27" s="1419"/>
      <c r="N27" s="1419"/>
      <c r="O27" s="1419"/>
      <c r="P27" s="1419"/>
      <c r="Q27" s="1419"/>
      <c r="R27" s="1419"/>
      <c r="S27" s="1419"/>
    </row>
    <row r="28" spans="1:19" s="36" customFormat="1">
      <c r="A28" s="1733"/>
      <c r="B28" s="1657" t="s">
        <v>733</v>
      </c>
      <c r="C28" s="423"/>
      <c r="D28" s="418"/>
      <c r="E28" s="418"/>
      <c r="F28" s="418"/>
      <c r="G28" s="423"/>
      <c r="H28" s="1652"/>
      <c r="I28" s="1510"/>
      <c r="J28" s="1658"/>
      <c r="K28" s="1419"/>
      <c r="L28" s="1658"/>
      <c r="M28" s="1419"/>
      <c r="N28" s="1419"/>
      <c r="O28" s="1419"/>
      <c r="P28" s="1419"/>
      <c r="Q28" s="1419"/>
      <c r="R28" s="1419"/>
      <c r="S28" s="1419"/>
    </row>
    <row r="29" spans="1:19" s="36" customFormat="1">
      <c r="A29" s="1733"/>
      <c r="B29" s="1659" t="s">
        <v>736</v>
      </c>
      <c r="C29" s="423"/>
      <c r="D29" s="418"/>
      <c r="E29" s="418"/>
      <c r="F29" s="418"/>
      <c r="G29" s="423"/>
      <c r="H29" s="1652"/>
      <c r="I29" s="1510"/>
      <c r="J29" s="1658"/>
      <c r="K29" s="1419"/>
      <c r="L29" s="1658"/>
      <c r="M29" s="1419"/>
      <c r="N29" s="1419"/>
      <c r="O29" s="1419"/>
      <c r="P29" s="1419"/>
      <c r="Q29" s="1419"/>
      <c r="R29" s="1419"/>
      <c r="S29" s="1419"/>
    </row>
    <row r="30" spans="1:19" s="36" customFormat="1">
      <c r="A30" s="1733"/>
      <c r="B30" s="1660" t="s">
        <v>737</v>
      </c>
      <c r="C30" s="427"/>
      <c r="D30" s="426"/>
      <c r="E30" s="426"/>
      <c r="F30" s="426"/>
      <c r="G30" s="427"/>
      <c r="H30" s="1661"/>
      <c r="I30" s="1519"/>
      <c r="J30" s="1156"/>
      <c r="K30" s="1422"/>
      <c r="L30" s="1156"/>
      <c r="M30" s="1422"/>
      <c r="N30" s="1422"/>
      <c r="O30" s="1422"/>
      <c r="P30" s="1422"/>
      <c r="Q30" s="1422"/>
      <c r="R30" s="1422"/>
      <c r="S30" s="1422"/>
    </row>
    <row r="31" spans="1:19" s="36" customFormat="1">
      <c r="A31" s="1736"/>
      <c r="B31" s="1662"/>
      <c r="C31" s="477"/>
      <c r="D31" s="418"/>
      <c r="E31" s="418"/>
      <c r="F31" s="418"/>
      <c r="G31" s="423"/>
      <c r="H31" s="1652"/>
      <c r="I31" s="1510"/>
      <c r="J31" s="1658"/>
      <c r="K31" s="1419"/>
      <c r="L31" s="1658"/>
      <c r="M31" s="1419"/>
      <c r="N31" s="1419"/>
      <c r="O31" s="1419"/>
      <c r="P31" s="1419"/>
      <c r="Q31" s="1419"/>
      <c r="R31" s="1419"/>
      <c r="S31" s="1419"/>
    </row>
    <row r="32" spans="1:19" s="36" customFormat="1">
      <c r="A32" s="1736"/>
      <c r="B32" s="1662"/>
      <c r="C32" s="477"/>
      <c r="D32" s="418"/>
      <c r="E32" s="418"/>
      <c r="F32" s="418"/>
      <c r="G32" s="423"/>
      <c r="H32" s="1652"/>
      <c r="I32" s="1510"/>
      <c r="J32" s="1658"/>
      <c r="K32" s="1419"/>
      <c r="L32" s="1658"/>
      <c r="M32" s="1419"/>
      <c r="N32" s="1419"/>
      <c r="O32" s="1419"/>
      <c r="P32" s="1419"/>
      <c r="Q32" s="1419"/>
      <c r="R32" s="1419"/>
      <c r="S32" s="1419"/>
    </row>
    <row r="33" spans="1:19" s="36" customFormat="1">
      <c r="A33" s="1736"/>
      <c r="B33" s="1662"/>
      <c r="C33" s="477"/>
      <c r="D33" s="418"/>
      <c r="E33" s="418"/>
      <c r="F33" s="418"/>
      <c r="G33" s="423"/>
      <c r="H33" s="1652"/>
      <c r="I33" s="1510"/>
      <c r="J33" s="1658"/>
      <c r="K33" s="1419"/>
      <c r="L33" s="1658"/>
      <c r="M33" s="1419"/>
      <c r="N33" s="1419"/>
      <c r="O33" s="1419"/>
      <c r="P33" s="1419"/>
      <c r="Q33" s="1419"/>
      <c r="R33" s="1419"/>
      <c r="S33" s="1419"/>
    </row>
    <row r="34" spans="1:19" s="36" customFormat="1">
      <c r="A34" s="1736"/>
      <c r="B34" s="1662"/>
      <c r="C34" s="477"/>
      <c r="D34" s="418"/>
      <c r="E34" s="478"/>
      <c r="F34" s="492"/>
      <c r="G34" s="423"/>
      <c r="H34" s="1652"/>
      <c r="I34" s="1510"/>
      <c r="J34" s="1658"/>
      <c r="K34" s="1419"/>
      <c r="L34" s="1658"/>
      <c r="M34" s="1419"/>
      <c r="N34" s="1419"/>
      <c r="O34" s="1419"/>
      <c r="P34" s="1419"/>
      <c r="Q34" s="1419"/>
      <c r="R34" s="1419"/>
      <c r="S34" s="1419"/>
    </row>
    <row r="35" spans="1:19" s="36" customFormat="1">
      <c r="A35" s="1736"/>
      <c r="B35" s="1662"/>
      <c r="C35" s="477"/>
      <c r="D35" s="418"/>
      <c r="E35" s="478"/>
      <c r="F35" s="492"/>
      <c r="G35" s="423"/>
      <c r="H35" s="1652"/>
      <c r="I35" s="1510"/>
      <c r="J35" s="1658"/>
      <c r="K35" s="1419"/>
      <c r="L35" s="1658"/>
      <c r="M35" s="1419"/>
      <c r="N35" s="1419"/>
      <c r="O35" s="1419"/>
      <c r="P35" s="1419"/>
      <c r="Q35" s="1419"/>
      <c r="R35" s="1419"/>
      <c r="S35" s="1419"/>
    </row>
    <row r="36" spans="1:19" s="36" customFormat="1">
      <c r="A36" s="1736"/>
      <c r="B36" s="1662"/>
      <c r="C36" s="477"/>
      <c r="D36" s="418"/>
      <c r="E36" s="478"/>
      <c r="F36" s="492"/>
      <c r="G36" s="423"/>
      <c r="H36" s="1652"/>
      <c r="I36" s="1510"/>
      <c r="J36" s="1658"/>
      <c r="K36" s="1419"/>
      <c r="L36" s="1658"/>
      <c r="M36" s="1419"/>
      <c r="N36" s="1419"/>
      <c r="O36" s="1419"/>
      <c r="P36" s="1419"/>
      <c r="Q36" s="1419"/>
      <c r="R36" s="1419"/>
      <c r="S36" s="1419"/>
    </row>
    <row r="37" spans="1:19" s="36" customFormat="1">
      <c r="A37" s="1736"/>
      <c r="B37" s="1737"/>
      <c r="C37" s="477"/>
      <c r="D37" s="418"/>
      <c r="E37" s="478"/>
      <c r="F37" s="492"/>
      <c r="G37" s="423"/>
      <c r="H37" s="1652"/>
      <c r="I37" s="1510"/>
      <c r="J37" s="1658"/>
      <c r="K37" s="1419"/>
      <c r="L37" s="1658"/>
      <c r="M37" s="1419"/>
      <c r="N37" s="1419"/>
      <c r="O37" s="1419"/>
      <c r="P37" s="1419"/>
      <c r="Q37" s="1419"/>
      <c r="R37" s="1419"/>
      <c r="S37" s="1419"/>
    </row>
    <row r="38" spans="1:19" s="36" customFormat="1">
      <c r="A38" s="1736"/>
      <c r="B38" s="1738"/>
      <c r="C38" s="477"/>
      <c r="D38" s="418"/>
      <c r="E38" s="478"/>
      <c r="F38" s="492"/>
      <c r="G38" s="423"/>
      <c r="H38" s="1652"/>
      <c r="I38" s="1510"/>
      <c r="J38" s="1658"/>
      <c r="K38" s="1419"/>
      <c r="L38" s="1658"/>
      <c r="M38" s="1419"/>
      <c r="N38" s="1419"/>
      <c r="O38" s="1419"/>
      <c r="P38" s="1419"/>
      <c r="Q38" s="1419"/>
      <c r="R38" s="1419"/>
      <c r="S38" s="1419"/>
    </row>
    <row r="39" spans="1:19" s="36" customFormat="1">
      <c r="A39" s="1736"/>
      <c r="B39" s="67"/>
      <c r="C39" s="477"/>
      <c r="D39" s="418"/>
      <c r="E39" s="478"/>
      <c r="F39" s="492"/>
      <c r="G39" s="423"/>
      <c r="H39" s="1652"/>
      <c r="I39" s="1510"/>
      <c r="J39" s="1658"/>
      <c r="K39" s="1419"/>
      <c r="L39" s="1658"/>
      <c r="M39" s="1419"/>
      <c r="N39" s="1419"/>
      <c r="O39" s="1419"/>
      <c r="P39" s="1419"/>
      <c r="Q39" s="1419"/>
      <c r="R39" s="1419"/>
      <c r="S39" s="1419"/>
    </row>
    <row r="40" spans="1:19" s="36" customFormat="1">
      <c r="A40" s="1736"/>
      <c r="B40" s="1662"/>
      <c r="C40" s="477"/>
      <c r="D40" s="418"/>
      <c r="E40" s="478"/>
      <c r="F40" s="492"/>
      <c r="G40" s="423"/>
      <c r="H40" s="1652"/>
      <c r="I40" s="1510"/>
      <c r="J40" s="1658"/>
      <c r="K40" s="1419"/>
      <c r="L40" s="1658"/>
      <c r="M40" s="1419"/>
      <c r="N40" s="1419"/>
      <c r="O40" s="1419"/>
      <c r="P40" s="1419"/>
      <c r="Q40" s="1419"/>
      <c r="R40" s="1419"/>
      <c r="S40" s="1419"/>
    </row>
    <row r="41" spans="1:19" s="36" customFormat="1">
      <c r="A41" s="1736"/>
      <c r="B41" s="1662"/>
      <c r="C41" s="477"/>
      <c r="D41" s="418"/>
      <c r="E41" s="478"/>
      <c r="F41" s="492"/>
      <c r="G41" s="423"/>
      <c r="H41" s="1652"/>
      <c r="I41" s="1510"/>
      <c r="J41" s="1658"/>
      <c r="K41" s="1419"/>
      <c r="L41" s="1658"/>
      <c r="M41" s="1419"/>
      <c r="N41" s="1419"/>
      <c r="O41" s="1419"/>
      <c r="P41" s="1419"/>
      <c r="Q41" s="1419"/>
      <c r="R41" s="1419"/>
      <c r="S41" s="1419"/>
    </row>
    <row r="42" spans="1:19" s="36" customFormat="1">
      <c r="A42" s="1736"/>
      <c r="B42" s="1662"/>
      <c r="C42" s="477"/>
      <c r="D42" s="418"/>
      <c r="E42" s="478"/>
      <c r="F42" s="492"/>
      <c r="G42" s="423"/>
      <c r="H42" s="1652"/>
      <c r="I42" s="1510"/>
      <c r="J42" s="1658"/>
      <c r="K42" s="1419"/>
      <c r="L42" s="1658"/>
      <c r="M42" s="1419"/>
      <c r="N42" s="1419"/>
      <c r="O42" s="1419"/>
      <c r="P42" s="1419"/>
      <c r="Q42" s="1419"/>
      <c r="R42" s="1419"/>
      <c r="S42" s="1419"/>
    </row>
    <row r="43" spans="1:19" s="36" customFormat="1">
      <c r="A43" s="1736"/>
      <c r="B43" s="1662"/>
      <c r="C43" s="477"/>
      <c r="D43" s="418"/>
      <c r="E43" s="478"/>
      <c r="F43" s="492"/>
      <c r="G43" s="423"/>
      <c r="H43" s="1652"/>
      <c r="I43" s="1510"/>
      <c r="J43" s="1658"/>
      <c r="K43" s="1419"/>
      <c r="L43" s="1658"/>
      <c r="M43" s="1419"/>
      <c r="N43" s="1419"/>
      <c r="O43" s="1419"/>
      <c r="P43" s="1419"/>
      <c r="Q43" s="1419"/>
      <c r="R43" s="1419"/>
      <c r="S43" s="1419"/>
    </row>
    <row r="44" spans="1:19" s="36" customFormat="1">
      <c r="A44" s="1736"/>
      <c r="B44" s="1662"/>
      <c r="C44" s="477"/>
      <c r="D44" s="418"/>
      <c r="E44" s="478"/>
      <c r="F44" s="492"/>
      <c r="G44" s="423"/>
      <c r="H44" s="1652"/>
      <c r="I44" s="1510"/>
      <c r="J44" s="1658"/>
      <c r="K44" s="1419"/>
      <c r="L44" s="1658"/>
      <c r="M44" s="1419"/>
      <c r="N44" s="1419"/>
      <c r="O44" s="1419"/>
      <c r="P44" s="1419"/>
      <c r="Q44" s="1419"/>
      <c r="R44" s="1419"/>
      <c r="S44" s="1419"/>
    </row>
    <row r="45" spans="1:19" s="36" customFormat="1">
      <c r="A45" s="1736"/>
      <c r="B45" s="1662"/>
      <c r="C45" s="477"/>
      <c r="D45" s="418"/>
      <c r="E45" s="478"/>
      <c r="F45" s="492"/>
      <c r="G45" s="423"/>
      <c r="H45" s="1652"/>
      <c r="I45" s="1510"/>
      <c r="J45" s="1658"/>
      <c r="K45" s="1419"/>
      <c r="L45" s="1658"/>
      <c r="M45" s="1419"/>
      <c r="N45" s="1419"/>
      <c r="O45" s="1419"/>
      <c r="P45" s="1419"/>
      <c r="Q45" s="1419"/>
      <c r="R45" s="1419"/>
      <c r="S45" s="1419"/>
    </row>
    <row r="46" spans="1:19" s="36" customFormat="1" ht="15.75" thickBot="1">
      <c r="A46" s="1736"/>
      <c r="B46" s="1662"/>
      <c r="C46" s="477"/>
      <c r="D46" s="418"/>
      <c r="E46" s="478"/>
      <c r="F46" s="492"/>
      <c r="G46" s="423"/>
      <c r="H46" s="1652"/>
      <c r="I46" s="1510"/>
      <c r="J46" s="1658"/>
      <c r="K46" s="1419"/>
      <c r="L46" s="1658"/>
      <c r="M46" s="1419"/>
      <c r="N46" s="1419"/>
      <c r="O46" s="1419"/>
      <c r="P46" s="1419"/>
      <c r="Q46" s="1419"/>
      <c r="R46" s="1419"/>
      <c r="S46" s="1419"/>
    </row>
    <row r="47" spans="1:19" ht="15.75" thickTop="1">
      <c r="A47" s="13"/>
      <c r="B47" s="14"/>
      <c r="C47" s="15"/>
      <c r="D47" s="15"/>
      <c r="E47" s="16"/>
      <c r="F47" s="17" t="s">
        <v>753</v>
      </c>
      <c r="G47" s="18"/>
      <c r="H47" s="19"/>
      <c r="I47" s="32">
        <f>SUM(I23:I46)</f>
        <v>0</v>
      </c>
      <c r="J47" s="19"/>
      <c r="K47" s="32">
        <f>SUM(K23:K46)</f>
        <v>0</v>
      </c>
      <c r="L47" s="19"/>
      <c r="M47" s="32">
        <f>SUM(M23:M46)</f>
        <v>0</v>
      </c>
      <c r="N47" s="19"/>
      <c r="O47" s="32">
        <f>SUM(O23:O46)</f>
        <v>0</v>
      </c>
      <c r="P47" s="19"/>
      <c r="Q47" s="32">
        <f>SUM(Q23:Q46)</f>
        <v>0</v>
      </c>
      <c r="R47" s="19"/>
      <c r="S47" s="32">
        <f>SUM(S23:S46)</f>
        <v>0</v>
      </c>
    </row>
    <row r="48" spans="1:19">
      <c r="A48" s="932"/>
      <c r="B48" s="488"/>
      <c r="C48" s="433"/>
      <c r="D48" s="433"/>
      <c r="E48" s="434"/>
      <c r="F48" s="489" t="s">
        <v>754</v>
      </c>
      <c r="G48" s="471"/>
      <c r="H48" s="1165">
        <v>0</v>
      </c>
      <c r="I48" s="1667"/>
      <c r="J48" s="1165">
        <v>0</v>
      </c>
      <c r="K48" s="1667"/>
      <c r="L48" s="1165">
        <v>0</v>
      </c>
      <c r="M48" s="1667"/>
      <c r="N48" s="1165">
        <v>0</v>
      </c>
      <c r="O48" s="1667"/>
      <c r="P48" s="1165">
        <v>0</v>
      </c>
      <c r="Q48" s="1667"/>
      <c r="R48" s="1165">
        <v>0</v>
      </c>
      <c r="S48" s="1667"/>
    </row>
    <row r="49" spans="1:19">
      <c r="A49" s="932"/>
      <c r="B49" s="488"/>
      <c r="C49" s="433"/>
      <c r="D49" s="433"/>
      <c r="E49" s="434"/>
      <c r="F49" s="489" t="s">
        <v>755</v>
      </c>
      <c r="G49" s="471"/>
      <c r="H49" s="1166"/>
      <c r="I49" s="1668">
        <f>H48*I47</f>
        <v>0</v>
      </c>
      <c r="J49" s="1166"/>
      <c r="K49" s="1668">
        <f>J48*K47</f>
        <v>0</v>
      </c>
      <c r="L49" s="1166"/>
      <c r="M49" s="1668">
        <f>L48*M47</f>
        <v>0</v>
      </c>
      <c r="N49" s="1166"/>
      <c r="O49" s="1668">
        <f>N48*O47</f>
        <v>0</v>
      </c>
      <c r="P49" s="1166"/>
      <c r="Q49" s="1668">
        <f>P48*Q47</f>
        <v>0</v>
      </c>
      <c r="R49" s="1166"/>
      <c r="S49" s="1668">
        <f>R48*S47</f>
        <v>0</v>
      </c>
    </row>
    <row r="50" spans="1:19">
      <c r="A50" s="932"/>
      <c r="B50" s="488"/>
      <c r="C50" s="433"/>
      <c r="D50" s="433"/>
      <c r="E50" s="434"/>
      <c r="F50" s="489"/>
      <c r="G50" s="471"/>
      <c r="H50" s="1166"/>
      <c r="I50" s="1669"/>
      <c r="J50" s="1166"/>
      <c r="K50" s="1669"/>
      <c r="L50" s="1166"/>
      <c r="M50" s="1669"/>
      <c r="N50" s="1166"/>
      <c r="O50" s="1669"/>
      <c r="P50" s="1166"/>
      <c r="Q50" s="1669"/>
      <c r="R50" s="1166"/>
      <c r="S50" s="1669"/>
    </row>
    <row r="51" spans="1:19">
      <c r="A51" s="932"/>
      <c r="B51" s="488"/>
      <c r="C51" s="433"/>
      <c r="D51" s="433"/>
      <c r="E51" s="434"/>
      <c r="F51" s="489" t="s">
        <v>756</v>
      </c>
      <c r="G51" s="471"/>
      <c r="H51" s="1670"/>
      <c r="I51" s="1671">
        <f>SUM(I47:I49)</f>
        <v>0</v>
      </c>
      <c r="J51" s="1670"/>
      <c r="K51" s="1671">
        <f>SUM(K47:K49)</f>
        <v>0</v>
      </c>
      <c r="L51" s="1670"/>
      <c r="M51" s="1671">
        <f>SUM(M47:M49)</f>
        <v>0</v>
      </c>
      <c r="N51" s="1670"/>
      <c r="O51" s="1671">
        <f>SUM(O47:O49)</f>
        <v>0</v>
      </c>
      <c r="P51" s="1670"/>
      <c r="Q51" s="1671">
        <f>SUM(Q47:Q49)</f>
        <v>0</v>
      </c>
      <c r="R51" s="1670"/>
      <c r="S51" s="1671">
        <f>SUM(S47:S49)</f>
        <v>0</v>
      </c>
    </row>
    <row r="52" spans="1:19">
      <c r="A52" s="932"/>
      <c r="B52" s="488"/>
      <c r="C52" s="433"/>
      <c r="D52" s="433"/>
      <c r="E52" s="434"/>
      <c r="F52" s="490" t="s">
        <v>757</v>
      </c>
      <c r="G52" s="472"/>
      <c r="H52" s="1672"/>
      <c r="I52" s="1673">
        <f>I51/'Area Calculations'!$G$4</f>
        <v>0</v>
      </c>
      <c r="J52" s="1672"/>
      <c r="K52" s="1673">
        <f>K51/'Area Calculations'!$G$4</f>
        <v>0</v>
      </c>
      <c r="L52" s="1672"/>
      <c r="M52" s="1673">
        <f>M51/'Area Calculations'!$G$4</f>
        <v>0</v>
      </c>
      <c r="N52" s="1672"/>
      <c r="O52" s="1673">
        <f>O51/'Area Calculations'!$G$4</f>
        <v>0</v>
      </c>
      <c r="P52" s="1672"/>
      <c r="Q52" s="1673">
        <f>Q51/'Area Calculations'!$G$4</f>
        <v>0</v>
      </c>
      <c r="R52" s="1672"/>
      <c r="S52" s="1673">
        <f>S51/'Area Calculations'!$G$4</f>
        <v>0</v>
      </c>
    </row>
    <row r="53" spans="1:19">
      <c r="A53" s="932"/>
      <c r="B53" s="488"/>
      <c r="C53" s="433"/>
      <c r="D53" s="433"/>
      <c r="E53" s="434"/>
      <c r="F53" s="490" t="s">
        <v>758</v>
      </c>
      <c r="G53" s="473"/>
      <c r="H53" s="1672"/>
      <c r="I53" s="1673">
        <f>I51/'Area Calculations'!$G$9</f>
        <v>0</v>
      </c>
      <c r="J53" s="1672"/>
      <c r="K53" s="1673">
        <f>K51/'Area Calculations'!$G$9</f>
        <v>0</v>
      </c>
      <c r="L53" s="1672"/>
      <c r="M53" s="1673">
        <f>M51/'Area Calculations'!$G$9</f>
        <v>0</v>
      </c>
      <c r="N53" s="1672"/>
      <c r="O53" s="1673">
        <f>O51/'Area Calculations'!$G$9</f>
        <v>0</v>
      </c>
      <c r="P53" s="1672"/>
      <c r="Q53" s="1673">
        <f>Q51/'Area Calculations'!$G$9</f>
        <v>0</v>
      </c>
      <c r="R53" s="1672"/>
      <c r="S53" s="1673">
        <f>S51/'Area Calculations'!$G$9</f>
        <v>0</v>
      </c>
    </row>
    <row r="54" spans="1:19" ht="15.75" thickBot="1">
      <c r="A54" s="932"/>
      <c r="B54" s="488"/>
      <c r="C54" s="433"/>
      <c r="D54" s="433"/>
      <c r="E54" s="434"/>
      <c r="F54" s="489"/>
      <c r="G54" s="474"/>
      <c r="H54" s="1674"/>
      <c r="I54" s="1675"/>
      <c r="J54" s="1674"/>
      <c r="K54" s="1675"/>
      <c r="L54" s="1674"/>
      <c r="M54" s="1675"/>
      <c r="N54" s="1674"/>
      <c r="O54" s="1675"/>
      <c r="P54" s="1674"/>
      <c r="Q54" s="1675"/>
      <c r="R54" s="1674"/>
      <c r="S54" s="1675"/>
    </row>
    <row r="55" spans="1:19" ht="16.5" thickTop="1" thickBot="1">
      <c r="A55" s="2331" t="s">
        <v>759</v>
      </c>
      <c r="B55" s="2365"/>
      <c r="C55" s="12"/>
      <c r="D55" s="12"/>
      <c r="E55" s="12"/>
      <c r="F55" s="12"/>
      <c r="G55" s="26"/>
      <c r="H55" s="24"/>
      <c r="I55" s="20"/>
      <c r="J55" s="20"/>
      <c r="K55" s="20"/>
      <c r="L55" s="20"/>
      <c r="M55" s="20"/>
      <c r="N55" s="20"/>
      <c r="O55" s="20"/>
      <c r="P55" s="20"/>
      <c r="Q55" s="20"/>
      <c r="R55" s="20"/>
      <c r="S55" s="20"/>
    </row>
    <row r="56" spans="1:19" ht="15.75" thickTop="1">
      <c r="A56" s="1739"/>
      <c r="B56" s="481"/>
      <c r="C56" s="1740"/>
      <c r="D56" s="1740"/>
      <c r="E56" s="1740"/>
      <c r="F56" s="1740"/>
      <c r="G56" s="1722"/>
      <c r="H56" s="1723"/>
      <c r="I56" s="1582"/>
      <c r="J56" s="1582"/>
      <c r="K56" s="1582"/>
      <c r="L56" s="1582"/>
      <c r="M56" s="1582"/>
      <c r="N56" s="1582"/>
      <c r="O56" s="1582"/>
      <c r="P56" s="1582"/>
      <c r="Q56" s="1582"/>
      <c r="R56" s="1582"/>
      <c r="S56" s="1582"/>
    </row>
    <row r="57" spans="1:19" s="2" customFormat="1">
      <c r="A57" s="1739"/>
      <c r="B57" s="481"/>
      <c r="C57" s="1740"/>
      <c r="D57" s="1740"/>
      <c r="E57" s="1740"/>
      <c r="F57" s="1740"/>
      <c r="G57" s="1722"/>
      <c r="H57" s="1723"/>
      <c r="I57" s="1582"/>
      <c r="J57" s="1582"/>
      <c r="K57" s="1582"/>
      <c r="L57" s="1582"/>
      <c r="M57" s="1582"/>
      <c r="N57" s="1582"/>
      <c r="O57" s="1582"/>
      <c r="P57" s="1582"/>
      <c r="Q57" s="1582"/>
      <c r="R57" s="1582"/>
      <c r="S57" s="1582"/>
    </row>
    <row r="58" spans="1:19" s="2" customFormat="1" ht="15.75" thickBot="1">
      <c r="A58" s="1739"/>
      <c r="B58" s="481"/>
      <c r="C58" s="1740"/>
      <c r="D58" s="1740"/>
      <c r="E58" s="1740"/>
      <c r="F58" s="1740"/>
      <c r="G58" s="1722"/>
      <c r="H58" s="1723"/>
      <c r="I58" s="1582"/>
      <c r="J58" s="1582"/>
      <c r="K58" s="1582"/>
      <c r="L58" s="1582"/>
      <c r="M58" s="1582"/>
      <c r="N58" s="1582"/>
      <c r="O58" s="1582"/>
      <c r="P58" s="1582"/>
      <c r="Q58" s="1582"/>
      <c r="R58" s="1582"/>
      <c r="S58" s="1582"/>
    </row>
    <row r="59" spans="1:19" ht="16.5" thickTop="1" thickBot="1">
      <c r="A59" s="2331" t="s">
        <v>760</v>
      </c>
      <c r="B59" s="2365"/>
      <c r="C59" s="12"/>
      <c r="D59" s="12"/>
      <c r="E59" s="12"/>
      <c r="F59" s="12"/>
      <c r="G59" s="26"/>
      <c r="H59" s="24"/>
      <c r="I59" s="20"/>
      <c r="J59" s="20"/>
      <c r="K59" s="20"/>
      <c r="L59" s="20"/>
      <c r="M59" s="20"/>
      <c r="N59" s="20"/>
      <c r="O59" s="20"/>
      <c r="P59" s="20"/>
      <c r="Q59" s="20"/>
      <c r="R59" s="20"/>
      <c r="S59" s="20"/>
    </row>
    <row r="60" spans="1:19" s="2" customFormat="1" ht="15.75" thickTop="1">
      <c r="A60" s="1739"/>
      <c r="B60" s="481"/>
      <c r="C60" s="1740"/>
      <c r="D60" s="1740"/>
      <c r="E60" s="1740"/>
      <c r="F60" s="1740"/>
      <c r="G60" s="1722"/>
      <c r="H60" s="1723"/>
      <c r="I60" s="1582"/>
      <c r="J60" s="1582"/>
      <c r="K60" s="1582"/>
      <c r="L60" s="1582"/>
      <c r="M60" s="1582"/>
      <c r="N60" s="1582"/>
      <c r="O60" s="1582"/>
      <c r="P60" s="1582"/>
      <c r="Q60" s="1582"/>
      <c r="R60" s="1582"/>
      <c r="S60" s="1582"/>
    </row>
    <row r="61" spans="1:19" s="2" customFormat="1">
      <c r="A61" s="1739"/>
      <c r="B61" s="481"/>
      <c r="C61" s="1740"/>
      <c r="D61" s="1740"/>
      <c r="E61" s="1740"/>
      <c r="F61" s="1740"/>
      <c r="G61" s="1722"/>
      <c r="H61" s="1723"/>
      <c r="I61" s="1582"/>
      <c r="J61" s="1582"/>
      <c r="K61" s="1582"/>
      <c r="L61" s="1582"/>
      <c r="M61" s="1582"/>
      <c r="N61" s="1582"/>
      <c r="O61" s="1582"/>
      <c r="P61" s="1582"/>
      <c r="Q61" s="1582"/>
      <c r="R61" s="1582"/>
      <c r="S61" s="1582"/>
    </row>
    <row r="62" spans="1:19" ht="15.75" thickBot="1">
      <c r="A62" s="1739"/>
      <c r="B62" s="481"/>
      <c r="C62" s="1740"/>
      <c r="D62" s="1740"/>
      <c r="E62" s="1740"/>
      <c r="F62" s="1740"/>
      <c r="G62" s="1722"/>
      <c r="H62" s="1723"/>
      <c r="I62" s="1582"/>
      <c r="J62" s="1582"/>
      <c r="K62" s="1582"/>
      <c r="L62" s="1582"/>
      <c r="M62" s="1582"/>
      <c r="N62" s="1582"/>
      <c r="O62" s="1582"/>
      <c r="P62" s="1582"/>
      <c r="Q62" s="1582"/>
      <c r="R62" s="1582"/>
      <c r="S62" s="1582"/>
    </row>
    <row r="63" spans="1:19" ht="16.5" thickTop="1" thickBot="1">
      <c r="A63" s="2331" t="s">
        <v>761</v>
      </c>
      <c r="B63" s="2365"/>
      <c r="C63" s="12"/>
      <c r="D63" s="12"/>
      <c r="E63" s="12"/>
      <c r="F63" s="12"/>
      <c r="G63" s="26"/>
      <c r="H63" s="24"/>
      <c r="I63" s="20"/>
      <c r="J63" s="20"/>
      <c r="K63" s="20"/>
      <c r="L63" s="20"/>
      <c r="M63" s="20"/>
      <c r="N63" s="20"/>
      <c r="O63" s="20"/>
      <c r="P63" s="20"/>
      <c r="Q63" s="20"/>
      <c r="R63" s="20"/>
      <c r="S63" s="20"/>
    </row>
    <row r="64" spans="1:19" ht="15.75" thickTop="1">
      <c r="A64" s="1739"/>
      <c r="B64" s="481"/>
      <c r="C64" s="1740"/>
      <c r="D64" s="1740"/>
      <c r="E64" s="1740"/>
      <c r="F64" s="1740"/>
      <c r="G64" s="1722"/>
      <c r="H64" s="1723"/>
      <c r="I64" s="1582"/>
      <c r="J64" s="1582"/>
      <c r="K64" s="1582"/>
      <c r="L64" s="1582"/>
      <c r="M64" s="1582"/>
      <c r="N64" s="1582"/>
      <c r="O64" s="1582"/>
      <c r="P64" s="1582"/>
      <c r="Q64" s="1582"/>
      <c r="R64" s="1582"/>
      <c r="S64" s="1582"/>
    </row>
    <row r="65" spans="1:19">
      <c r="A65" s="931"/>
      <c r="B65" s="481"/>
      <c r="C65" s="422"/>
      <c r="D65" s="422"/>
      <c r="E65" s="422"/>
      <c r="F65" s="422"/>
      <c r="G65" s="831"/>
      <c r="H65" s="440"/>
      <c r="I65" s="1173"/>
      <c r="J65" s="1173"/>
      <c r="K65" s="1173"/>
      <c r="L65" s="1173"/>
      <c r="M65" s="1173"/>
      <c r="N65" s="1173"/>
      <c r="O65" s="1173"/>
      <c r="P65" s="1173"/>
      <c r="Q65" s="1173"/>
      <c r="R65" s="1173"/>
      <c r="S65" s="1173"/>
    </row>
    <row r="66" spans="1:19" ht="15.75" thickBot="1">
      <c r="A66" s="933"/>
      <c r="B66" s="491"/>
      <c r="C66" s="422"/>
      <c r="D66" s="422"/>
      <c r="E66" s="422"/>
      <c r="F66" s="422"/>
      <c r="G66" s="831"/>
      <c r="H66" s="441"/>
      <c r="I66" s="1175"/>
      <c r="J66" s="1175"/>
      <c r="K66" s="1175"/>
      <c r="L66" s="1175"/>
      <c r="M66" s="1175"/>
      <c r="N66" s="1175"/>
      <c r="O66" s="1175"/>
      <c r="P66" s="1175"/>
      <c r="Q66" s="1175"/>
      <c r="R66" s="1175"/>
      <c r="S66" s="1175"/>
    </row>
    <row r="67" spans="1:19" ht="16.5" thickTop="1" thickBot="1">
      <c r="A67" s="2331" t="s">
        <v>762</v>
      </c>
      <c r="B67" s="2365"/>
      <c r="C67" s="12"/>
      <c r="D67" s="12"/>
      <c r="E67" s="12"/>
      <c r="F67" s="12"/>
      <c r="G67" s="26"/>
      <c r="H67" s="24"/>
      <c r="I67" s="20"/>
      <c r="J67" s="20"/>
      <c r="K67" s="20"/>
      <c r="L67" s="20"/>
      <c r="M67" s="20"/>
      <c r="N67" s="20"/>
      <c r="O67" s="20"/>
      <c r="P67" s="20"/>
      <c r="Q67" s="20"/>
      <c r="R67" s="20"/>
      <c r="S67" s="20"/>
    </row>
    <row r="68" spans="1:19" ht="15.75" thickTop="1">
      <c r="A68" s="1741"/>
      <c r="B68" s="1742"/>
      <c r="C68" s="1740"/>
      <c r="D68" s="1740"/>
      <c r="E68" s="1740"/>
      <c r="F68" s="1740"/>
      <c r="G68" s="1722"/>
      <c r="H68" s="1723"/>
      <c r="I68" s="1582"/>
      <c r="J68" s="1582"/>
      <c r="K68" s="1582"/>
      <c r="L68" s="1582"/>
      <c r="M68" s="1582"/>
      <c r="N68" s="1582"/>
      <c r="O68" s="1582"/>
      <c r="P68" s="1582"/>
      <c r="Q68" s="1582"/>
      <c r="R68" s="1582"/>
      <c r="S68" s="1582"/>
    </row>
    <row r="69" spans="1:19">
      <c r="A69" s="933"/>
      <c r="B69" s="491"/>
      <c r="C69" s="422"/>
      <c r="D69" s="422"/>
      <c r="E69" s="422"/>
      <c r="F69" s="422"/>
      <c r="G69" s="831"/>
      <c r="H69" s="442"/>
      <c r="I69" s="1178"/>
      <c r="J69" s="1178"/>
      <c r="K69" s="1178"/>
      <c r="L69" s="1178"/>
      <c r="M69" s="1178"/>
      <c r="N69" s="1178"/>
      <c r="O69" s="1178"/>
      <c r="P69" s="1178"/>
      <c r="Q69" s="1178"/>
      <c r="R69" s="1178"/>
      <c r="S69" s="1178"/>
    </row>
    <row r="70" spans="1:19" ht="15.75" thickBot="1">
      <c r="A70" s="933"/>
      <c r="B70" s="491"/>
      <c r="C70" s="422"/>
      <c r="D70" s="422"/>
      <c r="E70" s="422"/>
      <c r="F70" s="422"/>
      <c r="G70" s="831"/>
      <c r="H70" s="442"/>
      <c r="I70" s="1178"/>
      <c r="J70" s="1178"/>
      <c r="K70" s="1178"/>
      <c r="L70" s="1178"/>
      <c r="M70" s="1178"/>
      <c r="N70" s="1178"/>
      <c r="O70" s="1178"/>
      <c r="P70" s="1178"/>
      <c r="Q70" s="1178"/>
      <c r="R70" s="1178"/>
      <c r="S70" s="1178"/>
    </row>
    <row r="71" spans="1:19" ht="16.5" thickTop="1" thickBot="1">
      <c r="A71" s="2331" t="s">
        <v>763</v>
      </c>
      <c r="B71" s="2365"/>
      <c r="C71" s="12"/>
      <c r="D71" s="12"/>
      <c r="E71" s="12"/>
      <c r="F71" s="12"/>
      <c r="G71" s="26"/>
      <c r="H71" s="24"/>
      <c r="I71" s="20"/>
      <c r="J71" s="20"/>
      <c r="K71" s="20"/>
      <c r="L71" s="20"/>
      <c r="M71" s="20"/>
      <c r="N71" s="20"/>
      <c r="O71" s="20"/>
      <c r="P71" s="20"/>
      <c r="Q71" s="20"/>
      <c r="R71" s="20"/>
      <c r="S71" s="20"/>
    </row>
    <row r="72" spans="1:19" ht="15.75" thickTop="1">
      <c r="A72" s="931"/>
      <c r="B72" s="481" t="s">
        <v>764</v>
      </c>
      <c r="C72" s="422"/>
      <c r="D72" s="422"/>
      <c r="E72" s="422"/>
      <c r="F72" s="422"/>
      <c r="G72" s="831"/>
      <c r="H72" s="442"/>
      <c r="I72" s="1178"/>
      <c r="J72" s="1178"/>
      <c r="K72" s="1178"/>
      <c r="L72" s="1178"/>
      <c r="M72" s="1178"/>
      <c r="N72" s="1178"/>
      <c r="O72" s="1178"/>
      <c r="P72" s="1178"/>
      <c r="Q72" s="1178"/>
      <c r="R72" s="1178"/>
      <c r="S72" s="1178"/>
    </row>
    <row r="73" spans="1:19">
      <c r="A73" s="931"/>
      <c r="B73" s="481" t="s">
        <v>765</v>
      </c>
      <c r="C73" s="422"/>
      <c r="D73" s="422"/>
      <c r="E73" s="422"/>
      <c r="F73" s="422"/>
      <c r="G73" s="831"/>
      <c r="H73" s="442"/>
      <c r="I73" s="1178"/>
      <c r="J73" s="1178"/>
      <c r="K73" s="1178"/>
      <c r="L73" s="1178"/>
      <c r="M73" s="1178"/>
      <c r="N73" s="1178"/>
      <c r="O73" s="1178"/>
      <c r="P73" s="1178"/>
      <c r="Q73" s="1178"/>
      <c r="R73" s="1178"/>
      <c r="S73" s="1178"/>
    </row>
    <row r="74" spans="1:19">
      <c r="A74" s="931"/>
      <c r="B74" s="481" t="s">
        <v>766</v>
      </c>
      <c r="C74" s="422"/>
      <c r="D74" s="422"/>
      <c r="E74" s="422"/>
      <c r="F74" s="422"/>
      <c r="G74" s="831"/>
      <c r="H74" s="442"/>
      <c r="I74" s="1178"/>
      <c r="J74" s="1178"/>
      <c r="K74" s="1178"/>
      <c r="L74" s="1178"/>
      <c r="M74" s="1178"/>
      <c r="N74" s="1178"/>
      <c r="O74" s="1178"/>
      <c r="P74" s="1178"/>
      <c r="Q74" s="1178"/>
      <c r="R74" s="1178"/>
      <c r="S74" s="1178"/>
    </row>
    <row r="75" spans="1:19">
      <c r="A75" s="931"/>
      <c r="B75" s="481" t="s">
        <v>767</v>
      </c>
      <c r="C75" s="422"/>
      <c r="D75" s="422"/>
      <c r="E75" s="422"/>
      <c r="F75" s="422"/>
      <c r="G75" s="831"/>
      <c r="H75" s="442"/>
      <c r="I75" s="1178"/>
      <c r="J75" s="1178"/>
      <c r="K75" s="1178"/>
      <c r="L75" s="1178"/>
      <c r="M75" s="1178"/>
      <c r="N75" s="1178"/>
      <c r="O75" s="1178"/>
      <c r="P75" s="1178"/>
      <c r="Q75" s="1178"/>
      <c r="R75" s="1178"/>
      <c r="S75" s="1178"/>
    </row>
    <row r="76" spans="1:19" ht="15.75" thickBot="1">
      <c r="A76" s="475"/>
      <c r="B76" s="340"/>
      <c r="C76" s="86"/>
      <c r="D76" s="86"/>
      <c r="E76" s="86"/>
      <c r="F76" s="86"/>
      <c r="G76" s="27"/>
      <c r="H76" s="25"/>
      <c r="I76" s="444"/>
      <c r="J76" s="444"/>
      <c r="K76" s="444"/>
      <c r="L76" s="444"/>
      <c r="M76" s="444"/>
      <c r="N76" s="444"/>
      <c r="O76" s="444"/>
      <c r="P76" s="444"/>
      <c r="Q76" s="444"/>
      <c r="R76" s="444"/>
      <c r="S76" s="444"/>
    </row>
    <row r="77" spans="1:19" ht="16.5" thickTop="1" thickBot="1">
      <c r="A77" s="7" t="s">
        <v>768</v>
      </c>
      <c r="B77" s="8"/>
      <c r="C77" s="12"/>
      <c r="D77" s="12"/>
      <c r="E77" s="12"/>
      <c r="F77" s="12"/>
      <c r="G77" s="26"/>
      <c r="H77" s="24"/>
      <c r="I77" s="20"/>
      <c r="J77" s="20"/>
      <c r="K77" s="20"/>
      <c r="L77" s="20"/>
      <c r="M77" s="20"/>
      <c r="N77" s="20"/>
      <c r="O77" s="20"/>
      <c r="P77" s="20"/>
      <c r="Q77" s="20"/>
      <c r="R77" s="20"/>
      <c r="S77" s="20"/>
    </row>
    <row r="78" spans="1:19" ht="15.75" thickTop="1">
      <c r="A78" s="1739"/>
      <c r="B78" s="1743" t="s">
        <v>769</v>
      </c>
      <c r="C78" s="1740"/>
      <c r="D78" s="1740"/>
      <c r="E78" s="1740"/>
      <c r="F78" s="1740"/>
      <c r="G78" s="1722"/>
      <c r="H78" s="1730"/>
      <c r="I78" s="1731"/>
      <c r="J78" s="1731"/>
      <c r="K78" s="1731"/>
      <c r="L78" s="1731"/>
      <c r="M78" s="1731"/>
      <c r="N78" s="1731"/>
      <c r="O78" s="1731"/>
      <c r="P78" s="1731"/>
      <c r="Q78" s="1731"/>
      <c r="R78" s="1731"/>
      <c r="S78" s="1731"/>
    </row>
    <row r="79" spans="1:19">
      <c r="A79" s="931"/>
      <c r="B79" s="481" t="s">
        <v>770</v>
      </c>
      <c r="C79" s="422"/>
      <c r="D79" s="422"/>
      <c r="E79" s="422"/>
      <c r="F79" s="422"/>
      <c r="G79" s="831"/>
      <c r="H79" s="445"/>
      <c r="I79" s="1182"/>
      <c r="J79" s="1182"/>
      <c r="K79" s="1182"/>
      <c r="L79" s="1182"/>
      <c r="M79" s="1182"/>
      <c r="N79" s="1182"/>
      <c r="O79" s="1182"/>
      <c r="P79" s="1182"/>
      <c r="Q79" s="1182"/>
      <c r="R79" s="1182"/>
      <c r="S79" s="1182"/>
    </row>
    <row r="80" spans="1:19" ht="15.75" thickBot="1">
      <c r="A80" s="1685"/>
      <c r="B80" s="1686" t="s">
        <v>771</v>
      </c>
      <c r="C80" s="1186"/>
      <c r="D80" s="1186"/>
      <c r="E80" s="1186"/>
      <c r="F80" s="1186"/>
      <c r="G80" s="1187"/>
      <c r="H80" s="1188"/>
      <c r="I80" s="1189"/>
      <c r="J80" s="1189"/>
      <c r="K80" s="1189"/>
      <c r="L80" s="1189"/>
      <c r="M80" s="1189"/>
      <c r="N80" s="1189"/>
      <c r="O80" s="1189"/>
      <c r="P80" s="1189"/>
      <c r="Q80" s="1189"/>
      <c r="R80" s="1189"/>
      <c r="S80" s="1189"/>
    </row>
    <row r="81" spans="1:2" ht="16.5" thickTop="1" thickBot="1"/>
    <row r="82" spans="1:2" ht="16.5" thickTop="1" thickBot="1">
      <c r="A82" s="37" t="s">
        <v>772</v>
      </c>
      <c r="B82" s="39"/>
    </row>
    <row r="83" spans="1:2" ht="15.75" thickTop="1">
      <c r="A83" s="38" t="s">
        <v>693</v>
      </c>
      <c r="B83" s="1190"/>
    </row>
    <row r="84" spans="1:2">
      <c r="A84" s="1142" t="s">
        <v>702</v>
      </c>
      <c r="B84" s="1190"/>
    </row>
    <row r="85" spans="1:2">
      <c r="A85" s="1191" t="s">
        <v>708</v>
      </c>
      <c r="B85" s="1192"/>
    </row>
    <row r="86" spans="1:2">
      <c r="A86" s="1191" t="s">
        <v>713</v>
      </c>
      <c r="B86" s="1193"/>
    </row>
    <row r="87" spans="1:2" ht="15.75" thickBot="1">
      <c r="A87" s="1194" t="s">
        <v>69</v>
      </c>
      <c r="B87" s="1195"/>
    </row>
    <row r="88" spans="1:2" ht="15.75" thickTop="1"/>
    <row r="89" spans="1:2">
      <c r="A89" s="40"/>
      <c r="B89" s="1" t="s">
        <v>1454</v>
      </c>
    </row>
    <row r="90" spans="1:2">
      <c r="A90" s="41"/>
      <c r="B90" s="1" t="s">
        <v>1455</v>
      </c>
    </row>
  </sheetData>
  <mergeCells count="47">
    <mergeCell ref="A55:B55"/>
    <mergeCell ref="A59:B59"/>
    <mergeCell ref="A63:B63"/>
    <mergeCell ref="A67:B67"/>
    <mergeCell ref="A71:B7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F607242E-FC33-4222-A664-21244331EF68}"/>
  </hyperlink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1000-571F-4DD9-8726-188118609417}">
  <sheetPr>
    <tabColor theme="9" tint="0.39997558519241921"/>
  </sheetPr>
  <dimension ref="A1:AO127"/>
  <sheetViews>
    <sheetView zoomScale="90" zoomScaleNormal="90" workbookViewId="0">
      <pane xSplit="2" ySplit="10" topLeftCell="C28" activePane="bottomRight" state="frozen"/>
      <selection pane="topRight" activeCell="C1" sqref="C1"/>
      <selection pane="bottomLeft" activeCell="A11" sqref="A11"/>
      <selection pane="bottomRight" activeCell="B4" sqref="B4"/>
    </sheetView>
  </sheetViews>
  <sheetFormatPr defaultRowHeight="15"/>
  <cols>
    <col min="1" max="1" width="11" customWidth="1"/>
    <col min="2" max="2" width="70.7109375" style="1" customWidth="1"/>
    <col min="3" max="3" width="13.28515625" style="2" bestFit="1" customWidth="1"/>
    <col min="4"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66" t="s">
        <v>1878</v>
      </c>
      <c r="I5" s="2367"/>
      <c r="J5" s="2321"/>
      <c r="K5" s="2322"/>
      <c r="L5" s="2321"/>
      <c r="M5" s="2322"/>
      <c r="N5" s="2321"/>
      <c r="O5" s="2322"/>
      <c r="P5" s="2333"/>
      <c r="Q5" s="2334"/>
      <c r="R5" s="2333"/>
      <c r="S5" s="2334"/>
      <c r="X5" s="261"/>
    </row>
    <row r="6" spans="1:24">
      <c r="A6" s="1082" t="s">
        <v>700</v>
      </c>
      <c r="B6" s="1196" t="s">
        <v>128</v>
      </c>
      <c r="C6" s="415"/>
      <c r="D6" s="416"/>
      <c r="E6" s="417"/>
      <c r="F6" s="418"/>
      <c r="G6" s="419" t="s">
        <v>702</v>
      </c>
      <c r="H6" s="2368" t="s">
        <v>1879</v>
      </c>
      <c r="I6" s="2369"/>
      <c r="J6" s="2325"/>
      <c r="K6" s="2326"/>
      <c r="L6" s="2325"/>
      <c r="M6" s="2326"/>
      <c r="N6" s="2325"/>
      <c r="O6" s="2326"/>
      <c r="P6" s="2313"/>
      <c r="Q6" s="2314"/>
      <c r="R6" s="2313"/>
      <c r="S6" s="2314"/>
      <c r="X6" s="261"/>
    </row>
    <row r="7" spans="1:24">
      <c r="A7" s="1082" t="s">
        <v>706</v>
      </c>
      <c r="B7" s="1197" t="s">
        <v>343</v>
      </c>
      <c r="C7" s="415"/>
      <c r="D7" s="416"/>
      <c r="E7" s="417"/>
      <c r="F7" s="418"/>
      <c r="G7" s="829" t="s">
        <v>708</v>
      </c>
      <c r="H7" s="2368" t="s">
        <v>1880</v>
      </c>
      <c r="I7" s="2369"/>
      <c r="J7" s="2325"/>
      <c r="K7" s="2326"/>
      <c r="L7" s="2325"/>
      <c r="M7" s="2326"/>
      <c r="N7" s="2325"/>
      <c r="O7" s="2326"/>
      <c r="P7" s="2313"/>
      <c r="Q7" s="2314"/>
      <c r="R7" s="2313"/>
      <c r="S7" s="2314"/>
      <c r="X7" s="261"/>
    </row>
    <row r="8" spans="1:24">
      <c r="A8" s="1082" t="s">
        <v>712</v>
      </c>
      <c r="B8" s="1198"/>
      <c r="C8" s="415"/>
      <c r="D8" s="416"/>
      <c r="E8" s="417"/>
      <c r="F8" s="418"/>
      <c r="G8" s="829" t="s">
        <v>713</v>
      </c>
      <c r="H8" s="2343" t="s">
        <v>1881</v>
      </c>
      <c r="I8" s="2344"/>
      <c r="J8" s="2329"/>
      <c r="K8" s="2328"/>
      <c r="L8" s="2329"/>
      <c r="M8" s="2328"/>
      <c r="N8" s="2329"/>
      <c r="O8" s="2328"/>
      <c r="P8" s="2315"/>
      <c r="Q8" s="2316"/>
      <c r="R8" s="2315"/>
      <c r="S8" s="2316"/>
      <c r="X8" s="261"/>
    </row>
    <row r="9" spans="1:24" ht="15.75" thickBot="1">
      <c r="A9" s="420"/>
      <c r="B9" s="421"/>
      <c r="C9" s="23"/>
      <c r="D9" s="265"/>
      <c r="E9" s="266"/>
      <c r="F9" s="283"/>
      <c r="G9" s="284" t="s">
        <v>717</v>
      </c>
      <c r="H9" s="2317">
        <f>I54</f>
        <v>524167.01609999995</v>
      </c>
      <c r="I9" s="2318"/>
      <c r="J9" s="2317">
        <f>K54</f>
        <v>0</v>
      </c>
      <c r="K9" s="2318"/>
      <c r="L9" s="2317">
        <f>M54</f>
        <v>0</v>
      </c>
      <c r="M9" s="2318"/>
      <c r="N9" s="2330">
        <f>O54</f>
        <v>0</v>
      </c>
      <c r="O9" s="2330"/>
      <c r="P9" s="2317">
        <f>Q54</f>
        <v>0</v>
      </c>
      <c r="Q9" s="2318"/>
      <c r="R9" s="2317">
        <f>S54</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589"/>
      <c r="B11" s="1590" t="s">
        <v>725</v>
      </c>
      <c r="C11" s="1554"/>
      <c r="D11" s="1740"/>
      <c r="E11" s="1740"/>
      <c r="F11" s="1744"/>
      <c r="G11" s="1745"/>
      <c r="H11" s="1591"/>
      <c r="I11" s="1746"/>
      <c r="J11" s="1591"/>
      <c r="K11" s="285"/>
      <c r="L11" s="1591"/>
      <c r="M11" s="1747"/>
      <c r="N11" s="1591"/>
      <c r="O11" s="1747"/>
      <c r="P11" s="1591"/>
      <c r="Q11" s="1747"/>
      <c r="R11" s="1591"/>
      <c r="S11" s="1747"/>
    </row>
    <row r="12" spans="1:24">
      <c r="A12" s="1589"/>
      <c r="B12" s="1263" t="s">
        <v>726</v>
      </c>
      <c r="C12" s="446"/>
      <c r="D12" s="422"/>
      <c r="E12" s="422"/>
      <c r="F12" s="418"/>
      <c r="G12" s="423"/>
      <c r="H12" s="1264" t="s">
        <v>727</v>
      </c>
      <c r="I12" s="1746"/>
      <c r="J12" s="1264"/>
      <c r="K12" s="1747"/>
      <c r="L12" s="1264"/>
      <c r="M12" s="1747"/>
      <c r="N12" s="1264"/>
      <c r="O12" s="1747"/>
      <c r="P12" s="1264"/>
      <c r="Q12" s="1747"/>
      <c r="R12" s="1264"/>
      <c r="S12" s="1747"/>
    </row>
    <row r="13" spans="1:24">
      <c r="A13" s="1097"/>
      <c r="B13" s="1263" t="s">
        <v>728</v>
      </c>
      <c r="C13" s="446"/>
      <c r="D13" s="422"/>
      <c r="E13" s="422"/>
      <c r="F13" s="418"/>
      <c r="G13" s="423"/>
      <c r="H13" s="1264" t="s">
        <v>727</v>
      </c>
      <c r="I13" s="1746"/>
      <c r="J13" s="1264"/>
      <c r="K13" s="1747"/>
      <c r="L13" s="1264"/>
      <c r="M13" s="1747"/>
      <c r="N13" s="1264"/>
      <c r="O13" s="1747"/>
      <c r="P13" s="1264"/>
      <c r="Q13" s="1747"/>
      <c r="R13" s="1264"/>
      <c r="S13" s="1747"/>
    </row>
    <row r="14" spans="1:24">
      <c r="A14" s="1589"/>
      <c r="B14" s="1265" t="s">
        <v>729</v>
      </c>
      <c r="C14" s="446"/>
      <c r="D14" s="422"/>
      <c r="E14" s="422"/>
      <c r="F14" s="418"/>
      <c r="G14" s="423"/>
      <c r="H14" s="1264" t="s">
        <v>730</v>
      </c>
      <c r="I14" s="1748" t="s">
        <v>837</v>
      </c>
      <c r="J14" s="1264"/>
      <c r="K14" s="1747"/>
      <c r="L14" s="1264"/>
      <c r="M14" s="1747"/>
      <c r="N14" s="1264"/>
      <c r="O14" s="1747"/>
      <c r="P14" s="1264"/>
      <c r="Q14" s="1747"/>
      <c r="R14" s="1264"/>
      <c r="S14" s="1747"/>
    </row>
    <row r="15" spans="1:24">
      <c r="A15" s="1097"/>
      <c r="B15" s="1265" t="s">
        <v>731</v>
      </c>
      <c r="C15" s="446"/>
      <c r="D15" s="422"/>
      <c r="E15" s="422"/>
      <c r="F15" s="418"/>
      <c r="G15" s="423"/>
      <c r="H15" s="1264" t="s">
        <v>727</v>
      </c>
      <c r="I15" s="1746"/>
      <c r="J15" s="1264"/>
      <c r="K15" s="1746"/>
      <c r="L15" s="1264"/>
      <c r="M15" s="1746"/>
      <c r="N15" s="1264"/>
      <c r="O15" s="1746"/>
      <c r="P15" s="1264"/>
      <c r="Q15" s="1746"/>
      <c r="R15" s="1264"/>
      <c r="S15" s="1746"/>
    </row>
    <row r="16" spans="1:24">
      <c r="A16" s="1589"/>
      <c r="B16" s="1265" t="s">
        <v>732</v>
      </c>
      <c r="C16" s="446"/>
      <c r="D16" s="422"/>
      <c r="E16" s="422"/>
      <c r="F16" s="418"/>
      <c r="G16" s="423"/>
      <c r="H16" s="1264" t="s">
        <v>727</v>
      </c>
      <c r="I16" s="1746"/>
      <c r="J16" s="1264"/>
      <c r="K16" s="1747"/>
      <c r="L16" s="1264"/>
      <c r="M16" s="1747"/>
      <c r="N16" s="1264"/>
      <c r="O16" s="1747"/>
      <c r="P16" s="1264"/>
      <c r="Q16" s="1747"/>
      <c r="R16" s="1264"/>
      <c r="S16" s="1747"/>
    </row>
    <row r="17" spans="1:41">
      <c r="A17" s="1097"/>
      <c r="B17" s="1265" t="s">
        <v>733</v>
      </c>
      <c r="C17" s="446"/>
      <c r="D17" s="422"/>
      <c r="E17" s="422"/>
      <c r="F17" s="418"/>
      <c r="G17" s="423"/>
      <c r="H17" s="1264" t="s">
        <v>727</v>
      </c>
      <c r="I17" s="1746"/>
      <c r="J17" s="1264"/>
      <c r="K17" s="1747"/>
      <c r="L17" s="1264"/>
      <c r="M17" s="1747"/>
      <c r="N17" s="1264"/>
      <c r="O17" s="1747"/>
      <c r="P17" s="1264"/>
      <c r="Q17" s="1747"/>
      <c r="R17" s="1264"/>
      <c r="S17" s="1747"/>
    </row>
    <row r="18" spans="1:41">
      <c r="A18" s="1589"/>
      <c r="B18" s="534" t="s">
        <v>734</v>
      </c>
      <c r="C18" s="446"/>
      <c r="D18" s="422"/>
      <c r="E18" s="422"/>
      <c r="F18" s="418"/>
      <c r="G18" s="423"/>
      <c r="H18" s="1264" t="s">
        <v>730</v>
      </c>
      <c r="I18" s="1746" t="s">
        <v>1882</v>
      </c>
      <c r="J18" s="1264"/>
      <c r="K18" s="1747"/>
      <c r="L18" s="1264"/>
      <c r="M18" s="1747"/>
      <c r="N18" s="1264"/>
      <c r="O18" s="1747"/>
      <c r="P18" s="1264"/>
      <c r="Q18" s="1747"/>
      <c r="R18" s="1264"/>
      <c r="S18" s="1747"/>
    </row>
    <row r="19" spans="1:41">
      <c r="A19" s="1589"/>
      <c r="B19" s="1154" t="s">
        <v>736</v>
      </c>
      <c r="C19" s="446"/>
      <c r="D19" s="422"/>
      <c r="E19" s="422"/>
      <c r="F19" s="418"/>
      <c r="G19" s="423"/>
      <c r="H19" s="1264"/>
      <c r="I19" s="1746"/>
      <c r="J19" s="1264"/>
      <c r="K19" s="1747"/>
      <c r="L19" s="1264"/>
      <c r="M19" s="1747"/>
      <c r="N19" s="1264"/>
      <c r="O19" s="1747"/>
      <c r="P19" s="1264"/>
      <c r="Q19" s="1747"/>
      <c r="R19" s="1264"/>
      <c r="S19" s="1747"/>
    </row>
    <row r="20" spans="1:41" ht="15.75" thickBot="1">
      <c r="A20" s="1097"/>
      <c r="B20" s="364" t="s">
        <v>737</v>
      </c>
      <c r="C20" s="447"/>
      <c r="D20" s="425"/>
      <c r="E20" s="425"/>
      <c r="F20" s="426"/>
      <c r="G20" s="427"/>
      <c r="H20" s="1156"/>
      <c r="I20" s="1749"/>
      <c r="J20" s="1156"/>
      <c r="K20" s="1750"/>
      <c r="L20" s="1156"/>
      <c r="M20" s="1750"/>
      <c r="N20" s="1156"/>
      <c r="O20" s="1750"/>
      <c r="P20" s="1156"/>
      <c r="Q20" s="1750"/>
      <c r="R20" s="1156"/>
      <c r="S20" s="1750"/>
    </row>
    <row r="21" spans="1:41" ht="15.75" thickTop="1">
      <c r="A21" s="1589"/>
      <c r="B21" s="375" t="s">
        <v>1883</v>
      </c>
      <c r="C21" s="70"/>
      <c r="D21" s="86"/>
      <c r="E21" s="86"/>
      <c r="F21" s="280"/>
      <c r="G21" s="274"/>
      <c r="H21" s="1264"/>
      <c r="I21" s="428"/>
      <c r="J21" s="1264"/>
      <c r="K21" s="428"/>
      <c r="L21" s="1264"/>
      <c r="M21" s="428"/>
      <c r="N21" s="1264"/>
      <c r="O21" s="428"/>
      <c r="P21" s="1264"/>
      <c r="Q21" s="428"/>
      <c r="R21" s="1264"/>
      <c r="S21" s="428"/>
    </row>
    <row r="22" spans="1:41" ht="15.75" thickBot="1">
      <c r="A22" s="1589"/>
      <c r="B22" s="365" t="s">
        <v>1884</v>
      </c>
      <c r="C22" s="70"/>
      <c r="D22" s="86"/>
      <c r="E22" s="86"/>
      <c r="F22" s="280"/>
      <c r="G22" s="274"/>
      <c r="H22" s="1264"/>
      <c r="I22" s="461"/>
      <c r="J22" s="1264"/>
      <c r="K22" s="428"/>
      <c r="L22" s="1264"/>
      <c r="M22" s="428"/>
      <c r="N22" s="1264"/>
      <c r="O22" s="461"/>
      <c r="P22" s="1264"/>
      <c r="Q22" s="461"/>
      <c r="R22" s="1264"/>
      <c r="S22" s="428"/>
    </row>
    <row r="23" spans="1:41" s="69" customFormat="1" ht="15.75" thickTop="1">
      <c r="A23" s="1097"/>
      <c r="B23" s="380" t="s">
        <v>1885</v>
      </c>
      <c r="C23" s="415"/>
      <c r="D23" s="493">
        <v>11</v>
      </c>
      <c r="E23" s="493" t="s">
        <v>468</v>
      </c>
      <c r="F23" s="429"/>
      <c r="G23" s="423"/>
      <c r="H23" s="1264" t="s">
        <v>727</v>
      </c>
      <c r="I23" s="1107">
        <v>57134</v>
      </c>
      <c r="J23" s="1264"/>
      <c r="K23" s="1106"/>
      <c r="L23" s="1264"/>
      <c r="M23" s="1106"/>
      <c r="N23" s="1264"/>
      <c r="O23" s="1107"/>
      <c r="P23" s="1264"/>
      <c r="Q23" s="1107"/>
      <c r="R23" s="1264"/>
      <c r="S23" s="1106"/>
      <c r="T23"/>
      <c r="U23"/>
      <c r="V23"/>
      <c r="W23"/>
      <c r="X23"/>
      <c r="Y23"/>
      <c r="Z23"/>
      <c r="AA23"/>
      <c r="AB23"/>
      <c r="AC23"/>
      <c r="AD23"/>
      <c r="AE23"/>
      <c r="AF23"/>
      <c r="AG23"/>
      <c r="AH23"/>
      <c r="AI23"/>
      <c r="AJ23"/>
      <c r="AK23"/>
      <c r="AL23"/>
      <c r="AM23"/>
      <c r="AN23"/>
      <c r="AO23"/>
    </row>
    <row r="24" spans="1:41">
      <c r="A24" s="1097"/>
      <c r="B24" s="383" t="s">
        <v>1886</v>
      </c>
      <c r="C24" s="415"/>
      <c r="D24" s="493">
        <v>11</v>
      </c>
      <c r="E24" s="493" t="s">
        <v>468</v>
      </c>
      <c r="F24" s="431"/>
      <c r="G24" s="1751"/>
      <c r="H24" s="1264" t="s">
        <v>727</v>
      </c>
      <c r="I24" s="1747"/>
      <c r="J24" s="1264"/>
      <c r="K24" s="1747"/>
      <c r="L24" s="1264"/>
      <c r="M24" s="1747"/>
      <c r="N24" s="1264"/>
      <c r="O24" s="1747"/>
      <c r="P24" s="1264"/>
      <c r="Q24" s="1747"/>
      <c r="R24" s="1264"/>
      <c r="S24" s="1747"/>
    </row>
    <row r="25" spans="1:41">
      <c r="A25" s="1589"/>
      <c r="B25" s="383" t="s">
        <v>1887</v>
      </c>
      <c r="C25" s="415"/>
      <c r="D25" s="493">
        <v>11</v>
      </c>
      <c r="E25" s="493" t="s">
        <v>468</v>
      </c>
      <c r="F25" s="431"/>
      <c r="G25" s="1751"/>
      <c r="H25" s="1264" t="s">
        <v>727</v>
      </c>
      <c r="I25" s="1747"/>
      <c r="J25" s="1264"/>
      <c r="K25" s="1747"/>
      <c r="L25" s="1264"/>
      <c r="M25" s="1747"/>
      <c r="N25" s="1264"/>
      <c r="O25" s="1747"/>
      <c r="P25" s="1264"/>
      <c r="Q25" s="1747"/>
      <c r="R25" s="1264"/>
      <c r="S25" s="1747"/>
    </row>
    <row r="26" spans="1:41">
      <c r="A26" s="1097"/>
      <c r="B26" s="383" t="s">
        <v>1888</v>
      </c>
      <c r="C26" s="415"/>
      <c r="D26" s="493">
        <v>11</v>
      </c>
      <c r="E26" s="493" t="s">
        <v>468</v>
      </c>
      <c r="F26" s="431"/>
      <c r="G26" s="1751"/>
      <c r="H26" s="1264" t="s">
        <v>727</v>
      </c>
      <c r="I26" s="1747"/>
      <c r="J26" s="1264"/>
      <c r="K26" s="1747"/>
      <c r="L26" s="1264"/>
      <c r="M26" s="1747"/>
      <c r="N26" s="1264"/>
      <c r="O26" s="1747"/>
      <c r="P26" s="1264"/>
      <c r="Q26" s="1747"/>
      <c r="R26" s="1264"/>
      <c r="S26" s="1747"/>
    </row>
    <row r="27" spans="1:41">
      <c r="A27" s="1589"/>
      <c r="B27" s="383" t="s">
        <v>1889</v>
      </c>
      <c r="C27" s="415"/>
      <c r="D27" s="493">
        <v>11</v>
      </c>
      <c r="E27" s="493" t="s">
        <v>468</v>
      </c>
      <c r="F27" s="431"/>
      <c r="G27" s="1751"/>
      <c r="H27" s="1264" t="s">
        <v>727</v>
      </c>
      <c r="I27" s="1747"/>
      <c r="J27" s="1264"/>
      <c r="K27" s="1747"/>
      <c r="L27" s="1264"/>
      <c r="M27" s="1747"/>
      <c r="N27" s="1264"/>
      <c r="O27" s="1747"/>
      <c r="P27" s="1264"/>
      <c r="Q27" s="1747"/>
      <c r="R27" s="1264"/>
      <c r="S27" s="1747"/>
    </row>
    <row r="28" spans="1:41">
      <c r="A28" s="1097"/>
      <c r="B28" s="383" t="s">
        <v>1890</v>
      </c>
      <c r="C28" s="415"/>
      <c r="D28" s="493">
        <v>11</v>
      </c>
      <c r="E28" s="493" t="s">
        <v>468</v>
      </c>
      <c r="F28" s="431"/>
      <c r="G28" s="1751"/>
      <c r="H28" s="1264" t="s">
        <v>727</v>
      </c>
      <c r="I28" s="1747"/>
      <c r="J28" s="1264"/>
      <c r="K28" s="1747"/>
      <c r="L28" s="1264"/>
      <c r="M28" s="1747"/>
      <c r="N28" s="1264"/>
      <c r="O28" s="1747"/>
      <c r="P28" s="1264"/>
      <c r="Q28" s="1747"/>
      <c r="R28" s="1264"/>
      <c r="S28" s="1747"/>
    </row>
    <row r="29" spans="1:41" ht="15.75" thickBot="1">
      <c r="A29" s="360"/>
      <c r="B29" s="366" t="s">
        <v>1891</v>
      </c>
      <c r="C29" s="415"/>
      <c r="D29" s="493">
        <v>11</v>
      </c>
      <c r="E29" s="493" t="s">
        <v>468</v>
      </c>
      <c r="F29" s="431"/>
      <c r="G29" s="1751"/>
      <c r="H29" s="1264" t="s">
        <v>727</v>
      </c>
      <c r="I29" s="1747"/>
      <c r="J29" s="1264"/>
      <c r="K29" s="1747"/>
      <c r="L29" s="1264"/>
      <c r="M29" s="1747"/>
      <c r="N29" s="1264"/>
      <c r="O29" s="1747"/>
      <c r="P29" s="1264"/>
      <c r="Q29" s="1747"/>
      <c r="R29" s="1264"/>
      <c r="S29" s="1747"/>
    </row>
    <row r="30" spans="1:41" ht="16.5" thickTop="1" thickBot="1">
      <c r="A30" s="361"/>
      <c r="B30" s="368" t="s">
        <v>1892</v>
      </c>
      <c r="C30" s="415"/>
      <c r="D30" s="493"/>
      <c r="E30" s="493"/>
      <c r="F30" s="431"/>
      <c r="G30" s="1751"/>
      <c r="H30" s="1264"/>
      <c r="I30" s="1747"/>
      <c r="J30" s="1264"/>
      <c r="K30" s="1747"/>
      <c r="L30" s="1264"/>
      <c r="M30" s="1747"/>
      <c r="N30" s="1264"/>
      <c r="O30" s="1747"/>
      <c r="P30" s="1264"/>
      <c r="Q30" s="1747"/>
      <c r="R30" s="1264"/>
      <c r="S30" s="1747"/>
    </row>
    <row r="31" spans="1:41" ht="15.75" thickTop="1">
      <c r="A31" s="362"/>
      <c r="B31" s="367" t="s">
        <v>1893</v>
      </c>
      <c r="C31" s="415"/>
      <c r="D31" s="493">
        <v>93</v>
      </c>
      <c r="E31" s="493" t="s">
        <v>468</v>
      </c>
      <c r="F31" s="431"/>
      <c r="G31" s="1751"/>
      <c r="H31" s="1264" t="s">
        <v>727</v>
      </c>
      <c r="I31" s="1747">
        <v>403685.1</v>
      </c>
      <c r="J31" s="1264"/>
      <c r="K31" s="1747"/>
      <c r="L31" s="1264"/>
      <c r="M31" s="1747"/>
      <c r="N31" s="1264"/>
      <c r="O31" s="1747"/>
      <c r="P31" s="1264"/>
      <c r="Q31" s="1747"/>
      <c r="R31" s="1264"/>
      <c r="S31" s="1747"/>
    </row>
    <row r="32" spans="1:41">
      <c r="A32" s="1589"/>
      <c r="B32" s="380" t="s">
        <v>1894</v>
      </c>
      <c r="C32" s="415"/>
      <c r="D32" s="493">
        <v>93</v>
      </c>
      <c r="E32" s="493" t="s">
        <v>468</v>
      </c>
      <c r="F32" s="431"/>
      <c r="G32" s="1751"/>
      <c r="H32" s="1264" t="s">
        <v>727</v>
      </c>
      <c r="I32" s="1747"/>
      <c r="J32" s="1264"/>
      <c r="K32" s="1747"/>
      <c r="L32" s="1264"/>
      <c r="M32" s="1747"/>
      <c r="N32" s="1264"/>
      <c r="O32" s="1747"/>
      <c r="P32" s="1264"/>
      <c r="Q32" s="1747"/>
      <c r="R32" s="1264"/>
      <c r="S32" s="1747"/>
    </row>
    <row r="33" spans="1:19">
      <c r="A33" s="1589"/>
      <c r="B33" s="363" t="s">
        <v>1895</v>
      </c>
      <c r="C33" s="23"/>
      <c r="D33" s="493">
        <v>93</v>
      </c>
      <c r="E33" s="493" t="s">
        <v>468</v>
      </c>
      <c r="F33" s="431"/>
      <c r="G33" s="1751"/>
      <c r="H33" s="1264" t="s">
        <v>727</v>
      </c>
      <c r="I33" s="1747"/>
      <c r="J33" s="1264"/>
      <c r="K33" s="1747"/>
      <c r="L33" s="1264"/>
      <c r="M33" s="1747"/>
      <c r="N33" s="1264"/>
      <c r="O33" s="1747"/>
      <c r="P33" s="1264"/>
      <c r="Q33" s="1747"/>
      <c r="R33" s="1264"/>
      <c r="S33" s="1747"/>
    </row>
    <row r="34" spans="1:19">
      <c r="A34" s="1589"/>
      <c r="B34" s="789" t="s">
        <v>1896</v>
      </c>
      <c r="C34" s="1548"/>
      <c r="D34" s="493">
        <v>93</v>
      </c>
      <c r="E34" s="493" t="s">
        <v>468</v>
      </c>
      <c r="F34" s="1752"/>
      <c r="G34" s="1751"/>
      <c r="H34" s="1264" t="s">
        <v>727</v>
      </c>
      <c r="I34" s="1747"/>
      <c r="J34" s="1264"/>
      <c r="K34" s="1747"/>
      <c r="L34" s="1264"/>
      <c r="M34" s="1747"/>
      <c r="N34" s="1264"/>
      <c r="O34" s="1747"/>
      <c r="P34" s="1264"/>
      <c r="Q34" s="1747"/>
      <c r="R34" s="1264"/>
      <c r="S34" s="1747"/>
    </row>
    <row r="35" spans="1:19">
      <c r="A35" s="1097"/>
      <c r="B35" s="363" t="s">
        <v>1890</v>
      </c>
      <c r="C35" s="23"/>
      <c r="D35" s="493">
        <v>93</v>
      </c>
      <c r="E35" s="493" t="s">
        <v>468</v>
      </c>
      <c r="F35" s="431"/>
      <c r="G35" s="1751"/>
      <c r="H35" s="1264" t="s">
        <v>727</v>
      </c>
      <c r="I35" s="1747"/>
      <c r="J35" s="1264"/>
      <c r="K35" s="1747"/>
      <c r="L35" s="1264"/>
      <c r="M35" s="1747"/>
      <c r="N35" s="1264"/>
      <c r="O35" s="1747"/>
      <c r="P35" s="1264"/>
      <c r="Q35" s="1747"/>
      <c r="R35" s="1264"/>
      <c r="S35" s="1747"/>
    </row>
    <row r="36" spans="1:19" ht="15.75" thickBot="1">
      <c r="A36" s="1589"/>
      <c r="B36" s="369" t="s">
        <v>1897</v>
      </c>
      <c r="C36" s="23"/>
      <c r="D36" s="493">
        <v>93</v>
      </c>
      <c r="E36" s="493" t="s">
        <v>468</v>
      </c>
      <c r="F36" s="431"/>
      <c r="G36" s="1751"/>
      <c r="H36" s="1264" t="s">
        <v>727</v>
      </c>
      <c r="I36" s="1747"/>
      <c r="J36" s="1264"/>
      <c r="K36" s="1747"/>
      <c r="L36" s="1264"/>
      <c r="M36" s="1747"/>
      <c r="N36" s="1264"/>
      <c r="O36" s="1747"/>
      <c r="P36" s="1264"/>
      <c r="Q36" s="1747"/>
      <c r="R36" s="1264"/>
      <c r="S36" s="1747"/>
    </row>
    <row r="37" spans="1:19" ht="16.5" thickTop="1" thickBot="1">
      <c r="A37" s="1589"/>
      <c r="B37" s="370" t="s">
        <v>1898</v>
      </c>
      <c r="C37" s="23"/>
      <c r="D37" s="376"/>
      <c r="E37" s="376"/>
      <c r="F37" s="431"/>
      <c r="G37" s="1751"/>
      <c r="H37" s="1264"/>
      <c r="I37" s="1747"/>
      <c r="J37" s="1264"/>
      <c r="K37" s="1747"/>
      <c r="L37" s="1264"/>
      <c r="M37" s="1747"/>
      <c r="N37" s="1264"/>
      <c r="O37" s="1747"/>
      <c r="P37" s="1264"/>
      <c r="Q37" s="1747"/>
      <c r="R37" s="1264"/>
      <c r="S37" s="1747"/>
    </row>
    <row r="38" spans="1:19" ht="15.75" thickTop="1">
      <c r="A38" s="1589"/>
      <c r="B38" s="371" t="s">
        <v>1885</v>
      </c>
      <c r="C38" s="23"/>
      <c r="D38" s="376">
        <v>4</v>
      </c>
      <c r="E38" s="493" t="s">
        <v>468</v>
      </c>
      <c r="F38" s="431"/>
      <c r="G38" s="1751"/>
      <c r="H38" s="1264" t="s">
        <v>727</v>
      </c>
      <c r="I38" s="1747">
        <v>57134</v>
      </c>
      <c r="J38" s="1264"/>
      <c r="K38" s="1747"/>
      <c r="L38" s="1264"/>
      <c r="M38" s="1747"/>
      <c r="N38" s="1264"/>
      <c r="O38" s="1747"/>
      <c r="P38" s="1264"/>
      <c r="Q38" s="1747"/>
      <c r="R38" s="1264"/>
      <c r="S38" s="1747"/>
    </row>
    <row r="39" spans="1:19">
      <c r="A39" s="1589"/>
      <c r="B39" s="372" t="s">
        <v>1886</v>
      </c>
      <c r="C39" s="23"/>
      <c r="D39" s="376">
        <v>4</v>
      </c>
      <c r="E39" s="493" t="s">
        <v>468</v>
      </c>
      <c r="F39" s="431"/>
      <c r="G39" s="1751"/>
      <c r="H39" s="1264" t="s">
        <v>727</v>
      </c>
      <c r="I39" s="1747"/>
      <c r="J39" s="1264"/>
      <c r="K39" s="1747"/>
      <c r="L39" s="1264"/>
      <c r="M39" s="1747"/>
      <c r="N39" s="1264"/>
      <c r="O39" s="1747"/>
      <c r="P39" s="1264"/>
      <c r="Q39" s="1747"/>
      <c r="R39" s="1264"/>
      <c r="S39" s="1747"/>
    </row>
    <row r="40" spans="1:19">
      <c r="A40" s="1589"/>
      <c r="B40" s="372" t="s">
        <v>1887</v>
      </c>
      <c r="C40" s="23"/>
      <c r="D40" s="376">
        <v>4</v>
      </c>
      <c r="E40" s="493" t="s">
        <v>468</v>
      </c>
      <c r="F40" s="431"/>
      <c r="G40" s="1751"/>
      <c r="H40" s="1264" t="s">
        <v>727</v>
      </c>
      <c r="I40" s="1747"/>
      <c r="J40" s="1264"/>
      <c r="K40" s="1747"/>
      <c r="L40" s="1264"/>
      <c r="M40" s="1747"/>
      <c r="N40" s="1264"/>
      <c r="O40" s="1747"/>
      <c r="P40" s="1264"/>
      <c r="Q40" s="1747"/>
      <c r="R40" s="1264"/>
      <c r="S40" s="1747"/>
    </row>
    <row r="41" spans="1:19">
      <c r="A41" s="1589"/>
      <c r="B41" s="372" t="s">
        <v>1888</v>
      </c>
      <c r="C41" s="23"/>
      <c r="D41" s="376">
        <v>4</v>
      </c>
      <c r="E41" s="493" t="s">
        <v>468</v>
      </c>
      <c r="F41" s="431"/>
      <c r="G41" s="1751"/>
      <c r="H41" s="1264" t="s">
        <v>727</v>
      </c>
      <c r="I41" s="1747"/>
      <c r="J41" s="1264"/>
      <c r="K41" s="1747"/>
      <c r="L41" s="1264"/>
      <c r="M41" s="1747"/>
      <c r="N41" s="1264"/>
      <c r="O41" s="1747"/>
      <c r="P41" s="1264"/>
      <c r="Q41" s="1747"/>
      <c r="R41" s="1264"/>
      <c r="S41" s="1747"/>
    </row>
    <row r="42" spans="1:19">
      <c r="A42" s="1589"/>
      <c r="B42" s="372" t="s">
        <v>1889</v>
      </c>
      <c r="C42" s="23"/>
      <c r="D42" s="376">
        <v>4</v>
      </c>
      <c r="E42" s="493" t="s">
        <v>468</v>
      </c>
      <c r="F42" s="431"/>
      <c r="G42" s="1751"/>
      <c r="H42" s="1264" t="s">
        <v>727</v>
      </c>
      <c r="I42" s="1747"/>
      <c r="J42" s="1264"/>
      <c r="K42" s="1747"/>
      <c r="L42" s="1264"/>
      <c r="M42" s="1747"/>
      <c r="N42" s="1264"/>
      <c r="O42" s="1747"/>
      <c r="P42" s="1264"/>
      <c r="Q42" s="1747"/>
      <c r="R42" s="1264"/>
      <c r="S42" s="1747"/>
    </row>
    <row r="43" spans="1:19">
      <c r="A43" s="1589"/>
      <c r="B43" s="372" t="s">
        <v>1890</v>
      </c>
      <c r="C43" s="23"/>
      <c r="D43" s="376">
        <v>4</v>
      </c>
      <c r="E43" s="493" t="s">
        <v>468</v>
      </c>
      <c r="F43" s="431"/>
      <c r="G43" s="1751"/>
      <c r="H43" s="1264" t="s">
        <v>727</v>
      </c>
      <c r="I43" s="1747"/>
      <c r="J43" s="1264"/>
      <c r="K43" s="1747"/>
      <c r="L43" s="1264"/>
      <c r="M43" s="1747"/>
      <c r="N43" s="1264"/>
      <c r="O43" s="1747"/>
      <c r="P43" s="1264"/>
      <c r="Q43" s="1747"/>
      <c r="R43" s="1264"/>
      <c r="S43" s="1747"/>
    </row>
    <row r="44" spans="1:19">
      <c r="A44" s="1589"/>
      <c r="B44" s="372" t="s">
        <v>1899</v>
      </c>
      <c r="C44" s="23"/>
      <c r="D44" s="376">
        <v>4</v>
      </c>
      <c r="E44" s="493" t="s">
        <v>468</v>
      </c>
      <c r="F44" s="431"/>
      <c r="G44" s="1751"/>
      <c r="H44" s="1264" t="s">
        <v>727</v>
      </c>
      <c r="I44" s="1747"/>
      <c r="J44" s="1264"/>
      <c r="K44" s="1747"/>
      <c r="L44" s="1264"/>
      <c r="M44" s="1747"/>
      <c r="N44" s="1264"/>
      <c r="O44" s="1747"/>
      <c r="P44" s="1264"/>
      <c r="Q44" s="1747"/>
      <c r="R44" s="1264"/>
      <c r="S44" s="1747"/>
    </row>
    <row r="45" spans="1:19" ht="15.75" thickBot="1">
      <c r="A45" s="1589"/>
      <c r="B45" s="373" t="s">
        <v>1900</v>
      </c>
      <c r="C45" s="23"/>
      <c r="D45" s="376">
        <v>4</v>
      </c>
      <c r="E45" s="493" t="s">
        <v>468</v>
      </c>
      <c r="F45" s="431"/>
      <c r="G45" s="1751"/>
      <c r="H45" s="1264" t="s">
        <v>727</v>
      </c>
      <c r="I45" s="1747"/>
      <c r="J45" s="1264"/>
      <c r="K45" s="1747"/>
      <c r="L45" s="1264"/>
      <c r="M45" s="1747"/>
      <c r="N45" s="1264"/>
      <c r="O45" s="1747"/>
      <c r="P45" s="1264"/>
      <c r="Q45" s="1747"/>
      <c r="R45" s="1264"/>
      <c r="S45" s="1747"/>
    </row>
    <row r="46" spans="1:19" ht="16.5" thickTop="1" thickBot="1">
      <c r="A46" s="1589"/>
      <c r="B46" s="370" t="s">
        <v>1901</v>
      </c>
      <c r="C46" s="23"/>
      <c r="D46" s="376"/>
      <c r="E46" s="376"/>
      <c r="F46" s="431"/>
      <c r="G46" s="1751"/>
      <c r="H46" s="1264"/>
      <c r="I46" s="1747"/>
      <c r="J46" s="1264"/>
      <c r="K46" s="1747"/>
      <c r="L46" s="1264"/>
      <c r="M46" s="1747"/>
      <c r="N46" s="1264"/>
      <c r="O46" s="1747"/>
      <c r="P46" s="1264"/>
      <c r="Q46" s="1747"/>
      <c r="R46" s="1264"/>
      <c r="S46" s="1747"/>
    </row>
    <row r="47" spans="1:19" ht="15.75" thickTop="1">
      <c r="A47" s="1589"/>
      <c r="B47" s="374" t="s">
        <v>1885</v>
      </c>
      <c r="C47" s="23"/>
      <c r="D47" s="376">
        <v>2</v>
      </c>
      <c r="E47" s="376" t="s">
        <v>468</v>
      </c>
      <c r="F47" s="431"/>
      <c r="G47" s="1751"/>
      <c r="H47" s="1264" t="s">
        <v>727</v>
      </c>
      <c r="I47" s="1747">
        <v>3606.12</v>
      </c>
      <c r="J47" s="1264"/>
      <c r="K47" s="1747"/>
      <c r="L47" s="1264"/>
      <c r="M47" s="1747"/>
      <c r="N47" s="1264"/>
      <c r="O47" s="1747"/>
      <c r="P47" s="1264"/>
      <c r="Q47" s="1747"/>
      <c r="R47" s="1264"/>
      <c r="S47" s="1747"/>
    </row>
    <row r="48" spans="1:19">
      <c r="A48" s="1589"/>
      <c r="B48" s="1753" t="s">
        <v>1902</v>
      </c>
      <c r="C48" s="23"/>
      <c r="D48" s="376">
        <v>2</v>
      </c>
      <c r="E48" s="376" t="s">
        <v>468</v>
      </c>
      <c r="F48" s="431"/>
      <c r="G48" s="1751"/>
      <c r="H48" s="1264"/>
      <c r="I48" s="1747"/>
      <c r="J48" s="1264"/>
      <c r="K48" s="1747"/>
      <c r="L48" s="1264"/>
      <c r="M48" s="1747"/>
      <c r="N48" s="1264"/>
      <c r="O48" s="1747"/>
      <c r="P48" s="1264"/>
      <c r="Q48" s="1747"/>
      <c r="R48" s="1264"/>
      <c r="S48" s="1747"/>
    </row>
    <row r="49" spans="1:34" ht="15.75" thickBot="1">
      <c r="A49" s="1589"/>
      <c r="B49" s="1754"/>
      <c r="C49" s="23"/>
      <c r="D49" s="87"/>
      <c r="E49" s="86"/>
      <c r="F49" s="431"/>
      <c r="G49" s="1751"/>
      <c r="H49" s="1264"/>
      <c r="I49" s="1747"/>
      <c r="J49" s="1264"/>
      <c r="K49" s="1747"/>
      <c r="L49" s="1264"/>
      <c r="M49" s="1747"/>
      <c r="N49" s="1264"/>
      <c r="O49" s="1747"/>
      <c r="P49" s="1264"/>
      <c r="Q49" s="1747"/>
      <c r="R49" s="1264"/>
      <c r="S49" s="1747"/>
    </row>
    <row r="50" spans="1:34" ht="15.75" thickTop="1">
      <c r="A50" s="296"/>
      <c r="B50" s="1755"/>
      <c r="C50" s="297"/>
      <c r="D50" s="15"/>
      <c r="E50" s="16"/>
      <c r="F50" s="282" t="s">
        <v>753</v>
      </c>
      <c r="G50" s="272"/>
      <c r="H50" s="273"/>
      <c r="I50" s="273">
        <f>SUM(I12:I49)</f>
        <v>521559.22</v>
      </c>
      <c r="J50" s="273"/>
      <c r="K50" s="273">
        <f>SUM(K12:K49)</f>
        <v>0</v>
      </c>
      <c r="L50" s="273"/>
      <c r="M50" s="273">
        <f>SUM(M12:M49)</f>
        <v>0</v>
      </c>
      <c r="N50" s="273"/>
      <c r="O50" s="273">
        <f>SUM(O12:O49)</f>
        <v>0</v>
      </c>
      <c r="P50" s="273"/>
      <c r="Q50" s="273">
        <f>SUM(Q12:Q49)</f>
        <v>0</v>
      </c>
      <c r="R50" s="273"/>
      <c r="S50" s="273">
        <f>SUM(S12:S49)</f>
        <v>0</v>
      </c>
    </row>
    <row r="51" spans="1:34">
      <c r="A51" s="1114"/>
      <c r="B51" s="1164"/>
      <c r="C51" s="432"/>
      <c r="D51" s="433"/>
      <c r="E51" s="434"/>
      <c r="F51" s="435" t="s">
        <v>754</v>
      </c>
      <c r="G51" s="436"/>
      <c r="H51" s="1255">
        <v>5.0000000000000001E-3</v>
      </c>
      <c r="I51" s="1166"/>
      <c r="J51" s="1165">
        <v>0</v>
      </c>
      <c r="K51" s="1166"/>
      <c r="L51" s="1165">
        <v>0</v>
      </c>
      <c r="M51" s="1166"/>
      <c r="N51" s="1165">
        <v>0</v>
      </c>
      <c r="O51" s="1166"/>
      <c r="P51" s="1165">
        <v>0</v>
      </c>
      <c r="Q51" s="1166"/>
      <c r="R51" s="1165">
        <v>0</v>
      </c>
      <c r="S51" s="1166"/>
    </row>
    <row r="52" spans="1:34">
      <c r="A52" s="1114"/>
      <c r="B52" s="1164"/>
      <c r="C52" s="432"/>
      <c r="D52" s="433"/>
      <c r="E52" s="434"/>
      <c r="F52" s="435" t="s">
        <v>755</v>
      </c>
      <c r="G52" s="436"/>
      <c r="H52" s="1166"/>
      <c r="I52" s="1166">
        <f>H51*I50</f>
        <v>2607.7961</v>
      </c>
      <c r="J52" s="1166"/>
      <c r="K52" s="1166">
        <f>J51*K50</f>
        <v>0</v>
      </c>
      <c r="L52" s="1166"/>
      <c r="M52" s="1166">
        <f>L51*M50</f>
        <v>0</v>
      </c>
      <c r="N52" s="1166"/>
      <c r="O52" s="1166">
        <f>N51*O50</f>
        <v>0</v>
      </c>
      <c r="P52" s="1166"/>
      <c r="Q52" s="1166">
        <f>P51*Q50</f>
        <v>0</v>
      </c>
      <c r="R52" s="1166"/>
      <c r="S52" s="1166">
        <f>R51*S50</f>
        <v>0</v>
      </c>
    </row>
    <row r="53" spans="1:34">
      <c r="A53" s="1114"/>
      <c r="B53" s="1164"/>
      <c r="C53" s="432"/>
      <c r="D53" s="433"/>
      <c r="E53" s="434"/>
      <c r="F53" s="435"/>
      <c r="G53" s="436"/>
      <c r="H53" s="1166"/>
      <c r="I53" s="1166"/>
      <c r="J53" s="1166"/>
      <c r="K53" s="1166"/>
      <c r="L53" s="1166"/>
      <c r="M53" s="1166"/>
      <c r="N53" s="1166"/>
      <c r="O53" s="1166"/>
      <c r="P53" s="1166"/>
      <c r="Q53" s="1166"/>
      <c r="R53" s="1166"/>
      <c r="S53" s="1166"/>
    </row>
    <row r="54" spans="1:34">
      <c r="A54" s="1114"/>
      <c r="B54" s="1164"/>
      <c r="C54" s="432"/>
      <c r="D54" s="433"/>
      <c r="E54" s="434"/>
      <c r="F54" s="435" t="s">
        <v>756</v>
      </c>
      <c r="G54" s="436"/>
      <c r="H54" s="1166"/>
      <c r="I54" s="1166">
        <f>SUM(I50:I52)</f>
        <v>524167.01609999995</v>
      </c>
      <c r="J54" s="1166"/>
      <c r="K54" s="1166">
        <f>SUM(K50:K52)</f>
        <v>0</v>
      </c>
      <c r="L54" s="1166"/>
      <c r="M54" s="1166">
        <f>SUM(M50:M52)</f>
        <v>0</v>
      </c>
      <c r="N54" s="1166"/>
      <c r="O54" s="1166">
        <f>SUM(O50:O52)</f>
        <v>0</v>
      </c>
      <c r="P54" s="1166"/>
      <c r="Q54" s="1166">
        <f>SUM(Q50:Q52)</f>
        <v>0</v>
      </c>
      <c r="R54" s="1166"/>
      <c r="S54" s="1166">
        <f>SUM(S50:S52)</f>
        <v>0</v>
      </c>
    </row>
    <row r="55" spans="1:34">
      <c r="A55" s="1114"/>
      <c r="B55" s="1164"/>
      <c r="C55" s="432"/>
      <c r="D55" s="433"/>
      <c r="E55" s="434"/>
      <c r="F55" s="437" t="s">
        <v>757</v>
      </c>
      <c r="G55" s="438"/>
      <c r="H55" s="1167"/>
      <c r="I55" s="1167">
        <f>I54/'Area Calculations'!$G$4</f>
        <v>0.90582431587988166</v>
      </c>
      <c r="J55" s="1167"/>
      <c r="K55" s="1167">
        <f>K54/'Area Calculations'!$G$4</f>
        <v>0</v>
      </c>
      <c r="L55" s="1167"/>
      <c r="M55" s="1167">
        <f>M54/'Area Calculations'!$G$4</f>
        <v>0</v>
      </c>
      <c r="N55" s="1167"/>
      <c r="O55" s="1167">
        <f>O54/'Area Calculations'!$G$4</f>
        <v>0</v>
      </c>
      <c r="P55" s="1167"/>
      <c r="Q55" s="1167">
        <f>Q54/'Area Calculations'!$G$4</f>
        <v>0</v>
      </c>
      <c r="R55" s="1167"/>
      <c r="S55" s="1167">
        <f>S54/'Area Calculations'!$G$4</f>
        <v>0</v>
      </c>
    </row>
    <row r="56" spans="1:34">
      <c r="A56" s="1114"/>
      <c r="B56" s="1164"/>
      <c r="C56" s="432"/>
      <c r="D56" s="433"/>
      <c r="E56" s="434"/>
      <c r="F56" s="437" t="s">
        <v>758</v>
      </c>
      <c r="G56" s="438"/>
      <c r="H56" s="1167"/>
      <c r="I56" s="1167">
        <f>I54/'Area Calculations'!$G$9</f>
        <v>4898.7571598130835</v>
      </c>
      <c r="J56" s="1167"/>
      <c r="K56" s="1167">
        <f>K54/'Area Calculations'!$G$9</f>
        <v>0</v>
      </c>
      <c r="L56" s="1167"/>
      <c r="M56" s="1167">
        <f>M54/'Area Calculations'!$G$9</f>
        <v>0</v>
      </c>
      <c r="N56" s="1167"/>
      <c r="O56" s="1167">
        <f>O54/'Area Calculations'!$G$9</f>
        <v>0</v>
      </c>
      <c r="P56" s="1167"/>
      <c r="Q56" s="1167">
        <f>Q54/'Area Calculations'!$G$9</f>
        <v>0</v>
      </c>
      <c r="R56" s="1167"/>
      <c r="S56" s="1167">
        <f>S54/'Area Calculations'!$G$9</f>
        <v>0</v>
      </c>
    </row>
    <row r="57" spans="1:34" ht="15.75" thickBot="1">
      <c r="A57" s="1114"/>
      <c r="B57" s="1164"/>
      <c r="C57" s="432"/>
      <c r="D57" s="433"/>
      <c r="E57" s="434"/>
      <c r="F57" s="439"/>
      <c r="G57" s="436"/>
      <c r="H57" s="1168"/>
      <c r="I57" s="1168"/>
      <c r="J57" s="1168"/>
      <c r="K57" s="1168"/>
      <c r="L57" s="1168"/>
      <c r="M57" s="1168"/>
      <c r="N57" s="1168"/>
      <c r="O57" s="1168"/>
      <c r="P57" s="1168"/>
      <c r="Q57" s="1168"/>
      <c r="R57" s="1168"/>
      <c r="S57" s="1168"/>
    </row>
    <row r="58" spans="1:34" ht="16.5" thickTop="1" thickBot="1">
      <c r="A58" s="2331" t="s">
        <v>759</v>
      </c>
      <c r="B58" s="2332"/>
      <c r="C58" s="298"/>
      <c r="D58" s="12"/>
      <c r="E58" s="12"/>
      <c r="F58" s="12"/>
      <c r="G58" s="26"/>
      <c r="H58" s="24"/>
      <c r="I58" s="20"/>
      <c r="J58" s="20"/>
      <c r="K58" s="20"/>
      <c r="L58" s="20"/>
      <c r="M58" s="20"/>
      <c r="N58" s="20"/>
      <c r="O58" s="20"/>
      <c r="P58" s="20"/>
      <c r="Q58" s="20"/>
      <c r="R58" s="20"/>
      <c r="S58" s="20"/>
    </row>
    <row r="59" spans="1:34" ht="15.75" thickTop="1">
      <c r="A59" s="1580"/>
      <c r="B59" s="1105"/>
      <c r="C59" s="1548"/>
      <c r="D59" s="1740"/>
      <c r="E59" s="1740"/>
      <c r="F59" s="1740"/>
      <c r="G59" s="1722"/>
      <c r="H59" s="1723"/>
      <c r="I59" s="1582"/>
      <c r="J59" s="1582"/>
      <c r="K59" s="1582"/>
      <c r="L59" s="1582"/>
      <c r="M59" s="1582"/>
      <c r="N59" s="1582"/>
      <c r="O59" s="1582"/>
      <c r="P59" s="1582"/>
      <c r="Q59" s="1582"/>
      <c r="R59" s="1582"/>
      <c r="S59" s="1582"/>
    </row>
    <row r="60" spans="1:34">
      <c r="A60" s="1580"/>
      <c r="B60" s="1105"/>
      <c r="C60" s="1548"/>
      <c r="D60" s="1740"/>
      <c r="E60" s="1740"/>
      <c r="F60" s="1740"/>
      <c r="G60" s="1722"/>
      <c r="H60" s="1723"/>
      <c r="I60" s="1582"/>
      <c r="J60" s="1582"/>
      <c r="K60" s="1582"/>
      <c r="L60" s="1582"/>
      <c r="M60" s="1582"/>
      <c r="N60" s="1582"/>
      <c r="O60" s="1582"/>
      <c r="P60" s="1582"/>
      <c r="Q60" s="1582"/>
      <c r="R60" s="1582"/>
      <c r="S60" s="1582"/>
    </row>
    <row r="61" spans="1:34" ht="15.75" thickBot="1">
      <c r="A61" s="1580"/>
      <c r="B61" s="1105"/>
      <c r="C61" s="1548"/>
      <c r="D61" s="1740"/>
      <c r="E61" s="1740"/>
      <c r="F61" s="1740"/>
      <c r="G61" s="1722"/>
      <c r="H61" s="1723"/>
      <c r="I61" s="1582"/>
      <c r="J61" s="1582"/>
      <c r="K61" s="1582"/>
      <c r="L61" s="1582"/>
      <c r="M61" s="1582"/>
      <c r="N61" s="1582"/>
      <c r="O61" s="1582"/>
      <c r="P61" s="1582"/>
      <c r="Q61" s="1582"/>
      <c r="R61" s="1582"/>
      <c r="S61" s="1582"/>
    </row>
    <row r="62" spans="1:34" s="2" customFormat="1" ht="16.5" thickTop="1" thickBot="1">
      <c r="A62" s="2331" t="s">
        <v>760</v>
      </c>
      <c r="B62" s="2332"/>
      <c r="C62" s="298"/>
      <c r="D62" s="12"/>
      <c r="E62" s="12"/>
      <c r="F62" s="12"/>
      <c r="G62" s="26"/>
      <c r="H62" s="24"/>
      <c r="I62" s="20"/>
      <c r="J62" s="20"/>
      <c r="K62" s="20"/>
      <c r="L62" s="20"/>
      <c r="M62" s="20"/>
      <c r="N62" s="20"/>
      <c r="O62" s="20"/>
      <c r="P62" s="20"/>
      <c r="Q62" s="20"/>
      <c r="R62" s="20"/>
      <c r="S62" s="20"/>
      <c r="T62"/>
      <c r="U62"/>
      <c r="V62"/>
      <c r="W62"/>
      <c r="X62"/>
      <c r="Y62"/>
      <c r="Z62"/>
      <c r="AA62"/>
      <c r="AB62"/>
      <c r="AC62"/>
      <c r="AD62"/>
      <c r="AE62"/>
      <c r="AF62"/>
      <c r="AG62"/>
      <c r="AH62"/>
    </row>
    <row r="63" spans="1:34" s="2" customFormat="1" ht="15.75" thickTop="1">
      <c r="A63" s="1580"/>
      <c r="B63" s="1105"/>
      <c r="C63" s="1548"/>
      <c r="D63" s="1740"/>
      <c r="E63" s="1740"/>
      <c r="F63" s="1740"/>
      <c r="G63" s="1722"/>
      <c r="H63" s="1723"/>
      <c r="I63" s="1582"/>
      <c r="J63" s="1582"/>
      <c r="K63" s="1582"/>
      <c r="L63" s="1582"/>
      <c r="M63" s="1582"/>
      <c r="N63" s="1582"/>
      <c r="O63" s="1582"/>
      <c r="P63" s="1582"/>
      <c r="Q63" s="1582"/>
      <c r="R63" s="1582"/>
      <c r="S63" s="1582"/>
      <c r="T63"/>
      <c r="U63"/>
      <c r="V63"/>
      <c r="W63"/>
      <c r="X63"/>
      <c r="Y63"/>
      <c r="Z63"/>
      <c r="AA63"/>
      <c r="AB63"/>
      <c r="AC63"/>
      <c r="AD63"/>
      <c r="AE63"/>
      <c r="AF63"/>
      <c r="AG63"/>
      <c r="AH63"/>
    </row>
    <row r="64" spans="1:34" s="2" customFormat="1">
      <c r="A64" s="1580"/>
      <c r="B64" s="1105"/>
      <c r="C64" s="1548"/>
      <c r="D64" s="1740"/>
      <c r="E64" s="1740"/>
      <c r="F64" s="1740"/>
      <c r="G64" s="1722"/>
      <c r="H64" s="1723"/>
      <c r="I64" s="1582"/>
      <c r="J64" s="1582"/>
      <c r="K64" s="1582"/>
      <c r="L64" s="1582"/>
      <c r="M64" s="1582"/>
      <c r="N64" s="1582"/>
      <c r="O64" s="1582"/>
      <c r="P64" s="1582"/>
      <c r="Q64" s="1582"/>
      <c r="R64" s="1582"/>
      <c r="S64" s="1582"/>
      <c r="T64"/>
      <c r="U64"/>
      <c r="V64"/>
      <c r="W64"/>
      <c r="X64"/>
      <c r="Y64"/>
      <c r="Z64"/>
      <c r="AA64"/>
      <c r="AB64"/>
      <c r="AC64"/>
      <c r="AD64"/>
      <c r="AE64"/>
      <c r="AF64"/>
      <c r="AG64"/>
      <c r="AH64"/>
    </row>
    <row r="65" spans="1:34" ht="15.75" thickBot="1">
      <c r="A65" s="1580"/>
      <c r="B65" s="1105"/>
      <c r="C65" s="1548"/>
      <c r="D65" s="1740"/>
      <c r="E65" s="1740"/>
      <c r="F65" s="1740"/>
      <c r="G65" s="1722"/>
      <c r="H65" s="1723"/>
      <c r="I65" s="1582"/>
      <c r="J65" s="1582"/>
      <c r="K65" s="1582"/>
      <c r="L65" s="1582"/>
      <c r="M65" s="1582"/>
      <c r="N65" s="1582"/>
      <c r="O65" s="1582"/>
      <c r="P65" s="1582"/>
      <c r="Q65" s="1582"/>
      <c r="R65" s="1582"/>
      <c r="S65" s="1582"/>
    </row>
    <row r="66" spans="1:34" s="2" customFormat="1" ht="16.5" thickTop="1" thickBot="1">
      <c r="A66" s="2331" t="s">
        <v>761</v>
      </c>
      <c r="B66" s="2332"/>
      <c r="C66" s="298"/>
      <c r="D66" s="12"/>
      <c r="E66" s="12"/>
      <c r="F66" s="12"/>
      <c r="G66" s="26"/>
      <c r="H66" s="24"/>
      <c r="I66" s="20"/>
      <c r="J66" s="20"/>
      <c r="K66" s="20"/>
      <c r="L66" s="20"/>
      <c r="M66" s="20"/>
      <c r="N66" s="20"/>
      <c r="O66" s="20"/>
      <c r="P66" s="20"/>
      <c r="Q66" s="20"/>
      <c r="R66" s="20"/>
      <c r="S66" s="20"/>
      <c r="T66"/>
      <c r="U66"/>
      <c r="V66"/>
      <c r="W66"/>
      <c r="X66"/>
      <c r="Y66"/>
      <c r="Z66"/>
      <c r="AA66"/>
      <c r="AB66"/>
      <c r="AC66"/>
      <c r="AD66"/>
      <c r="AE66"/>
      <c r="AF66"/>
      <c r="AG66"/>
      <c r="AH66"/>
    </row>
    <row r="67" spans="1:34" s="2" customFormat="1" ht="15.75" thickTop="1">
      <c r="A67" s="1580"/>
      <c r="B67" s="1105"/>
      <c r="C67" s="1548"/>
      <c r="D67" s="1740"/>
      <c r="E67" s="1740"/>
      <c r="F67" s="1740"/>
      <c r="G67" s="1722"/>
      <c r="H67" s="1723"/>
      <c r="I67" s="1582"/>
      <c r="J67" s="1582"/>
      <c r="K67" s="1582"/>
      <c r="L67" s="1582"/>
      <c r="M67" s="1582"/>
      <c r="N67" s="1582"/>
      <c r="O67" s="1582"/>
      <c r="P67" s="1582"/>
      <c r="Q67" s="1582"/>
      <c r="R67" s="1582"/>
      <c r="S67" s="1582"/>
      <c r="T67"/>
      <c r="U67"/>
      <c r="V67"/>
      <c r="W67"/>
      <c r="X67"/>
      <c r="Y67"/>
      <c r="Z67"/>
      <c r="AA67"/>
      <c r="AB67"/>
      <c r="AC67"/>
      <c r="AD67"/>
      <c r="AE67"/>
      <c r="AF67"/>
      <c r="AG67"/>
      <c r="AH67"/>
    </row>
    <row r="68" spans="1:34" s="2" customFormat="1">
      <c r="A68" s="1124"/>
      <c r="B68" s="1105"/>
      <c r="C68" s="415"/>
      <c r="D68" s="422"/>
      <c r="E68" s="422"/>
      <c r="F68" s="422"/>
      <c r="G68" s="831"/>
      <c r="H68" s="440"/>
      <c r="I68" s="1173"/>
      <c r="J68" s="1173"/>
      <c r="K68" s="1173"/>
      <c r="L68" s="1173"/>
      <c r="M68" s="1173"/>
      <c r="N68" s="1173"/>
      <c r="O68" s="1173"/>
      <c r="P68" s="1173"/>
      <c r="Q68" s="1173"/>
      <c r="R68" s="1173"/>
      <c r="S68" s="1173"/>
      <c r="T68"/>
      <c r="U68"/>
      <c r="V68"/>
      <c r="W68"/>
      <c r="X68"/>
      <c r="Y68"/>
      <c r="Z68"/>
      <c r="AA68"/>
      <c r="AB68"/>
      <c r="AC68"/>
      <c r="AD68"/>
      <c r="AE68"/>
      <c r="AF68"/>
      <c r="AG68"/>
      <c r="AH68"/>
    </row>
    <row r="69" spans="1:34" s="2" customFormat="1" ht="15.75" thickBot="1">
      <c r="A69" s="1126"/>
      <c r="B69" s="1174"/>
      <c r="C69" s="415"/>
      <c r="D69" s="422"/>
      <c r="E69" s="422"/>
      <c r="F69" s="422"/>
      <c r="G69" s="831"/>
      <c r="H69" s="441"/>
      <c r="I69" s="1175"/>
      <c r="J69" s="1175"/>
      <c r="K69" s="1175"/>
      <c r="L69" s="1175"/>
      <c r="M69" s="1175"/>
      <c r="N69" s="1175"/>
      <c r="O69" s="1175"/>
      <c r="P69" s="1175"/>
      <c r="Q69" s="1175"/>
      <c r="R69" s="1175"/>
      <c r="S69" s="1175"/>
    </row>
    <row r="70" spans="1:34" s="2" customFormat="1" ht="16.5" thickTop="1" thickBot="1">
      <c r="A70" s="2331" t="s">
        <v>762</v>
      </c>
      <c r="B70" s="2332"/>
      <c r="C70" s="298"/>
      <c r="D70" s="12"/>
      <c r="E70" s="12"/>
      <c r="F70" s="12"/>
      <c r="G70" s="26"/>
      <c r="H70" s="24"/>
      <c r="I70" s="20"/>
      <c r="J70" s="20"/>
      <c r="K70" s="20"/>
      <c r="L70" s="20"/>
      <c r="M70" s="20"/>
      <c r="N70" s="20"/>
      <c r="O70" s="20"/>
      <c r="P70" s="20"/>
      <c r="Q70" s="20"/>
      <c r="R70" s="20"/>
      <c r="S70" s="20"/>
      <c r="T70"/>
      <c r="U70"/>
      <c r="V70"/>
      <c r="W70"/>
      <c r="X70"/>
      <c r="Y70"/>
      <c r="Z70"/>
      <c r="AA70"/>
      <c r="AB70"/>
      <c r="AC70"/>
      <c r="AD70"/>
      <c r="AE70"/>
      <c r="AF70"/>
      <c r="AG70"/>
      <c r="AH70"/>
    </row>
    <row r="71" spans="1:34" ht="15.75" thickTop="1">
      <c r="A71" s="1585"/>
      <c r="B71" s="1586"/>
      <c r="C71" s="1548"/>
      <c r="D71" s="1740"/>
      <c r="E71" s="1740"/>
      <c r="F71" s="1740"/>
      <c r="G71" s="1722"/>
      <c r="H71" s="1723"/>
      <c r="I71" s="1582"/>
      <c r="J71" s="1582"/>
      <c r="K71" s="1582"/>
      <c r="L71" s="1582"/>
      <c r="M71" s="1582"/>
      <c r="N71" s="1582"/>
      <c r="O71" s="1582"/>
      <c r="P71" s="1582"/>
      <c r="Q71" s="1582"/>
      <c r="R71" s="1582"/>
      <c r="S71" s="1582"/>
      <c r="T71" s="2"/>
      <c r="U71" s="2"/>
      <c r="V71" s="2"/>
      <c r="W71" s="2"/>
      <c r="X71" s="2"/>
      <c r="Y71" s="2"/>
      <c r="Z71" s="2"/>
      <c r="AA71" s="2"/>
      <c r="AB71" s="2"/>
      <c r="AC71" s="2"/>
      <c r="AD71" s="2"/>
      <c r="AE71" s="2"/>
      <c r="AF71" s="2"/>
      <c r="AG71" s="2"/>
      <c r="AH71" s="2"/>
    </row>
    <row r="72" spans="1:34">
      <c r="A72" s="1126"/>
      <c r="B72" s="1174"/>
      <c r="C72" s="415"/>
      <c r="D72" s="422"/>
      <c r="E72" s="422"/>
      <c r="F72" s="422"/>
      <c r="G72" s="831"/>
      <c r="H72" s="442"/>
      <c r="I72" s="1178"/>
      <c r="J72" s="1178"/>
      <c r="K72" s="1178"/>
      <c r="L72" s="1178"/>
      <c r="M72" s="1178"/>
      <c r="N72" s="1178"/>
      <c r="O72" s="1178"/>
      <c r="P72" s="1178"/>
      <c r="Q72" s="1178"/>
      <c r="R72" s="1178"/>
      <c r="S72" s="1178"/>
      <c r="T72" s="2"/>
      <c r="U72" s="2"/>
      <c r="V72" s="2"/>
      <c r="W72" s="2"/>
      <c r="X72" s="2"/>
      <c r="Y72" s="2"/>
      <c r="Z72" s="2"/>
      <c r="AA72" s="2"/>
      <c r="AB72" s="2"/>
      <c r="AC72" s="2"/>
      <c r="AD72" s="2"/>
      <c r="AE72" s="2"/>
      <c r="AF72" s="2"/>
      <c r="AG72" s="2"/>
      <c r="AH72" s="2"/>
    </row>
    <row r="73" spans="1:34" ht="15.75" thickBot="1">
      <c r="A73" s="1126"/>
      <c r="B73" s="1174"/>
      <c r="C73" s="415"/>
      <c r="D73" s="422"/>
      <c r="E73" s="422"/>
      <c r="F73" s="422"/>
      <c r="G73" s="831"/>
      <c r="H73" s="442"/>
      <c r="I73" s="1178"/>
      <c r="J73" s="1178"/>
      <c r="K73" s="1178"/>
      <c r="L73" s="1178"/>
      <c r="M73" s="1178"/>
      <c r="N73" s="1178"/>
      <c r="O73" s="1178"/>
      <c r="P73" s="1178"/>
      <c r="Q73" s="1178"/>
      <c r="R73" s="1178"/>
      <c r="S73" s="1178"/>
      <c r="T73" s="2"/>
      <c r="U73" s="2"/>
      <c r="V73" s="2"/>
      <c r="W73" s="2"/>
      <c r="X73" s="2"/>
      <c r="Y73" s="2"/>
      <c r="Z73" s="2"/>
      <c r="AA73" s="2"/>
      <c r="AB73" s="2"/>
      <c r="AC73" s="2"/>
      <c r="AD73" s="2"/>
      <c r="AE73" s="2"/>
      <c r="AF73" s="2"/>
      <c r="AG73" s="2"/>
      <c r="AH73" s="2"/>
    </row>
    <row r="74" spans="1:34" ht="16.5" thickTop="1" thickBot="1">
      <c r="A74" s="2331" t="s">
        <v>763</v>
      </c>
      <c r="B74" s="2332"/>
      <c r="C74" s="298"/>
      <c r="D74" s="12"/>
      <c r="E74" s="12"/>
      <c r="F74" s="12"/>
      <c r="G74" s="26"/>
      <c r="H74" s="24"/>
      <c r="I74" s="20"/>
      <c r="J74" s="20"/>
      <c r="K74" s="20"/>
      <c r="L74" s="20"/>
      <c r="M74" s="20"/>
      <c r="N74" s="20"/>
      <c r="O74" s="20"/>
      <c r="P74" s="20"/>
      <c r="Q74" s="20"/>
      <c r="R74" s="20"/>
      <c r="S74" s="20"/>
    </row>
    <row r="75" spans="1:34" ht="15.75" thickTop="1">
      <c r="A75" s="1124"/>
      <c r="B75" s="1105" t="s">
        <v>764</v>
      </c>
      <c r="C75" s="415"/>
      <c r="D75" s="422"/>
      <c r="E75" s="422"/>
      <c r="F75" s="422"/>
      <c r="G75" s="831"/>
      <c r="H75" s="442"/>
      <c r="I75" s="1178"/>
      <c r="J75" s="1178"/>
      <c r="K75" s="1178"/>
      <c r="L75" s="1178"/>
      <c r="M75" s="1178"/>
      <c r="N75" s="1178"/>
      <c r="O75" s="1178"/>
      <c r="P75" s="1178"/>
      <c r="Q75" s="1178"/>
      <c r="R75" s="1178"/>
      <c r="S75" s="1178"/>
    </row>
    <row r="76" spans="1:34">
      <c r="A76" s="1124"/>
      <c r="B76" s="1105" t="s">
        <v>765</v>
      </c>
      <c r="C76" s="415"/>
      <c r="D76" s="422"/>
      <c r="E76" s="422"/>
      <c r="F76" s="422"/>
      <c r="G76" s="831"/>
      <c r="H76" s="442"/>
      <c r="I76" s="1178"/>
      <c r="J76" s="1178"/>
      <c r="K76" s="1178"/>
      <c r="L76" s="1178"/>
      <c r="M76" s="1178"/>
      <c r="N76" s="1178"/>
      <c r="O76" s="1178"/>
      <c r="P76" s="1178"/>
      <c r="Q76" s="1178"/>
      <c r="R76" s="1178"/>
      <c r="S76" s="1178"/>
    </row>
    <row r="77" spans="1:34">
      <c r="A77" s="1124"/>
      <c r="B77" s="1105" t="s">
        <v>766</v>
      </c>
      <c r="C77" s="415"/>
      <c r="D77" s="422"/>
      <c r="E77" s="422"/>
      <c r="F77" s="422"/>
      <c r="G77" s="831"/>
      <c r="H77" s="442"/>
      <c r="I77" s="1178"/>
      <c r="J77" s="1178"/>
      <c r="K77" s="1178"/>
      <c r="L77" s="1178"/>
      <c r="M77" s="1178"/>
      <c r="N77" s="1178"/>
      <c r="O77" s="1178"/>
      <c r="P77" s="1178"/>
      <c r="Q77" s="1178"/>
      <c r="R77" s="1178"/>
      <c r="S77" s="1178"/>
    </row>
    <row r="78" spans="1:34">
      <c r="A78" s="1124"/>
      <c r="B78" s="1105" t="s">
        <v>767</v>
      </c>
      <c r="C78" s="415"/>
      <c r="D78" s="422"/>
      <c r="E78" s="422"/>
      <c r="F78" s="422"/>
      <c r="G78" s="831"/>
      <c r="H78" s="442"/>
      <c r="I78" s="1178"/>
      <c r="J78" s="1178"/>
      <c r="K78" s="1178"/>
      <c r="L78" s="1178"/>
      <c r="M78" s="1178"/>
      <c r="N78" s="1178"/>
      <c r="O78" s="1178"/>
      <c r="P78" s="1178"/>
      <c r="Q78" s="1178"/>
      <c r="R78" s="1178"/>
      <c r="S78" s="1178"/>
    </row>
    <row r="79" spans="1:34" ht="15.75" thickBot="1">
      <c r="A79" s="443"/>
      <c r="B79" s="421"/>
      <c r="C79" s="23"/>
      <c r="D79" s="86"/>
      <c r="E79" s="86"/>
      <c r="F79" s="86"/>
      <c r="G79" s="27"/>
      <c r="H79" s="25"/>
      <c r="I79" s="444"/>
      <c r="J79" s="444"/>
      <c r="K79" s="444"/>
      <c r="L79" s="444"/>
      <c r="M79" s="444"/>
      <c r="N79" s="444"/>
      <c r="O79" s="444"/>
      <c r="P79" s="444"/>
      <c r="Q79" s="444"/>
      <c r="R79" s="444"/>
      <c r="S79" s="444"/>
    </row>
    <row r="80" spans="1:34" ht="16.5" thickTop="1" thickBot="1">
      <c r="A80" s="72" t="s">
        <v>768</v>
      </c>
      <c r="B80" s="73"/>
      <c r="C80" s="298"/>
      <c r="D80" s="12"/>
      <c r="E80" s="12"/>
      <c r="F80" s="12"/>
      <c r="G80" s="26"/>
      <c r="H80" s="24"/>
      <c r="I80" s="20"/>
      <c r="J80" s="20"/>
      <c r="K80" s="20"/>
      <c r="L80" s="20"/>
      <c r="M80" s="20"/>
      <c r="N80" s="20"/>
      <c r="O80" s="20"/>
      <c r="P80" s="20"/>
      <c r="Q80" s="20"/>
      <c r="R80" s="20"/>
      <c r="S80" s="20"/>
    </row>
    <row r="81" spans="1:19" ht="15.75" thickTop="1">
      <c r="A81" s="1580"/>
      <c r="B81" s="1587" t="s">
        <v>769</v>
      </c>
      <c r="C81" s="1548"/>
      <c r="D81" s="1740"/>
      <c r="E81" s="1740"/>
      <c r="F81" s="1740"/>
      <c r="G81" s="1722"/>
      <c r="H81" s="1730"/>
      <c r="I81" s="1588"/>
      <c r="J81" s="1588"/>
      <c r="K81" s="1588"/>
      <c r="L81" s="1588"/>
      <c r="M81" s="1588"/>
      <c r="N81" s="1588"/>
      <c r="O81" s="1588"/>
      <c r="P81" s="1588"/>
      <c r="Q81" s="1588"/>
      <c r="R81" s="1588"/>
      <c r="S81" s="1588"/>
    </row>
    <row r="82" spans="1:19">
      <c r="A82" s="1124"/>
      <c r="B82" s="1105" t="s">
        <v>770</v>
      </c>
      <c r="C82" s="415"/>
      <c r="D82" s="422"/>
      <c r="E82" s="422"/>
      <c r="F82" s="422"/>
      <c r="G82" s="831"/>
      <c r="H82" s="445"/>
      <c r="I82" s="1182"/>
      <c r="J82" s="1182"/>
      <c r="K82" s="1182"/>
      <c r="L82" s="1182"/>
      <c r="M82" s="1182"/>
      <c r="N82" s="1182"/>
      <c r="O82" s="1182"/>
      <c r="P82" s="1182"/>
      <c r="Q82" s="1182"/>
      <c r="R82" s="1182"/>
      <c r="S82" s="1182"/>
    </row>
    <row r="83" spans="1:19" ht="15.75" thickBot="1">
      <c r="A83" s="1308"/>
      <c r="B83" s="1136" t="s">
        <v>771</v>
      </c>
      <c r="C83" s="935"/>
      <c r="D83" s="938"/>
      <c r="E83" s="938"/>
      <c r="F83" s="938"/>
      <c r="G83" s="939"/>
      <c r="H83" s="940"/>
      <c r="I83" s="1140"/>
      <c r="J83" s="1140"/>
      <c r="K83" s="1140"/>
      <c r="L83" s="1140"/>
      <c r="M83" s="1140"/>
      <c r="N83" s="1140"/>
      <c r="O83" s="1140"/>
      <c r="P83" s="1140"/>
      <c r="Q83" s="1140"/>
      <c r="R83" s="1140"/>
      <c r="S83" s="1140"/>
    </row>
    <row r="84" spans="1:19" ht="16.5" thickTop="1" thickBot="1">
      <c r="F84" s="2"/>
      <c r="G84" s="2"/>
      <c r="H84" s="2"/>
      <c r="I84" s="2"/>
      <c r="J84" s="2"/>
      <c r="K84" s="2"/>
      <c r="L84" s="2"/>
      <c r="M84" s="2"/>
      <c r="N84" s="2"/>
      <c r="O84" s="2"/>
      <c r="P84" s="2"/>
      <c r="Q84" s="2"/>
      <c r="R84" s="2"/>
      <c r="S84" s="2"/>
    </row>
    <row r="85" spans="1:19" ht="16.5" thickTop="1" thickBot="1">
      <c r="A85" s="37" t="s">
        <v>772</v>
      </c>
      <c r="B85" s="39"/>
      <c r="F85" s="2"/>
      <c r="G85" s="2"/>
      <c r="H85" s="2"/>
      <c r="I85" s="2"/>
      <c r="J85" s="2"/>
      <c r="K85" s="2"/>
      <c r="L85" s="2"/>
      <c r="M85" s="2"/>
      <c r="N85" s="2"/>
      <c r="O85" s="2"/>
      <c r="P85" s="2"/>
      <c r="Q85" s="2"/>
      <c r="R85" s="2"/>
      <c r="S85" s="2"/>
    </row>
    <row r="86" spans="1:19" ht="15.75" thickTop="1">
      <c r="A86" s="38" t="s">
        <v>693</v>
      </c>
      <c r="B86" s="1277" t="str">
        <f>H5</f>
        <v>GE Appliances</v>
      </c>
      <c r="F86" s="2"/>
      <c r="G86" s="2"/>
      <c r="H86" s="2"/>
      <c r="I86" s="2"/>
      <c r="J86" s="2"/>
      <c r="K86" s="2"/>
      <c r="L86" s="2"/>
      <c r="M86" s="2"/>
      <c r="N86" s="2"/>
      <c r="O86" s="2"/>
      <c r="P86" s="2"/>
      <c r="Q86" s="2"/>
      <c r="R86" s="2"/>
      <c r="S86" s="2"/>
    </row>
    <row r="87" spans="1:19">
      <c r="A87" s="1142" t="s">
        <v>702</v>
      </c>
      <c r="B87" s="1277" t="str">
        <f>H6</f>
        <v>Anthony DiPalmero</v>
      </c>
      <c r="F87" s="2"/>
      <c r="G87" s="2"/>
      <c r="H87" s="2"/>
      <c r="I87" s="2"/>
      <c r="J87" s="2"/>
      <c r="K87" s="2"/>
      <c r="L87" s="2"/>
      <c r="M87" s="2"/>
      <c r="N87" s="2"/>
      <c r="O87" s="2"/>
      <c r="P87" s="2"/>
      <c r="Q87" s="2"/>
      <c r="R87" s="2"/>
      <c r="S87" s="2"/>
    </row>
    <row r="88" spans="1:19">
      <c r="A88" s="1191" t="s">
        <v>708</v>
      </c>
      <c r="B88" s="1192" t="str">
        <f>H7</f>
        <v>561-236-1106</v>
      </c>
      <c r="F88" s="2"/>
      <c r="G88" s="2"/>
      <c r="H88" s="2"/>
      <c r="I88" s="2"/>
      <c r="J88" s="2"/>
      <c r="K88" s="2"/>
      <c r="L88" s="2"/>
      <c r="M88" s="2"/>
      <c r="N88" s="2"/>
      <c r="O88" s="2"/>
      <c r="P88" s="2"/>
      <c r="Q88" s="2"/>
      <c r="R88" s="2"/>
      <c r="S88" s="2"/>
    </row>
    <row r="89" spans="1:19">
      <c r="A89" s="1191" t="s">
        <v>713</v>
      </c>
      <c r="B89" s="1278" t="str">
        <f>H8</f>
        <v>anthony.dipalermo@geappliances.com</v>
      </c>
      <c r="F89" s="2"/>
      <c r="G89" s="2"/>
      <c r="H89" s="2"/>
      <c r="I89" s="2"/>
      <c r="J89" s="2"/>
      <c r="K89" s="2"/>
      <c r="L89" s="2"/>
      <c r="M89" s="2"/>
      <c r="N89" s="2"/>
      <c r="O89" s="2"/>
      <c r="P89" s="2"/>
      <c r="Q89" s="2"/>
      <c r="R89" s="2"/>
      <c r="S89" s="2"/>
    </row>
    <row r="90" spans="1:19" ht="15.75" thickBot="1">
      <c r="A90" s="1145" t="s">
        <v>69</v>
      </c>
      <c r="B90" s="1146">
        <f>H9</f>
        <v>524167.01609999995</v>
      </c>
      <c r="F90" s="2"/>
      <c r="G90" s="2"/>
      <c r="H90" s="2"/>
      <c r="I90" s="2"/>
      <c r="J90" s="2"/>
      <c r="K90" s="2"/>
      <c r="L90" s="2"/>
      <c r="M90" s="2"/>
      <c r="N90" s="2"/>
      <c r="O90" s="2"/>
      <c r="P90" s="2"/>
      <c r="Q90" s="2"/>
      <c r="R90" s="2"/>
      <c r="S90" s="2"/>
    </row>
    <row r="91" spans="1:19" ht="15.75" thickTop="1"/>
    <row r="96" spans="1:19">
      <c r="B96" s="790" t="s">
        <v>1885</v>
      </c>
      <c r="C96" s="778">
        <v>11</v>
      </c>
      <c r="D96" s="778" t="s">
        <v>468</v>
      </c>
    </row>
    <row r="97" spans="2:4">
      <c r="B97" s="779" t="s">
        <v>1886</v>
      </c>
      <c r="C97" s="778">
        <v>11</v>
      </c>
      <c r="D97" s="778" t="s">
        <v>468</v>
      </c>
    </row>
    <row r="98" spans="2:4">
      <c r="B98" s="779" t="s">
        <v>1887</v>
      </c>
      <c r="C98" s="778">
        <v>11</v>
      </c>
      <c r="D98" s="778" t="s">
        <v>468</v>
      </c>
    </row>
    <row r="99" spans="2:4">
      <c r="B99" s="779" t="s">
        <v>1888</v>
      </c>
      <c r="C99" s="778">
        <v>11</v>
      </c>
      <c r="D99" s="778" t="s">
        <v>468</v>
      </c>
    </row>
    <row r="100" spans="2:4">
      <c r="B100" s="779" t="s">
        <v>1889</v>
      </c>
      <c r="C100" s="778">
        <v>11</v>
      </c>
      <c r="D100" s="778" t="s">
        <v>468</v>
      </c>
    </row>
    <row r="101" spans="2:4">
      <c r="B101" s="779" t="s">
        <v>1890</v>
      </c>
      <c r="C101" s="778">
        <v>11</v>
      </c>
      <c r="D101" s="778" t="s">
        <v>468</v>
      </c>
    </row>
    <row r="102" spans="2:4">
      <c r="B102" s="779" t="s">
        <v>1891</v>
      </c>
      <c r="C102" s="778">
        <v>11</v>
      </c>
      <c r="D102" s="778" t="s">
        <v>468</v>
      </c>
    </row>
    <row r="103" spans="2:4">
      <c r="B103" s="779" t="s">
        <v>1893</v>
      </c>
      <c r="C103" s="778">
        <v>93</v>
      </c>
      <c r="D103" s="778" t="s">
        <v>468</v>
      </c>
    </row>
    <row r="104" spans="2:4">
      <c r="B104" s="790" t="s">
        <v>1894</v>
      </c>
      <c r="C104" s="778">
        <v>93</v>
      </c>
      <c r="D104" s="778" t="s">
        <v>468</v>
      </c>
    </row>
    <row r="105" spans="2:4">
      <c r="B105" s="779" t="s">
        <v>1895</v>
      </c>
      <c r="C105" s="778">
        <v>93</v>
      </c>
      <c r="D105" s="778" t="s">
        <v>468</v>
      </c>
    </row>
    <row r="106" spans="2:4">
      <c r="B106" s="790" t="s">
        <v>1896</v>
      </c>
      <c r="C106" s="778">
        <v>93</v>
      </c>
      <c r="D106" s="778" t="s">
        <v>468</v>
      </c>
    </row>
    <row r="107" spans="2:4">
      <c r="B107" s="779" t="s">
        <v>1890</v>
      </c>
      <c r="C107" s="778">
        <v>93</v>
      </c>
      <c r="D107" s="778" t="s">
        <v>468</v>
      </c>
    </row>
    <row r="108" spans="2:4">
      <c r="B108" s="779" t="s">
        <v>1897</v>
      </c>
      <c r="C108" s="778">
        <v>93</v>
      </c>
      <c r="D108" s="778" t="s">
        <v>468</v>
      </c>
    </row>
    <row r="109" spans="2:4">
      <c r="B109" s="780" t="s">
        <v>1885</v>
      </c>
      <c r="C109" s="778">
        <v>4</v>
      </c>
      <c r="D109" s="778" t="s">
        <v>468</v>
      </c>
    </row>
    <row r="110" spans="2:4">
      <c r="B110" s="780" t="s">
        <v>1886</v>
      </c>
      <c r="C110" s="778">
        <v>4</v>
      </c>
      <c r="D110" s="778" t="s">
        <v>468</v>
      </c>
    </row>
    <row r="111" spans="2:4">
      <c r="B111" s="780" t="s">
        <v>1887</v>
      </c>
      <c r="C111" s="778">
        <v>4</v>
      </c>
      <c r="D111" s="778" t="s">
        <v>468</v>
      </c>
    </row>
    <row r="112" spans="2:4">
      <c r="B112" s="780" t="s">
        <v>1888</v>
      </c>
      <c r="C112" s="778">
        <v>4</v>
      </c>
      <c r="D112" s="778" t="s">
        <v>468</v>
      </c>
    </row>
    <row r="113" spans="2:9">
      <c r="B113" s="780" t="s">
        <v>1889</v>
      </c>
      <c r="C113" s="778">
        <v>4</v>
      </c>
      <c r="D113" s="778" t="s">
        <v>468</v>
      </c>
    </row>
    <row r="114" spans="2:9">
      <c r="B114" s="780" t="s">
        <v>1890</v>
      </c>
      <c r="C114" s="778">
        <v>4</v>
      </c>
      <c r="D114" s="778" t="s">
        <v>468</v>
      </c>
    </row>
    <row r="115" spans="2:9">
      <c r="B115" s="780" t="s">
        <v>1899</v>
      </c>
      <c r="C115" s="778">
        <v>4</v>
      </c>
      <c r="D115" s="778" t="s">
        <v>468</v>
      </c>
    </row>
    <row r="116" spans="2:9">
      <c r="B116" s="780" t="s">
        <v>1900</v>
      </c>
      <c r="C116" s="778">
        <v>4</v>
      </c>
      <c r="D116" s="778" t="s">
        <v>468</v>
      </c>
    </row>
    <row r="117" spans="2:9">
      <c r="B117" s="779" t="s">
        <v>1885</v>
      </c>
      <c r="C117" s="778">
        <v>2</v>
      </c>
      <c r="D117" s="778" t="s">
        <v>468</v>
      </c>
    </row>
    <row r="118" spans="2:9">
      <c r="B118" s="779" t="s">
        <v>1902</v>
      </c>
      <c r="C118" s="778">
        <v>2</v>
      </c>
      <c r="D118" s="778" t="s">
        <v>468</v>
      </c>
    </row>
    <row r="120" spans="2:9">
      <c r="B120" s="1" t="s">
        <v>1903</v>
      </c>
      <c r="C120" s="781">
        <f ca="1">521559.22-C121-C122+5242</f>
        <v>469867.49532710278</v>
      </c>
    </row>
    <row r="121" spans="2:9">
      <c r="B121" s="1" t="s">
        <v>1444</v>
      </c>
      <c r="C121" s="781">
        <f ca="1">C120*0.07</f>
        <v>32890.724672897195</v>
      </c>
      <c r="F121" s="281">
        <v>21111</v>
      </c>
      <c r="G121" s="270">
        <v>22850.1</v>
      </c>
    </row>
    <row r="122" spans="2:9">
      <c r="B122" s="1" t="s">
        <v>1180</v>
      </c>
      <c r="C122" s="781">
        <v>24043</v>
      </c>
      <c r="F122" s="281">
        <v>668</v>
      </c>
      <c r="G122" s="270">
        <v>992.4</v>
      </c>
      <c r="I122" s="782"/>
    </row>
    <row r="123" spans="2:9">
      <c r="B123" s="1" t="s">
        <v>1904</v>
      </c>
      <c r="C123" s="1756">
        <v>2607.7961</v>
      </c>
      <c r="F123" s="281">
        <v>2167</v>
      </c>
      <c r="G123" s="270">
        <v>3234</v>
      </c>
    </row>
    <row r="124" spans="2:9">
      <c r="C124" s="781">
        <f ca="1">SUM(C120:C123)</f>
        <v>529409.01610000001</v>
      </c>
      <c r="F124" s="281">
        <v>97</v>
      </c>
      <c r="G124" s="270">
        <v>204.12</v>
      </c>
    </row>
    <row r="125" spans="2:9">
      <c r="C125" s="781"/>
      <c r="F125" s="281">
        <v>24043</v>
      </c>
      <c r="G125" s="270">
        <v>27280.62</v>
      </c>
    </row>
    <row r="126" spans="2:9">
      <c r="C126" s="781">
        <v>529408.686261</v>
      </c>
    </row>
    <row r="127" spans="2:9">
      <c r="C127" s="783">
        <f ca="1">C126-C124</f>
        <v>-0.32983900001272559</v>
      </c>
    </row>
  </sheetData>
  <mergeCells count="41">
    <mergeCell ref="A58:B58"/>
    <mergeCell ref="A62:B62"/>
    <mergeCell ref="A66:B66"/>
    <mergeCell ref="A70:B70"/>
    <mergeCell ref="A74:B74"/>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4:I4"/>
    <mergeCell ref="J4:K4"/>
    <mergeCell ref="L4:M4"/>
    <mergeCell ref="N4:O4"/>
    <mergeCell ref="P4:Q4"/>
    <mergeCell ref="R4:S4"/>
    <mergeCell ref="H5:I5"/>
    <mergeCell ref="J5:K5"/>
    <mergeCell ref="L5:M5"/>
    <mergeCell ref="N5:O5"/>
    <mergeCell ref="P5:Q5"/>
  </mergeCells>
  <conditionalFormatting sqref="H11:H19">
    <cfRule type="cellIs" dxfId="325" priority="1" operator="equal">
      <formula>"X"</formula>
    </cfRule>
    <cfRule type="cellIs" dxfId="324" priority="2" operator="equal">
      <formula>"I"</formula>
    </cfRule>
  </conditionalFormatting>
  <conditionalFormatting sqref="J11:J19 L11:L19 N11:N19 P11:P19 R11:R19 H21:H49 J21:J49 L21:L49 N21:N49 P21:P49 R21:R49">
    <cfRule type="cellIs" dxfId="323" priority="15" operator="equal">
      <formula>"X"</formula>
    </cfRule>
    <cfRule type="cellIs" dxfId="322" priority="16" operator="equal">
      <formula>"I"</formula>
    </cfRule>
  </conditionalFormatting>
  <hyperlinks>
    <hyperlink ref="B4" location="'Cost Summary'!A1" display="BACK TO SUMMARY SHEET" xr:uid="{2970D1D1-44C8-4166-8BE2-19F2E74004B8}"/>
    <hyperlink ref="H8:I8" r:id="rId1" display="anthony.dipalermo@geappliances.com" xr:uid="{3B604300-D8D3-4753-AE4D-A577A9E080C0}"/>
  </hyperlinks>
  <pageMargins left="0.7" right="0.7" top="0.75" bottom="0.75" header="0.3" footer="0.3"/>
  <pageSetup orientation="portrait"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C086-972E-46E3-AFAB-D8FE9BE34F83}">
  <dimension ref="A1:S91"/>
  <sheetViews>
    <sheetView zoomScale="85" zoomScaleNormal="85" workbookViewId="0">
      <pane xSplit="2" ySplit="19" topLeftCell="C49" activePane="bottomRight" state="frozen"/>
      <selection pane="topRight" activeCell="C1" sqref="C1"/>
      <selection pane="bottomLeft" activeCell="A20" sqref="A20"/>
      <selection pane="bottomRight" activeCell="I53" sqref="I53:I54"/>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85"/>
      <c r="F1" s="64"/>
      <c r="G1" s="62" t="s">
        <v>679</v>
      </c>
    </row>
    <row r="2" spans="1:19" ht="15.75" thickBot="1">
      <c r="E2" s="85"/>
      <c r="F2" s="61"/>
      <c r="G2" s="62" t="s">
        <v>681</v>
      </c>
      <c r="H2" s="2364"/>
      <c r="I2" s="2364"/>
      <c r="J2" s="2364"/>
      <c r="K2" s="2364"/>
      <c r="L2" s="2364"/>
      <c r="M2" s="2364"/>
      <c r="N2" s="2364"/>
      <c r="O2" s="2364"/>
      <c r="P2" s="2364"/>
      <c r="Q2" s="2364"/>
      <c r="R2" s="2364"/>
      <c r="S2" s="2364"/>
    </row>
    <row r="3" spans="1:19" ht="21" thickBot="1">
      <c r="B3" s="74" t="s">
        <v>684</v>
      </c>
      <c r="E3" s="85"/>
      <c r="F3" s="63"/>
      <c r="G3" s="62" t="s">
        <v>683</v>
      </c>
      <c r="H3" s="2319" t="s">
        <v>686</v>
      </c>
      <c r="I3" s="2320"/>
      <c r="J3" s="2319" t="s">
        <v>687</v>
      </c>
      <c r="K3" s="2320"/>
      <c r="L3" s="2319" t="s">
        <v>688</v>
      </c>
      <c r="M3" s="2320"/>
      <c r="N3" s="2319" t="s">
        <v>689</v>
      </c>
      <c r="O3" s="2320"/>
      <c r="P3" s="2319" t="s">
        <v>773</v>
      </c>
      <c r="Q3" s="2320"/>
      <c r="R3" s="2319" t="s">
        <v>774</v>
      </c>
      <c r="S3" s="2320"/>
    </row>
    <row r="4" spans="1:19" ht="15.75" thickTop="1">
      <c r="A4" s="3" t="s">
        <v>692</v>
      </c>
      <c r="B4" s="4" t="str">
        <f>'Area Calculations'!B4</f>
        <v>ERAU Residential Hall &amp; Garage Building</v>
      </c>
      <c r="C4" s="5"/>
      <c r="D4" s="5"/>
      <c r="E4" s="5"/>
      <c r="F4" s="5"/>
      <c r="G4" s="6" t="s">
        <v>693</v>
      </c>
      <c r="H4" s="2362"/>
      <c r="I4" s="2363"/>
      <c r="J4" s="2376"/>
      <c r="K4" s="2363"/>
      <c r="L4" s="2376"/>
      <c r="M4" s="2363"/>
      <c r="N4" s="2376"/>
      <c r="O4" s="2363"/>
      <c r="P4" s="2376"/>
      <c r="Q4" s="2363"/>
      <c r="R4" s="2376"/>
      <c r="S4" s="2363"/>
    </row>
    <row r="5" spans="1:19">
      <c r="A5" s="930" t="s">
        <v>700</v>
      </c>
      <c r="B5" s="481" t="s">
        <v>1905</v>
      </c>
      <c r="C5" s="422"/>
      <c r="D5" s="422"/>
      <c r="E5" s="422"/>
      <c r="F5" s="422"/>
      <c r="G5" s="466" t="s">
        <v>702</v>
      </c>
      <c r="H5" s="2359"/>
      <c r="I5" s="2360"/>
      <c r="J5" s="2378"/>
      <c r="K5" s="2360"/>
      <c r="L5" s="2378"/>
      <c r="M5" s="2360"/>
      <c r="N5" s="2378"/>
      <c r="O5" s="2360"/>
      <c r="P5" s="2378"/>
      <c r="Q5" s="2360"/>
      <c r="R5" s="2378"/>
      <c r="S5" s="2360"/>
    </row>
    <row r="6" spans="1:19">
      <c r="A6" s="930" t="s">
        <v>706</v>
      </c>
      <c r="B6" s="482" t="s">
        <v>1906</v>
      </c>
      <c r="C6" s="422"/>
      <c r="D6" s="422"/>
      <c r="E6" s="422"/>
      <c r="F6" s="422"/>
      <c r="G6" s="466" t="s">
        <v>708</v>
      </c>
      <c r="H6" s="2361"/>
      <c r="I6" s="2358"/>
      <c r="J6" s="2377"/>
      <c r="K6" s="2358"/>
      <c r="L6" s="2377"/>
      <c r="M6" s="2358"/>
      <c r="N6" s="2377"/>
      <c r="O6" s="2358"/>
      <c r="P6" s="2377"/>
      <c r="Q6" s="2358"/>
      <c r="R6" s="2377"/>
      <c r="S6" s="2358"/>
    </row>
    <row r="7" spans="1:19">
      <c r="A7" s="930" t="s">
        <v>712</v>
      </c>
      <c r="B7" s="483"/>
      <c r="C7" s="422"/>
      <c r="D7" s="422"/>
      <c r="E7" s="422"/>
      <c r="F7" s="422"/>
      <c r="G7" s="466" t="s">
        <v>713</v>
      </c>
      <c r="H7" s="2355"/>
      <c r="I7" s="2356"/>
      <c r="J7" s="2381"/>
      <c r="K7" s="2356"/>
      <c r="L7" s="2381"/>
      <c r="M7" s="2356"/>
      <c r="N7" s="2381"/>
      <c r="O7" s="2356"/>
      <c r="P7" s="2381"/>
      <c r="Q7" s="2356"/>
      <c r="R7" s="2381"/>
      <c r="S7" s="2356"/>
    </row>
    <row r="8" spans="1:19" ht="15.75" thickBot="1">
      <c r="A8" s="467" t="s">
        <v>717</v>
      </c>
      <c r="B8" s="340"/>
      <c r="C8" s="86"/>
      <c r="D8" s="86"/>
      <c r="E8" s="86"/>
      <c r="F8" s="86"/>
      <c r="G8" s="467" t="s">
        <v>717</v>
      </c>
      <c r="H8" s="2382">
        <f>I52</f>
        <v>0</v>
      </c>
      <c r="I8" s="2383"/>
      <c r="J8" s="2382">
        <f>K52</f>
        <v>0</v>
      </c>
      <c r="K8" s="2383"/>
      <c r="L8" s="2382">
        <f>M52</f>
        <v>0</v>
      </c>
      <c r="M8" s="2383"/>
      <c r="N8" s="2382">
        <f>O52</f>
        <v>0</v>
      </c>
      <c r="O8" s="2383"/>
      <c r="P8" s="2382">
        <f>Q52</f>
        <v>0</v>
      </c>
      <c r="Q8" s="2383"/>
      <c r="R8" s="2382">
        <f>S52</f>
        <v>0</v>
      </c>
      <c r="S8" s="2383"/>
    </row>
    <row r="9" spans="1:19" ht="31.5" thickTop="1" thickBot="1">
      <c r="A9" s="7" t="s">
        <v>1452</v>
      </c>
      <c r="B9" s="8"/>
      <c r="C9" s="9" t="s">
        <v>718</v>
      </c>
      <c r="D9" s="9" t="s">
        <v>719</v>
      </c>
      <c r="E9" s="9" t="s">
        <v>720</v>
      </c>
      <c r="F9" s="9" t="s">
        <v>721</v>
      </c>
      <c r="G9" s="10" t="s">
        <v>722</v>
      </c>
      <c r="H9" s="11" t="s">
        <v>723</v>
      </c>
      <c r="I9" s="11" t="s">
        <v>724</v>
      </c>
      <c r="J9" s="11" t="s">
        <v>723</v>
      </c>
      <c r="K9" s="11" t="s">
        <v>724</v>
      </c>
      <c r="L9" s="11" t="s">
        <v>723</v>
      </c>
      <c r="M9" s="11" t="s">
        <v>724</v>
      </c>
      <c r="N9" s="11" t="s">
        <v>723</v>
      </c>
      <c r="O9" s="11" t="s">
        <v>724</v>
      </c>
      <c r="P9" s="11" t="s">
        <v>723</v>
      </c>
      <c r="Q9" s="11" t="s">
        <v>724</v>
      </c>
      <c r="R9" s="11" t="s">
        <v>723</v>
      </c>
      <c r="S9" s="11" t="s">
        <v>724</v>
      </c>
    </row>
    <row r="10" spans="1:19" ht="15.75" hidden="1" thickTop="1">
      <c r="A10" s="931"/>
      <c r="B10" s="1732" t="s">
        <v>1453</v>
      </c>
      <c r="C10" s="422"/>
      <c r="D10" s="422"/>
      <c r="E10" s="422"/>
      <c r="F10" s="422"/>
      <c r="G10" s="468"/>
      <c r="H10" s="1649"/>
      <c r="I10" s="1649"/>
      <c r="J10" s="1649"/>
      <c r="K10" s="1649"/>
      <c r="L10" s="1649"/>
      <c r="M10" s="1649"/>
      <c r="N10" s="1649"/>
      <c r="O10" s="1649"/>
      <c r="P10" s="1649"/>
      <c r="Q10" s="1649"/>
      <c r="R10" s="1649"/>
      <c r="S10" s="1649"/>
    </row>
    <row r="11" spans="1:19" hidden="1">
      <c r="A11" s="931"/>
      <c r="B11" s="481" t="e">
        <f>'Area Calculations'!#REF!</f>
        <v>#REF!</v>
      </c>
      <c r="C11" s="484" t="s">
        <v>1035</v>
      </c>
      <c r="D11" s="422"/>
      <c r="E11" s="422"/>
      <c r="F11" s="422"/>
      <c r="G11" s="468"/>
      <c r="H11" s="1649"/>
      <c r="I11" s="1649"/>
      <c r="J11" s="1649"/>
      <c r="K11" s="1649"/>
      <c r="L11" s="1649"/>
      <c r="M11" s="1649"/>
      <c r="N11" s="1649"/>
      <c r="O11" s="1649"/>
      <c r="P11" s="1649"/>
      <c r="Q11" s="1649"/>
      <c r="R11" s="1649"/>
      <c r="S11" s="1649"/>
    </row>
    <row r="12" spans="1:19" hidden="1">
      <c r="A12" s="931"/>
      <c r="B12" s="481" t="e">
        <f>'Area Calculations'!#REF!</f>
        <v>#REF!</v>
      </c>
      <c r="C12" s="484" t="s">
        <v>1035</v>
      </c>
      <c r="D12" s="422"/>
      <c r="E12" s="422"/>
      <c r="F12" s="422"/>
      <c r="G12" s="468"/>
      <c r="H12" s="1649"/>
      <c r="I12" s="1649"/>
      <c r="J12" s="1649"/>
      <c r="K12" s="1649"/>
      <c r="L12" s="1649"/>
      <c r="M12" s="1649"/>
      <c r="N12" s="1649"/>
      <c r="O12" s="1649"/>
      <c r="P12" s="1649"/>
      <c r="Q12" s="1649"/>
      <c r="R12" s="1649"/>
      <c r="S12" s="1649"/>
    </row>
    <row r="13" spans="1:19" hidden="1">
      <c r="A13" s="931"/>
      <c r="B13" s="481" t="e">
        <f>'Area Calculations'!#REF!</f>
        <v>#REF!</v>
      </c>
      <c r="C13" s="484" t="s">
        <v>1035</v>
      </c>
      <c r="D13" s="422"/>
      <c r="E13" s="422"/>
      <c r="F13" s="422"/>
      <c r="G13" s="468"/>
      <c r="H13" s="1649"/>
      <c r="I13" s="1649"/>
      <c r="J13" s="1649"/>
      <c r="K13" s="1649"/>
      <c r="L13" s="1649"/>
      <c r="M13" s="1649"/>
      <c r="N13" s="1649"/>
      <c r="O13" s="1649"/>
      <c r="P13" s="1649"/>
      <c r="Q13" s="1649"/>
      <c r="R13" s="1649"/>
      <c r="S13" s="1649"/>
    </row>
    <row r="14" spans="1:19" hidden="1">
      <c r="A14" s="931"/>
      <c r="B14" s="481" t="e">
        <f>'Area Calculations'!#REF!</f>
        <v>#REF!</v>
      </c>
      <c r="C14" s="484" t="s">
        <v>1035</v>
      </c>
      <c r="D14" s="422"/>
      <c r="E14" s="422"/>
      <c r="F14" s="422"/>
      <c r="G14" s="468"/>
      <c r="H14" s="1649"/>
      <c r="I14" s="1649"/>
      <c r="J14" s="1649"/>
      <c r="K14" s="1649"/>
      <c r="L14" s="1649"/>
      <c r="M14" s="1649"/>
      <c r="N14" s="1649"/>
      <c r="O14" s="1649"/>
      <c r="P14" s="1649"/>
      <c r="Q14" s="1649"/>
      <c r="R14" s="1649"/>
      <c r="S14" s="1649"/>
    </row>
    <row r="15" spans="1:19" hidden="1">
      <c r="A15" s="931"/>
      <c r="B15" s="481" t="e">
        <f>'Area Calculations'!#REF!</f>
        <v>#REF!</v>
      </c>
      <c r="C15" s="484" t="s">
        <v>1035</v>
      </c>
      <c r="D15" s="422"/>
      <c r="E15" s="422"/>
      <c r="F15" s="422"/>
      <c r="G15" s="468"/>
      <c r="H15" s="1649"/>
      <c r="I15" s="1649"/>
      <c r="J15" s="1649"/>
      <c r="K15" s="1649"/>
      <c r="L15" s="1649"/>
      <c r="M15" s="1649"/>
      <c r="N15" s="1649"/>
      <c r="O15" s="1649"/>
      <c r="P15" s="1649"/>
      <c r="Q15" s="1649"/>
      <c r="R15" s="1649"/>
      <c r="S15" s="1649"/>
    </row>
    <row r="16" spans="1:19" hidden="1">
      <c r="A16" s="931"/>
      <c r="B16" s="481" t="e">
        <f>'Area Calculations'!#REF!</f>
        <v>#REF!</v>
      </c>
      <c r="C16" s="484" t="s">
        <v>1035</v>
      </c>
      <c r="D16" s="422"/>
      <c r="E16" s="422"/>
      <c r="F16" s="422"/>
      <c r="G16" s="468"/>
      <c r="H16" s="1649"/>
      <c r="I16" s="1649"/>
      <c r="J16" s="1649"/>
      <c r="K16" s="1649"/>
      <c r="L16" s="1649"/>
      <c r="M16" s="1649"/>
      <c r="N16" s="1649"/>
      <c r="O16" s="1649"/>
      <c r="P16" s="1649"/>
      <c r="Q16" s="1649"/>
      <c r="R16" s="1649"/>
      <c r="S16" s="1649"/>
    </row>
    <row r="17" spans="1:19" hidden="1">
      <c r="A17" s="931"/>
      <c r="B17" s="481" t="e">
        <f>'Area Calculations'!#REF!</f>
        <v>#REF!</v>
      </c>
      <c r="C17" s="484" t="s">
        <v>1035</v>
      </c>
      <c r="D17" s="422"/>
      <c r="E17" s="422"/>
      <c r="F17" s="422"/>
      <c r="G17" s="468"/>
      <c r="H17" s="1649"/>
      <c r="I17" s="1649"/>
      <c r="J17" s="1649"/>
      <c r="K17" s="1649"/>
      <c r="L17" s="1649"/>
      <c r="M17" s="1649"/>
      <c r="N17" s="1649"/>
      <c r="O17" s="1649"/>
      <c r="P17" s="1649"/>
      <c r="Q17" s="1649"/>
      <c r="R17" s="1649"/>
      <c r="S17" s="1649"/>
    </row>
    <row r="18" spans="1:19" hidden="1">
      <c r="A18" s="931"/>
      <c r="B18" s="481" t="e">
        <f>'Area Calculations'!#REF!</f>
        <v>#REF!</v>
      </c>
      <c r="C18" s="484" t="s">
        <v>1035</v>
      </c>
      <c r="D18" s="422"/>
      <c r="E18" s="422"/>
      <c r="F18" s="422"/>
      <c r="G18" s="468"/>
      <c r="H18" s="1649"/>
      <c r="I18" s="1649"/>
      <c r="J18" s="1649"/>
      <c r="K18" s="1649"/>
      <c r="L18" s="1649"/>
      <c r="M18" s="1649"/>
      <c r="N18" s="1649"/>
      <c r="O18" s="1649"/>
      <c r="P18" s="1649"/>
      <c r="Q18" s="1649"/>
      <c r="R18" s="1649"/>
      <c r="S18" s="1649"/>
    </row>
    <row r="19" spans="1:19" hidden="1">
      <c r="A19" s="931"/>
      <c r="B19" s="481" t="e">
        <f>'Area Calculations'!#REF!</f>
        <v>#REF!</v>
      </c>
      <c r="C19" s="484" t="s">
        <v>1035</v>
      </c>
      <c r="D19" s="422"/>
      <c r="E19" s="422"/>
      <c r="F19" s="422"/>
      <c r="G19" s="468"/>
      <c r="H19" s="1649"/>
      <c r="I19" s="1649"/>
      <c r="J19" s="1649"/>
      <c r="K19" s="1649"/>
      <c r="L19" s="1649"/>
      <c r="M19" s="1649"/>
      <c r="N19" s="1649"/>
      <c r="O19" s="1649"/>
      <c r="P19" s="1649"/>
      <c r="Q19" s="1649"/>
      <c r="R19" s="1649"/>
      <c r="S19" s="1649"/>
    </row>
    <row r="20" spans="1:19" ht="15.75" thickTop="1">
      <c r="A20" s="931"/>
      <c r="B20" s="481"/>
      <c r="C20" s="484"/>
      <c r="D20" s="422"/>
      <c r="E20" s="422"/>
      <c r="F20" s="422"/>
      <c r="G20" s="468"/>
      <c r="H20" s="1649"/>
      <c r="I20" s="1649"/>
      <c r="J20" s="1649"/>
      <c r="K20" s="1649"/>
      <c r="L20" s="1649"/>
      <c r="M20" s="1649"/>
      <c r="N20" s="1649"/>
      <c r="O20" s="1649"/>
      <c r="P20" s="1649"/>
      <c r="Q20" s="1649"/>
      <c r="R20" s="1649"/>
      <c r="S20" s="1649"/>
    </row>
    <row r="21" spans="1:19" ht="15.75" thickBot="1">
      <c r="A21" s="931"/>
      <c r="B21" s="485" t="s">
        <v>1905</v>
      </c>
      <c r="C21" s="484"/>
      <c r="D21" s="422"/>
      <c r="E21" s="422"/>
      <c r="F21" s="422"/>
      <c r="G21" s="468"/>
      <c r="H21" s="1649"/>
      <c r="I21" s="1649"/>
      <c r="J21" s="1649"/>
      <c r="K21" s="1649"/>
      <c r="L21" s="1649"/>
      <c r="M21" s="1649"/>
      <c r="N21" s="1649"/>
      <c r="O21" s="1649"/>
      <c r="P21" s="1649"/>
      <c r="Q21" s="1649"/>
      <c r="R21" s="1649"/>
      <c r="S21" s="1649"/>
    </row>
    <row r="22" spans="1:19">
      <c r="A22" s="1757"/>
      <c r="B22" s="1654" t="s">
        <v>725</v>
      </c>
      <c r="C22" s="484"/>
      <c r="D22" s="422"/>
      <c r="E22" s="422"/>
      <c r="F22" s="422"/>
      <c r="G22" s="468"/>
      <c r="H22" s="1588"/>
      <c r="I22" s="1730"/>
      <c r="J22" s="1730"/>
      <c r="K22" s="1730"/>
      <c r="L22" s="1652"/>
      <c r="M22" s="1730"/>
      <c r="N22" s="1730"/>
      <c r="O22" s="1730"/>
      <c r="P22" s="1730"/>
      <c r="Q22" s="1730"/>
      <c r="R22" s="1730"/>
      <c r="S22" s="1730"/>
    </row>
    <row r="23" spans="1:19">
      <c r="A23" s="1757"/>
      <c r="B23" s="1758" t="s">
        <v>726</v>
      </c>
      <c r="C23" s="484"/>
      <c r="D23" s="422"/>
      <c r="E23" s="422"/>
      <c r="F23" s="422"/>
      <c r="G23" s="468"/>
      <c r="H23" s="1652"/>
      <c r="I23" s="1759"/>
      <c r="J23" s="1652"/>
      <c r="K23" s="1730"/>
      <c r="L23" s="1652"/>
      <c r="M23" s="1730"/>
      <c r="N23" s="1730"/>
      <c r="O23" s="1730"/>
      <c r="P23" s="1730"/>
      <c r="Q23" s="1730"/>
      <c r="R23" s="1730"/>
      <c r="S23" s="1730"/>
    </row>
    <row r="24" spans="1:19">
      <c r="A24" s="1757"/>
      <c r="B24" s="1758" t="s">
        <v>728</v>
      </c>
      <c r="C24" s="476"/>
      <c r="D24" s="422"/>
      <c r="E24" s="422"/>
      <c r="F24" s="422"/>
      <c r="G24" s="468"/>
      <c r="H24" s="1652"/>
      <c r="I24" s="1759"/>
      <c r="J24" s="1652"/>
      <c r="K24" s="1730"/>
      <c r="L24" s="1652"/>
      <c r="M24" s="1730"/>
      <c r="N24" s="1730"/>
      <c r="O24" s="1730"/>
      <c r="P24" s="1730"/>
      <c r="Q24" s="1730"/>
      <c r="R24" s="1730"/>
      <c r="S24" s="1730"/>
    </row>
    <row r="25" spans="1:19">
      <c r="A25" s="1757"/>
      <c r="B25" s="1760" t="s">
        <v>729</v>
      </c>
      <c r="C25" s="476"/>
      <c r="D25" s="422"/>
      <c r="E25" s="422"/>
      <c r="F25" s="422"/>
      <c r="G25" s="468"/>
      <c r="H25" s="1652"/>
      <c r="I25" s="1759"/>
      <c r="J25" s="1652"/>
      <c r="K25" s="1730"/>
      <c r="L25" s="1652"/>
      <c r="M25" s="1730"/>
      <c r="N25" s="1730"/>
      <c r="O25" s="1730"/>
      <c r="P25" s="1730"/>
      <c r="Q25" s="1730"/>
      <c r="R25" s="1730"/>
      <c r="S25" s="1730"/>
    </row>
    <row r="26" spans="1:19" s="36" customFormat="1">
      <c r="A26" s="1761"/>
      <c r="B26" s="1760" t="s">
        <v>731</v>
      </c>
      <c r="C26" s="423"/>
      <c r="D26" s="418"/>
      <c r="E26" s="418"/>
      <c r="F26" s="418"/>
      <c r="G26" s="423"/>
      <c r="H26" s="1652"/>
      <c r="I26" s="1759"/>
      <c r="J26" s="1658"/>
      <c r="K26" s="1762"/>
      <c r="L26" s="1658"/>
      <c r="M26" s="1762"/>
      <c r="N26" s="1762"/>
      <c r="O26" s="1762"/>
      <c r="P26" s="1762"/>
      <c r="Q26" s="1762"/>
      <c r="R26" s="1762"/>
      <c r="S26" s="1762"/>
    </row>
    <row r="27" spans="1:19" s="36" customFormat="1">
      <c r="A27" s="1761"/>
      <c r="B27" s="1760" t="s">
        <v>732</v>
      </c>
      <c r="C27" s="423"/>
      <c r="D27" s="418"/>
      <c r="E27" s="418"/>
      <c r="F27" s="418"/>
      <c r="G27" s="423"/>
      <c r="H27" s="1652"/>
      <c r="I27" s="1759"/>
      <c r="J27" s="1658"/>
      <c r="K27" s="1762"/>
      <c r="L27" s="1658"/>
      <c r="M27" s="1762"/>
      <c r="N27" s="1762"/>
      <c r="O27" s="1762"/>
      <c r="P27" s="1762"/>
      <c r="Q27" s="1762"/>
      <c r="R27" s="1762"/>
      <c r="S27" s="1762"/>
    </row>
    <row r="28" spans="1:19" s="36" customFormat="1">
      <c r="A28" s="1761"/>
      <c r="B28" s="1760" t="s">
        <v>733</v>
      </c>
      <c r="C28" s="423"/>
      <c r="D28" s="418"/>
      <c r="E28" s="418"/>
      <c r="F28" s="418"/>
      <c r="G28" s="423"/>
      <c r="H28" s="1652"/>
      <c r="I28" s="1759"/>
      <c r="J28" s="1658"/>
      <c r="K28" s="1762"/>
      <c r="L28" s="1658"/>
      <c r="M28" s="1762"/>
      <c r="N28" s="1762"/>
      <c r="O28" s="1762"/>
      <c r="P28" s="1762"/>
      <c r="Q28" s="1762"/>
      <c r="R28" s="1762"/>
      <c r="S28" s="1762"/>
    </row>
    <row r="29" spans="1:19" s="36" customFormat="1">
      <c r="A29" s="1761"/>
      <c r="B29" s="1763" t="s">
        <v>736</v>
      </c>
      <c r="C29" s="423"/>
      <c r="D29" s="418"/>
      <c r="E29" s="418"/>
      <c r="F29" s="418"/>
      <c r="G29" s="423"/>
      <c r="H29" s="1652"/>
      <c r="I29" s="1759"/>
      <c r="J29" s="1658"/>
      <c r="K29" s="1762"/>
      <c r="L29" s="1658"/>
      <c r="M29" s="1762"/>
      <c r="N29" s="1762"/>
      <c r="O29" s="1762"/>
      <c r="P29" s="1762"/>
      <c r="Q29" s="1762"/>
      <c r="R29" s="1762"/>
      <c r="S29" s="1762"/>
    </row>
    <row r="30" spans="1:19" s="36" customFormat="1">
      <c r="A30" s="1761"/>
      <c r="B30" s="1764" t="s">
        <v>737</v>
      </c>
      <c r="C30" s="427"/>
      <c r="D30" s="426"/>
      <c r="E30" s="426"/>
      <c r="F30" s="426"/>
      <c r="G30" s="427"/>
      <c r="H30" s="1661"/>
      <c r="I30" s="1765"/>
      <c r="J30" s="1156"/>
      <c r="K30" s="1766"/>
      <c r="L30" s="1156"/>
      <c r="M30" s="1766"/>
      <c r="N30" s="1766"/>
      <c r="O30" s="1766"/>
      <c r="P30" s="1766"/>
      <c r="Q30" s="1766"/>
      <c r="R30" s="1766"/>
      <c r="S30" s="1766"/>
    </row>
    <row r="31" spans="1:19" s="36" customFormat="1">
      <c r="A31" s="1761"/>
      <c r="B31" s="66"/>
      <c r="C31" s="423"/>
      <c r="D31" s="418"/>
      <c r="E31" s="418"/>
      <c r="F31" s="418"/>
      <c r="G31" s="423"/>
      <c r="H31" s="1652"/>
      <c r="I31" s="1759"/>
      <c r="J31" s="1658"/>
      <c r="K31" s="1762"/>
      <c r="L31" s="1658"/>
      <c r="M31" s="1762"/>
      <c r="N31" s="1762"/>
      <c r="O31" s="1762"/>
      <c r="P31" s="1762"/>
      <c r="Q31" s="1762"/>
      <c r="R31" s="1762"/>
      <c r="S31" s="1762"/>
    </row>
    <row r="32" spans="1:19" s="36" customFormat="1">
      <c r="A32" s="1767"/>
      <c r="B32" s="1665"/>
      <c r="C32" s="477"/>
      <c r="D32" s="418"/>
      <c r="E32" s="418"/>
      <c r="F32" s="418"/>
      <c r="G32" s="423"/>
      <c r="H32" s="1652"/>
      <c r="I32" s="1759"/>
      <c r="J32" s="1658"/>
      <c r="K32" s="1762"/>
      <c r="L32" s="1658"/>
      <c r="M32" s="1762"/>
      <c r="N32" s="1762"/>
      <c r="O32" s="1762"/>
      <c r="P32" s="1762"/>
      <c r="Q32" s="1762"/>
      <c r="R32" s="1762"/>
      <c r="S32" s="1762"/>
    </row>
    <row r="33" spans="1:19" s="36" customFormat="1">
      <c r="A33" s="1767"/>
      <c r="B33" s="1666"/>
      <c r="C33" s="477"/>
      <c r="D33" s="418"/>
      <c r="E33" s="418"/>
      <c r="F33" s="418"/>
      <c r="G33" s="423"/>
      <c r="H33" s="1652"/>
      <c r="I33" s="1759"/>
      <c r="J33" s="1658"/>
      <c r="K33" s="1762"/>
      <c r="L33" s="1658"/>
      <c r="M33" s="1762"/>
      <c r="N33" s="1762"/>
      <c r="O33" s="1762"/>
      <c r="P33" s="1762"/>
      <c r="Q33" s="1762"/>
      <c r="R33" s="1762"/>
      <c r="S33" s="1762"/>
    </row>
    <row r="34" spans="1:19" s="36" customFormat="1">
      <c r="A34" s="1767"/>
      <c r="B34" s="1666"/>
      <c r="C34" s="477"/>
      <c r="D34" s="418"/>
      <c r="E34" s="418"/>
      <c r="F34" s="418"/>
      <c r="G34" s="423"/>
      <c r="H34" s="1652"/>
      <c r="I34" s="1759"/>
      <c r="J34" s="1658"/>
      <c r="K34" s="1762"/>
      <c r="L34" s="1658"/>
      <c r="M34" s="1762"/>
      <c r="N34" s="1762"/>
      <c r="O34" s="1762"/>
      <c r="P34" s="1762"/>
      <c r="Q34" s="1762"/>
      <c r="R34" s="1762"/>
      <c r="S34" s="1762"/>
    </row>
    <row r="35" spans="1:19" s="36" customFormat="1">
      <c r="A35" s="1767"/>
      <c r="B35" s="1768"/>
      <c r="C35" s="477"/>
      <c r="D35" s="418"/>
      <c r="E35" s="418"/>
      <c r="F35" s="418"/>
      <c r="G35" s="423"/>
      <c r="H35" s="1652"/>
      <c r="I35" s="1759"/>
      <c r="J35" s="1658"/>
      <c r="K35" s="1762"/>
      <c r="L35" s="1658"/>
      <c r="M35" s="1762"/>
      <c r="N35" s="1762"/>
      <c r="O35" s="1762"/>
      <c r="P35" s="1762"/>
      <c r="Q35" s="1762"/>
      <c r="R35" s="1762"/>
      <c r="S35" s="1762"/>
    </row>
    <row r="36" spans="1:19" s="36" customFormat="1">
      <c r="A36" s="1767"/>
      <c r="B36" s="1666"/>
      <c r="C36" s="477"/>
      <c r="D36" s="418"/>
      <c r="E36" s="418"/>
      <c r="F36" s="418"/>
      <c r="G36" s="423"/>
      <c r="H36" s="1652"/>
      <c r="I36" s="1759"/>
      <c r="J36" s="1658"/>
      <c r="K36" s="1762"/>
      <c r="L36" s="1658"/>
      <c r="M36" s="1762"/>
      <c r="N36" s="1762"/>
      <c r="O36" s="1762"/>
      <c r="P36" s="1762"/>
      <c r="Q36" s="1762"/>
      <c r="R36" s="1762"/>
      <c r="S36" s="1762"/>
    </row>
    <row r="37" spans="1:19" s="36" customFormat="1">
      <c r="A37" s="1767"/>
      <c r="B37" s="1666"/>
      <c r="C37" s="477"/>
      <c r="D37" s="418"/>
      <c r="E37" s="478"/>
      <c r="F37" s="492"/>
      <c r="G37" s="423"/>
      <c r="H37" s="1652"/>
      <c r="I37" s="1759"/>
      <c r="J37" s="1658"/>
      <c r="K37" s="1762"/>
      <c r="L37" s="1658"/>
      <c r="M37" s="1762"/>
      <c r="N37" s="1762"/>
      <c r="O37" s="1762"/>
      <c r="P37" s="1762"/>
      <c r="Q37" s="1762"/>
      <c r="R37" s="1762"/>
      <c r="S37" s="1762"/>
    </row>
    <row r="38" spans="1:19" s="36" customFormat="1">
      <c r="A38" s="1767"/>
      <c r="B38" s="1666"/>
      <c r="C38" s="477"/>
      <c r="D38" s="418"/>
      <c r="E38" s="478"/>
      <c r="F38" s="492"/>
      <c r="G38" s="423"/>
      <c r="H38" s="1652"/>
      <c r="I38" s="1759"/>
      <c r="J38" s="1658"/>
      <c r="K38" s="1762"/>
      <c r="L38" s="1658"/>
      <c r="M38" s="1762"/>
      <c r="N38" s="1762"/>
      <c r="O38" s="1762"/>
      <c r="P38" s="1762"/>
      <c r="Q38" s="1762"/>
      <c r="R38" s="1762"/>
      <c r="S38" s="1762"/>
    </row>
    <row r="39" spans="1:19" s="36" customFormat="1">
      <c r="A39" s="1767"/>
      <c r="B39" s="1666"/>
      <c r="C39" s="477"/>
      <c r="D39" s="418"/>
      <c r="E39" s="478"/>
      <c r="F39" s="492"/>
      <c r="G39" s="423"/>
      <c r="H39" s="1652"/>
      <c r="I39" s="1759"/>
      <c r="J39" s="1658"/>
      <c r="K39" s="1762"/>
      <c r="L39" s="1658"/>
      <c r="M39" s="1762"/>
      <c r="N39" s="1762"/>
      <c r="O39" s="1762"/>
      <c r="P39" s="1762"/>
      <c r="Q39" s="1762"/>
      <c r="R39" s="1762"/>
      <c r="S39" s="1762"/>
    </row>
    <row r="40" spans="1:19" s="36" customFormat="1">
      <c r="A40" s="1767"/>
      <c r="B40" s="1769"/>
      <c r="C40" s="477"/>
      <c r="D40" s="418"/>
      <c r="E40" s="478"/>
      <c r="F40" s="492"/>
      <c r="G40" s="423"/>
      <c r="H40" s="1652"/>
      <c r="I40" s="1759"/>
      <c r="J40" s="1658"/>
      <c r="K40" s="1762"/>
      <c r="L40" s="1658"/>
      <c r="M40" s="1762"/>
      <c r="N40" s="1762"/>
      <c r="O40" s="1762"/>
      <c r="P40" s="1762"/>
      <c r="Q40" s="1762"/>
      <c r="R40" s="1762"/>
      <c r="S40" s="1762"/>
    </row>
    <row r="41" spans="1:19" s="36" customFormat="1">
      <c r="A41" s="1767"/>
      <c r="B41" s="1770"/>
      <c r="C41" s="477"/>
      <c r="D41" s="418"/>
      <c r="E41" s="478"/>
      <c r="F41" s="492"/>
      <c r="G41" s="423"/>
      <c r="H41" s="1652"/>
      <c r="I41" s="1759"/>
      <c r="J41" s="1658"/>
      <c r="K41" s="1762"/>
      <c r="L41" s="1658"/>
      <c r="M41" s="1762"/>
      <c r="N41" s="1762"/>
      <c r="O41" s="1762"/>
      <c r="P41" s="1762"/>
      <c r="Q41" s="1762"/>
      <c r="R41" s="1762"/>
      <c r="S41" s="1762"/>
    </row>
    <row r="42" spans="1:19" s="36" customFormat="1">
      <c r="A42" s="1767"/>
      <c r="B42" s="67"/>
      <c r="C42" s="477"/>
      <c r="D42" s="418"/>
      <c r="E42" s="478"/>
      <c r="F42" s="492"/>
      <c r="G42" s="423"/>
      <c r="H42" s="1652"/>
      <c r="I42" s="1759"/>
      <c r="J42" s="1658"/>
      <c r="K42" s="1762"/>
      <c r="L42" s="1658"/>
      <c r="M42" s="1762"/>
      <c r="N42" s="1762"/>
      <c r="O42" s="1762"/>
      <c r="P42" s="1762"/>
      <c r="Q42" s="1762"/>
      <c r="R42" s="1762"/>
      <c r="S42" s="1762"/>
    </row>
    <row r="43" spans="1:19" s="36" customFormat="1">
      <c r="A43" s="1767"/>
      <c r="B43" s="1662"/>
      <c r="C43" s="477"/>
      <c r="D43" s="418"/>
      <c r="E43" s="478"/>
      <c r="F43" s="492"/>
      <c r="G43" s="423"/>
      <c r="H43" s="1652"/>
      <c r="I43" s="1759"/>
      <c r="J43" s="1658"/>
      <c r="K43" s="1762"/>
      <c r="L43" s="1658"/>
      <c r="M43" s="1762"/>
      <c r="N43" s="1762"/>
      <c r="O43" s="1762"/>
      <c r="P43" s="1762"/>
      <c r="Q43" s="1762"/>
      <c r="R43" s="1762"/>
      <c r="S43" s="1762"/>
    </row>
    <row r="44" spans="1:19" s="36" customFormat="1">
      <c r="A44" s="1767"/>
      <c r="B44" s="1662"/>
      <c r="C44" s="477"/>
      <c r="D44" s="418"/>
      <c r="E44" s="478"/>
      <c r="F44" s="492"/>
      <c r="G44" s="423"/>
      <c r="H44" s="1652"/>
      <c r="I44" s="1759"/>
      <c r="J44" s="1658"/>
      <c r="K44" s="1762"/>
      <c r="L44" s="1658"/>
      <c r="M44" s="1762"/>
      <c r="N44" s="1762"/>
      <c r="O44" s="1762"/>
      <c r="P44" s="1762"/>
      <c r="Q44" s="1762"/>
      <c r="R44" s="1762"/>
      <c r="S44" s="1762"/>
    </row>
    <row r="45" spans="1:19" s="36" customFormat="1">
      <c r="A45" s="1767"/>
      <c r="B45" s="1662"/>
      <c r="C45" s="477"/>
      <c r="D45" s="418"/>
      <c r="E45" s="478"/>
      <c r="F45" s="492"/>
      <c r="G45" s="423"/>
      <c r="H45" s="1652"/>
      <c r="I45" s="1759"/>
      <c r="J45" s="1658"/>
      <c r="K45" s="1762"/>
      <c r="L45" s="1658"/>
      <c r="M45" s="1762"/>
      <c r="N45" s="1762"/>
      <c r="O45" s="1762"/>
      <c r="P45" s="1762"/>
      <c r="Q45" s="1762"/>
      <c r="R45" s="1762"/>
      <c r="S45" s="1762"/>
    </row>
    <row r="46" spans="1:19" s="36" customFormat="1">
      <c r="A46" s="1767"/>
      <c r="B46" s="1662"/>
      <c r="C46" s="477"/>
      <c r="D46" s="418"/>
      <c r="E46" s="478"/>
      <c r="F46" s="492"/>
      <c r="G46" s="423"/>
      <c r="H46" s="1652"/>
      <c r="I46" s="1759"/>
      <c r="J46" s="1658"/>
      <c r="K46" s="1762"/>
      <c r="L46" s="1658"/>
      <c r="M46" s="1762"/>
      <c r="N46" s="1762"/>
      <c r="O46" s="1762"/>
      <c r="P46" s="1762"/>
      <c r="Q46" s="1762"/>
      <c r="R46" s="1762"/>
      <c r="S46" s="1762"/>
    </row>
    <row r="47" spans="1:19" s="36" customFormat="1" ht="15.75" thickBot="1">
      <c r="A47" s="1767"/>
      <c r="B47" s="1662"/>
      <c r="C47" s="477"/>
      <c r="D47" s="418"/>
      <c r="E47" s="478"/>
      <c r="F47" s="492"/>
      <c r="G47" s="423"/>
      <c r="H47" s="1652"/>
      <c r="I47" s="1759"/>
      <c r="J47" s="1658"/>
      <c r="K47" s="1762"/>
      <c r="L47" s="1658"/>
      <c r="M47" s="1762"/>
      <c r="N47" s="1762"/>
      <c r="O47" s="1762"/>
      <c r="P47" s="1762"/>
      <c r="Q47" s="1762"/>
      <c r="R47" s="1762"/>
      <c r="S47" s="1762"/>
    </row>
    <row r="48" spans="1:19" ht="15.75" thickTop="1">
      <c r="A48" s="13"/>
      <c r="B48" s="14"/>
      <c r="C48" s="15"/>
      <c r="D48" s="15"/>
      <c r="E48" s="16"/>
      <c r="F48" s="17" t="s">
        <v>753</v>
      </c>
      <c r="G48" s="18"/>
      <c r="H48" s="19"/>
      <c r="I48" s="32">
        <f>SUM(I23:I47)</f>
        <v>0</v>
      </c>
      <c r="J48" s="19"/>
      <c r="K48" s="32">
        <f>SUM(K23:K47)</f>
        <v>0</v>
      </c>
      <c r="L48" s="19"/>
      <c r="M48" s="32">
        <f>SUM(M23:M47)</f>
        <v>0</v>
      </c>
      <c r="N48" s="19"/>
      <c r="O48" s="32">
        <f>SUM(O23:O47)</f>
        <v>0</v>
      </c>
      <c r="P48" s="19"/>
      <c r="Q48" s="32">
        <f>SUM(Q23:Q47)</f>
        <v>0</v>
      </c>
      <c r="R48" s="19"/>
      <c r="S48" s="32">
        <f>SUM(S23:S47)</f>
        <v>0</v>
      </c>
    </row>
    <row r="49" spans="1:19">
      <c r="A49" s="932"/>
      <c r="B49" s="488"/>
      <c r="C49" s="433"/>
      <c r="D49" s="433"/>
      <c r="E49" s="434"/>
      <c r="F49" s="489" t="s">
        <v>754</v>
      </c>
      <c r="G49" s="471"/>
      <c r="H49" s="1165">
        <v>0</v>
      </c>
      <c r="I49" s="1667"/>
      <c r="J49" s="1165">
        <v>0</v>
      </c>
      <c r="K49" s="1667"/>
      <c r="L49" s="1165">
        <v>0</v>
      </c>
      <c r="M49" s="1667"/>
      <c r="N49" s="1165">
        <v>0</v>
      </c>
      <c r="O49" s="1667"/>
      <c r="P49" s="1165">
        <v>0</v>
      </c>
      <c r="Q49" s="1667"/>
      <c r="R49" s="1165">
        <v>0</v>
      </c>
      <c r="S49" s="1667"/>
    </row>
    <row r="50" spans="1:19">
      <c r="A50" s="932"/>
      <c r="B50" s="488"/>
      <c r="C50" s="433"/>
      <c r="D50" s="433"/>
      <c r="E50" s="434"/>
      <c r="F50" s="489" t="s">
        <v>755</v>
      </c>
      <c r="G50" s="471"/>
      <c r="H50" s="1166"/>
      <c r="I50" s="1668">
        <f>H49*I48</f>
        <v>0</v>
      </c>
      <c r="J50" s="1166"/>
      <c r="K50" s="1668">
        <f>J49*K48</f>
        <v>0</v>
      </c>
      <c r="L50" s="1166"/>
      <c r="M50" s="1668">
        <f>L49*M48</f>
        <v>0</v>
      </c>
      <c r="N50" s="1166"/>
      <c r="O50" s="1668">
        <f>N49*O48</f>
        <v>0</v>
      </c>
      <c r="P50" s="1166"/>
      <c r="Q50" s="1668">
        <f>P49*Q48</f>
        <v>0</v>
      </c>
      <c r="R50" s="1166"/>
      <c r="S50" s="1668">
        <f>R49*S48</f>
        <v>0</v>
      </c>
    </row>
    <row r="51" spans="1:19">
      <c r="A51" s="932"/>
      <c r="B51" s="488"/>
      <c r="C51" s="433"/>
      <c r="D51" s="433"/>
      <c r="E51" s="434"/>
      <c r="F51" s="489"/>
      <c r="G51" s="471"/>
      <c r="H51" s="1166"/>
      <c r="I51" s="1669"/>
      <c r="J51" s="1166"/>
      <c r="K51" s="1669"/>
      <c r="L51" s="1166"/>
      <c r="M51" s="1669"/>
      <c r="N51" s="1166"/>
      <c r="O51" s="1669"/>
      <c r="P51" s="1166"/>
      <c r="Q51" s="1669"/>
      <c r="R51" s="1166"/>
      <c r="S51" s="1669"/>
    </row>
    <row r="52" spans="1:19">
      <c r="A52" s="932"/>
      <c r="B52" s="488"/>
      <c r="C52" s="433"/>
      <c r="D52" s="433"/>
      <c r="E52" s="434"/>
      <c r="F52" s="489" t="s">
        <v>756</v>
      </c>
      <c r="G52" s="471"/>
      <c r="H52" s="1670"/>
      <c r="I52" s="1671">
        <f>SUM(I48:I50)</f>
        <v>0</v>
      </c>
      <c r="J52" s="1670"/>
      <c r="K52" s="1671">
        <f>SUM(K48:K50)</f>
        <v>0</v>
      </c>
      <c r="L52" s="1670"/>
      <c r="M52" s="1671">
        <f>SUM(M48:M50)</f>
        <v>0</v>
      </c>
      <c r="N52" s="1670"/>
      <c r="O52" s="1671">
        <f>SUM(O48:O50)</f>
        <v>0</v>
      </c>
      <c r="P52" s="1670"/>
      <c r="Q52" s="1671">
        <f>SUM(Q48:Q50)</f>
        <v>0</v>
      </c>
      <c r="R52" s="1670"/>
      <c r="S52" s="1671">
        <f>SUM(S48:S50)</f>
        <v>0</v>
      </c>
    </row>
    <row r="53" spans="1:19">
      <c r="A53" s="932"/>
      <c r="B53" s="488"/>
      <c r="C53" s="433"/>
      <c r="D53" s="433"/>
      <c r="E53" s="434"/>
      <c r="F53" s="490" t="s">
        <v>757</v>
      </c>
      <c r="G53" s="472"/>
      <c r="H53" s="1672"/>
      <c r="I53" s="1673">
        <f>I52/'Area Calculations'!$G$4</f>
        <v>0</v>
      </c>
      <c r="J53" s="1672"/>
      <c r="K53" s="1673">
        <f>K52/'Area Calculations'!$G$4</f>
        <v>0</v>
      </c>
      <c r="L53" s="1672"/>
      <c r="M53" s="1673">
        <f>M52/'Area Calculations'!$G$4</f>
        <v>0</v>
      </c>
      <c r="N53" s="1672"/>
      <c r="O53" s="1673">
        <f>O52/'Area Calculations'!$G$4</f>
        <v>0</v>
      </c>
      <c r="P53" s="1672"/>
      <c r="Q53" s="1673">
        <f>Q52/'Area Calculations'!$G$4</f>
        <v>0</v>
      </c>
      <c r="R53" s="1672"/>
      <c r="S53" s="1673">
        <f>S52/'Area Calculations'!$G$4</f>
        <v>0</v>
      </c>
    </row>
    <row r="54" spans="1:19">
      <c r="A54" s="932"/>
      <c r="B54" s="488"/>
      <c r="C54" s="433"/>
      <c r="D54" s="433"/>
      <c r="E54" s="434"/>
      <c r="F54" s="490" t="s">
        <v>758</v>
      </c>
      <c r="G54" s="473"/>
      <c r="H54" s="1672"/>
      <c r="I54" s="1673">
        <f>I52/'Area Calculations'!$G$9</f>
        <v>0</v>
      </c>
      <c r="J54" s="1672"/>
      <c r="K54" s="1673">
        <f>K52/'Area Calculations'!$G$9</f>
        <v>0</v>
      </c>
      <c r="L54" s="1672"/>
      <c r="M54" s="1673">
        <f>M52/'Area Calculations'!$G$9</f>
        <v>0</v>
      </c>
      <c r="N54" s="1672"/>
      <c r="O54" s="1673">
        <f>O52/'Area Calculations'!$G$9</f>
        <v>0</v>
      </c>
      <c r="P54" s="1672"/>
      <c r="Q54" s="1673">
        <f>Q52/'Area Calculations'!$G$9</f>
        <v>0</v>
      </c>
      <c r="R54" s="1672"/>
      <c r="S54" s="1673">
        <f>S52/'Area Calculations'!$G$9</f>
        <v>0</v>
      </c>
    </row>
    <row r="55" spans="1:19" ht="15.75" thickBot="1">
      <c r="A55" s="932"/>
      <c r="B55" s="488"/>
      <c r="C55" s="433"/>
      <c r="D55" s="433"/>
      <c r="E55" s="434"/>
      <c r="F55" s="489"/>
      <c r="G55" s="474"/>
      <c r="H55" s="1771"/>
      <c r="I55" s="1675"/>
      <c r="J55" s="1771"/>
      <c r="K55" s="1675"/>
      <c r="L55" s="1771"/>
      <c r="M55" s="1675"/>
      <c r="N55" s="1771"/>
      <c r="O55" s="1675"/>
      <c r="P55" s="1771"/>
      <c r="Q55" s="1675"/>
      <c r="R55" s="1771"/>
      <c r="S55" s="1675"/>
    </row>
    <row r="56" spans="1:19" ht="16.5" thickTop="1" thickBot="1">
      <c r="A56" s="2331" t="s">
        <v>759</v>
      </c>
      <c r="B56" s="2365"/>
      <c r="C56" s="12"/>
      <c r="D56" s="12"/>
      <c r="E56" s="12"/>
      <c r="F56" s="12"/>
      <c r="G56" s="26"/>
      <c r="H56" s="24"/>
      <c r="I56" s="20"/>
      <c r="J56" s="20"/>
      <c r="K56" s="20"/>
      <c r="L56" s="20"/>
      <c r="M56" s="20"/>
      <c r="N56" s="20"/>
      <c r="O56" s="20"/>
      <c r="P56" s="20"/>
      <c r="Q56" s="20"/>
      <c r="R56" s="20"/>
      <c r="S56" s="20"/>
    </row>
    <row r="57" spans="1:19" ht="15.75" thickTop="1">
      <c r="A57" s="1772"/>
      <c r="B57" s="481"/>
      <c r="C57" s="1773"/>
      <c r="D57" s="1773"/>
      <c r="E57" s="1773"/>
      <c r="F57" s="1773"/>
      <c r="G57" s="1774"/>
      <c r="H57" s="1775"/>
      <c r="I57" s="1776"/>
      <c r="J57" s="1776"/>
      <c r="K57" s="1776"/>
      <c r="L57" s="1776"/>
      <c r="M57" s="1776"/>
      <c r="N57" s="1776"/>
      <c r="O57" s="1776"/>
      <c r="P57" s="1776"/>
      <c r="Q57" s="1776"/>
      <c r="R57" s="1776"/>
      <c r="S57" s="1776"/>
    </row>
    <row r="58" spans="1:19" s="2" customFormat="1">
      <c r="A58" s="1772"/>
      <c r="B58" s="481"/>
      <c r="C58" s="1773"/>
      <c r="D58" s="1773"/>
      <c r="E58" s="1773"/>
      <c r="F58" s="1773"/>
      <c r="G58" s="1774"/>
      <c r="H58" s="1775"/>
      <c r="I58" s="1776"/>
      <c r="J58" s="1776"/>
      <c r="K58" s="1776"/>
      <c r="L58" s="1776"/>
      <c r="M58" s="1776"/>
      <c r="N58" s="1776"/>
      <c r="O58" s="1776"/>
      <c r="P58" s="1776"/>
      <c r="Q58" s="1776"/>
      <c r="R58" s="1776"/>
      <c r="S58" s="1776"/>
    </row>
    <row r="59" spans="1:19" s="2" customFormat="1" ht="15.75" thickBot="1">
      <c r="A59" s="1772"/>
      <c r="B59" s="481"/>
      <c r="C59" s="1773"/>
      <c r="D59" s="1773"/>
      <c r="E59" s="1773"/>
      <c r="F59" s="1773"/>
      <c r="G59" s="1774"/>
      <c r="H59" s="1775"/>
      <c r="I59" s="1776"/>
      <c r="J59" s="1776"/>
      <c r="K59" s="1776"/>
      <c r="L59" s="1776"/>
      <c r="M59" s="1776"/>
      <c r="N59" s="1776"/>
      <c r="O59" s="1776"/>
      <c r="P59" s="1776"/>
      <c r="Q59" s="1776"/>
      <c r="R59" s="1776"/>
      <c r="S59" s="1776"/>
    </row>
    <row r="60" spans="1:19" ht="16.5" thickTop="1" thickBot="1">
      <c r="A60" s="2331" t="s">
        <v>760</v>
      </c>
      <c r="B60" s="2365"/>
      <c r="C60" s="12"/>
      <c r="D60" s="12"/>
      <c r="E60" s="12"/>
      <c r="F60" s="12"/>
      <c r="G60" s="26"/>
      <c r="H60" s="24"/>
      <c r="I60" s="20"/>
      <c r="J60" s="20"/>
      <c r="K60" s="20"/>
      <c r="L60" s="20"/>
      <c r="M60" s="20"/>
      <c r="N60" s="20"/>
      <c r="O60" s="20"/>
      <c r="P60" s="20"/>
      <c r="Q60" s="20"/>
      <c r="R60" s="20"/>
      <c r="S60" s="20"/>
    </row>
    <row r="61" spans="1:19" s="2" customFormat="1" ht="15.75" thickTop="1">
      <c r="A61" s="1772"/>
      <c r="B61" s="481"/>
      <c r="C61" s="1773"/>
      <c r="D61" s="1773"/>
      <c r="E61" s="1773"/>
      <c r="F61" s="1773"/>
      <c r="G61" s="1774"/>
      <c r="H61" s="1775"/>
      <c r="I61" s="1776"/>
      <c r="J61" s="1776"/>
      <c r="K61" s="1776"/>
      <c r="L61" s="1776"/>
      <c r="M61" s="1776"/>
      <c r="N61" s="1776"/>
      <c r="O61" s="1776"/>
      <c r="P61" s="1776"/>
      <c r="Q61" s="1776"/>
      <c r="R61" s="1776"/>
      <c r="S61" s="1776"/>
    </row>
    <row r="62" spans="1:19" s="2" customFormat="1">
      <c r="A62" s="1772"/>
      <c r="B62" s="481"/>
      <c r="C62" s="1773"/>
      <c r="D62" s="1773"/>
      <c r="E62" s="1773"/>
      <c r="F62" s="1773"/>
      <c r="G62" s="1774"/>
      <c r="H62" s="1775"/>
      <c r="I62" s="1776"/>
      <c r="J62" s="1776"/>
      <c r="K62" s="1776"/>
      <c r="L62" s="1776"/>
      <c r="M62" s="1776"/>
      <c r="N62" s="1776"/>
      <c r="O62" s="1776"/>
      <c r="P62" s="1776"/>
      <c r="Q62" s="1776"/>
      <c r="R62" s="1776"/>
      <c r="S62" s="1776"/>
    </row>
    <row r="63" spans="1:19" ht="15.75" thickBot="1">
      <c r="A63" s="1772"/>
      <c r="B63" s="481"/>
      <c r="C63" s="1773"/>
      <c r="D63" s="1773"/>
      <c r="E63" s="1773"/>
      <c r="F63" s="1773"/>
      <c r="G63" s="1774"/>
      <c r="H63" s="1775"/>
      <c r="I63" s="1776"/>
      <c r="J63" s="1776"/>
      <c r="K63" s="1776"/>
      <c r="L63" s="1776"/>
      <c r="M63" s="1776"/>
      <c r="N63" s="1776"/>
      <c r="O63" s="1776"/>
      <c r="P63" s="1776"/>
      <c r="Q63" s="1776"/>
      <c r="R63" s="1776"/>
      <c r="S63" s="1776"/>
    </row>
    <row r="64" spans="1:19" ht="16.5" thickTop="1" thickBot="1">
      <c r="A64" s="2331" t="s">
        <v>761</v>
      </c>
      <c r="B64" s="2365"/>
      <c r="C64" s="12"/>
      <c r="D64" s="12"/>
      <c r="E64" s="12"/>
      <c r="F64" s="12"/>
      <c r="G64" s="26"/>
      <c r="H64" s="24"/>
      <c r="I64" s="20"/>
      <c r="J64" s="20"/>
      <c r="K64" s="20"/>
      <c r="L64" s="20"/>
      <c r="M64" s="20"/>
      <c r="N64" s="20"/>
      <c r="O64" s="20"/>
      <c r="P64" s="20"/>
      <c r="Q64" s="20"/>
      <c r="R64" s="20"/>
      <c r="S64" s="20"/>
    </row>
    <row r="65" spans="1:19" ht="15.75" thickTop="1">
      <c r="A65" s="1772"/>
      <c r="B65" s="481"/>
      <c r="C65" s="1773"/>
      <c r="D65" s="1773"/>
      <c r="E65" s="1773"/>
      <c r="F65" s="1773"/>
      <c r="G65" s="1774"/>
      <c r="H65" s="1775"/>
      <c r="I65" s="1776"/>
      <c r="J65" s="1776"/>
      <c r="K65" s="1776"/>
      <c r="L65" s="1776"/>
      <c r="M65" s="1776"/>
      <c r="N65" s="1776"/>
      <c r="O65" s="1776"/>
      <c r="P65" s="1776"/>
      <c r="Q65" s="1776"/>
      <c r="R65" s="1776"/>
      <c r="S65" s="1776"/>
    </row>
    <row r="66" spans="1:19">
      <c r="A66" s="931"/>
      <c r="B66" s="481"/>
      <c r="C66" s="422"/>
      <c r="D66" s="422"/>
      <c r="E66" s="422"/>
      <c r="F66" s="422"/>
      <c r="G66" s="831"/>
      <c r="H66" s="440"/>
      <c r="I66" s="1173"/>
      <c r="J66" s="1173"/>
      <c r="K66" s="1173"/>
      <c r="L66" s="1173"/>
      <c r="M66" s="1173"/>
      <c r="N66" s="1173"/>
      <c r="O66" s="1173"/>
      <c r="P66" s="1173"/>
      <c r="Q66" s="1173"/>
      <c r="R66" s="1173"/>
      <c r="S66" s="1173"/>
    </row>
    <row r="67" spans="1:19" ht="15.75" thickBot="1">
      <c r="A67" s="933"/>
      <c r="B67" s="491"/>
      <c r="C67" s="422"/>
      <c r="D67" s="422"/>
      <c r="E67" s="422"/>
      <c r="F67" s="422"/>
      <c r="G67" s="831"/>
      <c r="H67" s="441"/>
      <c r="I67" s="1175"/>
      <c r="J67" s="1175"/>
      <c r="K67" s="1175"/>
      <c r="L67" s="1175"/>
      <c r="M67" s="1175"/>
      <c r="N67" s="1175"/>
      <c r="O67" s="1175"/>
      <c r="P67" s="1175"/>
      <c r="Q67" s="1175"/>
      <c r="R67" s="1175"/>
      <c r="S67" s="1175"/>
    </row>
    <row r="68" spans="1:19" ht="16.5" thickTop="1" thickBot="1">
      <c r="A68" s="2331" t="s">
        <v>762</v>
      </c>
      <c r="B68" s="2365"/>
      <c r="C68" s="12"/>
      <c r="D68" s="12"/>
      <c r="E68" s="12"/>
      <c r="F68" s="12"/>
      <c r="G68" s="26"/>
      <c r="H68" s="24"/>
      <c r="I68" s="20"/>
      <c r="J68" s="20"/>
      <c r="K68" s="20"/>
      <c r="L68" s="20"/>
      <c r="M68" s="20"/>
      <c r="N68" s="20"/>
      <c r="O68" s="20"/>
      <c r="P68" s="20"/>
      <c r="Q68" s="20"/>
      <c r="R68" s="20"/>
      <c r="S68" s="20"/>
    </row>
    <row r="69" spans="1:19" ht="15.75" thickTop="1">
      <c r="A69" s="1777"/>
      <c r="B69" s="1778"/>
      <c r="C69" s="1773"/>
      <c r="D69" s="1773"/>
      <c r="E69" s="1773"/>
      <c r="F69" s="1773"/>
      <c r="G69" s="1774"/>
      <c r="H69" s="1775"/>
      <c r="I69" s="1776"/>
      <c r="J69" s="1776"/>
      <c r="K69" s="1776"/>
      <c r="L69" s="1776"/>
      <c r="M69" s="1776"/>
      <c r="N69" s="1776"/>
      <c r="O69" s="1776"/>
      <c r="P69" s="1776"/>
      <c r="Q69" s="1776"/>
      <c r="R69" s="1776"/>
      <c r="S69" s="1776"/>
    </row>
    <row r="70" spans="1:19">
      <c r="A70" s="933"/>
      <c r="B70" s="491"/>
      <c r="C70" s="422"/>
      <c r="D70" s="422"/>
      <c r="E70" s="422"/>
      <c r="F70" s="422"/>
      <c r="G70" s="831"/>
      <c r="H70" s="442"/>
      <c r="I70" s="1178"/>
      <c r="J70" s="1178"/>
      <c r="K70" s="1178"/>
      <c r="L70" s="1178"/>
      <c r="M70" s="1178"/>
      <c r="N70" s="1178"/>
      <c r="O70" s="1178"/>
      <c r="P70" s="1178"/>
      <c r="Q70" s="1178"/>
      <c r="R70" s="1178"/>
      <c r="S70" s="1178"/>
    </row>
    <row r="71" spans="1:19" ht="15.75" thickBot="1">
      <c r="A71" s="933"/>
      <c r="B71" s="491"/>
      <c r="C71" s="422"/>
      <c r="D71" s="422"/>
      <c r="E71" s="422"/>
      <c r="F71" s="422"/>
      <c r="G71" s="831"/>
      <c r="H71" s="442"/>
      <c r="I71" s="1178"/>
      <c r="J71" s="1178"/>
      <c r="K71" s="1178"/>
      <c r="L71" s="1178"/>
      <c r="M71" s="1178"/>
      <c r="N71" s="1178"/>
      <c r="O71" s="1178"/>
      <c r="P71" s="1178"/>
      <c r="Q71" s="1178"/>
      <c r="R71" s="1178"/>
      <c r="S71" s="1178"/>
    </row>
    <row r="72" spans="1:19" ht="16.5" thickTop="1" thickBot="1">
      <c r="A72" s="2331" t="s">
        <v>763</v>
      </c>
      <c r="B72" s="2365"/>
      <c r="C72" s="12"/>
      <c r="D72" s="12"/>
      <c r="E72" s="12"/>
      <c r="F72" s="12"/>
      <c r="G72" s="26"/>
      <c r="H72" s="24"/>
      <c r="I72" s="20"/>
      <c r="J72" s="20"/>
      <c r="K72" s="20"/>
      <c r="L72" s="20"/>
      <c r="M72" s="20"/>
      <c r="N72" s="20"/>
      <c r="O72" s="20"/>
      <c r="P72" s="20"/>
      <c r="Q72" s="20"/>
      <c r="R72" s="20"/>
      <c r="S72" s="20"/>
    </row>
    <row r="73" spans="1:19" ht="15.75" thickTop="1">
      <c r="A73" s="931"/>
      <c r="B73" s="481" t="s">
        <v>764</v>
      </c>
      <c r="C73" s="422"/>
      <c r="D73" s="422"/>
      <c r="E73" s="422"/>
      <c r="F73" s="422"/>
      <c r="G73" s="831"/>
      <c r="H73" s="442"/>
      <c r="I73" s="1178"/>
      <c r="J73" s="1178"/>
      <c r="K73" s="1178"/>
      <c r="L73" s="1178"/>
      <c r="M73" s="1178"/>
      <c r="N73" s="1178"/>
      <c r="O73" s="1178"/>
      <c r="P73" s="1178"/>
      <c r="Q73" s="1178"/>
      <c r="R73" s="1178"/>
      <c r="S73" s="1178"/>
    </row>
    <row r="74" spans="1:19">
      <c r="A74" s="931"/>
      <c r="B74" s="481" t="s">
        <v>765</v>
      </c>
      <c r="C74" s="422"/>
      <c r="D74" s="422"/>
      <c r="E74" s="422"/>
      <c r="F74" s="422"/>
      <c r="G74" s="831"/>
      <c r="H74" s="442"/>
      <c r="I74" s="1178"/>
      <c r="J74" s="1178"/>
      <c r="K74" s="1178"/>
      <c r="L74" s="1178"/>
      <c r="M74" s="1178"/>
      <c r="N74" s="1178"/>
      <c r="O74" s="1178"/>
      <c r="P74" s="1178"/>
      <c r="Q74" s="1178"/>
      <c r="R74" s="1178"/>
      <c r="S74" s="1178"/>
    </row>
    <row r="75" spans="1:19">
      <c r="A75" s="931"/>
      <c r="B75" s="481" t="s">
        <v>766</v>
      </c>
      <c r="C75" s="422"/>
      <c r="D75" s="422"/>
      <c r="E75" s="422"/>
      <c r="F75" s="422"/>
      <c r="G75" s="831"/>
      <c r="H75" s="442"/>
      <c r="I75" s="1178"/>
      <c r="J75" s="1178"/>
      <c r="K75" s="1178"/>
      <c r="L75" s="1178"/>
      <c r="M75" s="1178"/>
      <c r="N75" s="1178"/>
      <c r="O75" s="1178"/>
      <c r="P75" s="1178"/>
      <c r="Q75" s="1178"/>
      <c r="R75" s="1178"/>
      <c r="S75" s="1178"/>
    </row>
    <row r="76" spans="1:19">
      <c r="A76" s="931"/>
      <c r="B76" s="481" t="s">
        <v>767</v>
      </c>
      <c r="C76" s="422"/>
      <c r="D76" s="422"/>
      <c r="E76" s="422"/>
      <c r="F76" s="422"/>
      <c r="G76" s="831"/>
      <c r="H76" s="442"/>
      <c r="I76" s="1178"/>
      <c r="J76" s="1178"/>
      <c r="K76" s="1178"/>
      <c r="L76" s="1178"/>
      <c r="M76" s="1178"/>
      <c r="N76" s="1178"/>
      <c r="O76" s="1178"/>
      <c r="P76" s="1178"/>
      <c r="Q76" s="1178"/>
      <c r="R76" s="1178"/>
      <c r="S76" s="1178"/>
    </row>
    <row r="77" spans="1:19" ht="15.75" thickBot="1">
      <c r="A77" s="475"/>
      <c r="B77" s="340"/>
      <c r="C77" s="86"/>
      <c r="D77" s="86"/>
      <c r="E77" s="86"/>
      <c r="F77" s="86"/>
      <c r="G77" s="27"/>
      <c r="H77" s="25"/>
      <c r="I77" s="444"/>
      <c r="J77" s="444"/>
      <c r="K77" s="444"/>
      <c r="L77" s="444"/>
      <c r="M77" s="444"/>
      <c r="N77" s="444"/>
      <c r="O77" s="444"/>
      <c r="P77" s="444"/>
      <c r="Q77" s="444"/>
      <c r="R77" s="444"/>
      <c r="S77" s="444"/>
    </row>
    <row r="78" spans="1:19" ht="16.5" thickTop="1" thickBot="1">
      <c r="A78" s="7" t="s">
        <v>768</v>
      </c>
      <c r="B78" s="8"/>
      <c r="C78" s="12"/>
      <c r="D78" s="12"/>
      <c r="E78" s="12"/>
      <c r="F78" s="12"/>
      <c r="G78" s="26"/>
      <c r="H78" s="24"/>
      <c r="I78" s="20"/>
      <c r="J78" s="20"/>
      <c r="K78" s="20"/>
      <c r="L78" s="20"/>
      <c r="M78" s="20"/>
      <c r="N78" s="20"/>
      <c r="O78" s="20"/>
      <c r="P78" s="20"/>
      <c r="Q78" s="20"/>
      <c r="R78" s="20"/>
      <c r="S78" s="20"/>
    </row>
    <row r="79" spans="1:19" ht="15.75" thickTop="1">
      <c r="A79" s="1772"/>
      <c r="B79" s="1743" t="s">
        <v>769</v>
      </c>
      <c r="C79" s="1773"/>
      <c r="D79" s="1773"/>
      <c r="E79" s="1773"/>
      <c r="F79" s="1773"/>
      <c r="G79" s="1774"/>
      <c r="H79" s="1730"/>
      <c r="I79" s="1588"/>
      <c r="J79" s="1588"/>
      <c r="K79" s="1588"/>
      <c r="L79" s="1588"/>
      <c r="M79" s="1588"/>
      <c r="N79" s="1588"/>
      <c r="O79" s="1588"/>
      <c r="P79" s="1588"/>
      <c r="Q79" s="1588"/>
      <c r="R79" s="1588"/>
      <c r="S79" s="1588"/>
    </row>
    <row r="80" spans="1:19">
      <c r="A80" s="931"/>
      <c r="B80" s="481" t="s">
        <v>770</v>
      </c>
      <c r="C80" s="422"/>
      <c r="D80" s="422"/>
      <c r="E80" s="422"/>
      <c r="F80" s="422"/>
      <c r="G80" s="831"/>
      <c r="H80" s="445"/>
      <c r="I80" s="1182"/>
      <c r="J80" s="1182"/>
      <c r="K80" s="1182"/>
      <c r="L80" s="1182"/>
      <c r="M80" s="1182"/>
      <c r="N80" s="1182"/>
      <c r="O80" s="1182"/>
      <c r="P80" s="1182"/>
      <c r="Q80" s="1182"/>
      <c r="R80" s="1182"/>
      <c r="S80" s="1182"/>
    </row>
    <row r="81" spans="1:19" ht="15.75" thickBot="1">
      <c r="A81" s="1779"/>
      <c r="B81" s="943" t="s">
        <v>771</v>
      </c>
      <c r="C81" s="938"/>
      <c r="D81" s="938"/>
      <c r="E81" s="938"/>
      <c r="F81" s="938"/>
      <c r="G81" s="939"/>
      <c r="H81" s="940"/>
      <c r="I81" s="1140"/>
      <c r="J81" s="1140"/>
      <c r="K81" s="1140"/>
      <c r="L81" s="1140"/>
      <c r="M81" s="1140"/>
      <c r="N81" s="1140"/>
      <c r="O81" s="1140"/>
      <c r="P81" s="1140"/>
      <c r="Q81" s="1140"/>
      <c r="R81" s="1140"/>
      <c r="S81" s="1140"/>
    </row>
    <row r="82" spans="1:19" ht="16.5" thickTop="1" thickBot="1"/>
    <row r="83" spans="1:19" ht="16.5" thickTop="1" thickBot="1">
      <c r="A83" s="37" t="s">
        <v>772</v>
      </c>
      <c r="B83" s="39"/>
    </row>
    <row r="84" spans="1:19" ht="15.75" thickTop="1">
      <c r="A84" s="38" t="s">
        <v>693</v>
      </c>
      <c r="B84" s="1190"/>
    </row>
    <row r="85" spans="1:19">
      <c r="A85" s="1142" t="s">
        <v>702</v>
      </c>
      <c r="B85" s="1190"/>
    </row>
    <row r="86" spans="1:19">
      <c r="A86" s="1191" t="s">
        <v>708</v>
      </c>
      <c r="B86" s="1192"/>
    </row>
    <row r="87" spans="1:19">
      <c r="A87" s="1191" t="s">
        <v>713</v>
      </c>
      <c r="B87" s="1193"/>
    </row>
    <row r="88" spans="1:19" ht="15.75" thickBot="1">
      <c r="A88" s="1145" t="s">
        <v>69</v>
      </c>
      <c r="B88" s="1780"/>
    </row>
    <row r="89" spans="1:19" ht="15.75" thickTop="1"/>
    <row r="90" spans="1:19">
      <c r="A90" s="40"/>
      <c r="B90" s="1" t="s">
        <v>1454</v>
      </c>
    </row>
    <row r="91" spans="1:19">
      <c r="A91" s="41"/>
      <c r="B91" s="1" t="s">
        <v>1455</v>
      </c>
    </row>
  </sheetData>
  <mergeCells count="47">
    <mergeCell ref="A56:B56"/>
    <mergeCell ref="A60:B60"/>
    <mergeCell ref="A64:B64"/>
    <mergeCell ref="A68:B68"/>
    <mergeCell ref="A72:B7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86984F60-E640-4713-964D-DBE038698EA4}"/>
  </hyperlink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788B-5466-4365-882E-6274582388E9}">
  <sheetPr>
    <tabColor theme="9" tint="0.39997558519241921"/>
  </sheetPr>
  <dimension ref="A1:AO73"/>
  <sheetViews>
    <sheetView zoomScale="90" zoomScaleNormal="90" workbookViewId="0">
      <pane xSplit="2" ySplit="10" topLeftCell="C11" activePane="bottomRight" state="frozen"/>
      <selection pane="topRight" activeCell="C1" sqref="C1"/>
      <selection pane="bottomLeft" activeCell="A20" sqref="A20"/>
      <selection pane="bottomRight" activeCell="B4" sqref="B4"/>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19"/>
      <c r="J4" s="2319" t="s">
        <v>687</v>
      </c>
      <c r="K4" s="2319"/>
      <c r="L4" s="2319" t="s">
        <v>688</v>
      </c>
      <c r="M4" s="2319"/>
      <c r="N4" s="2319" t="s">
        <v>689</v>
      </c>
      <c r="O4" s="2319"/>
      <c r="P4" s="2319" t="s">
        <v>773</v>
      </c>
      <c r="Q4" s="2319"/>
      <c r="R4" s="2319" t="s">
        <v>774</v>
      </c>
      <c r="S4" s="2319"/>
      <c r="X4" s="261"/>
    </row>
    <row r="5" spans="1:24" ht="15.75" thickTop="1">
      <c r="A5" s="292" t="s">
        <v>692</v>
      </c>
      <c r="B5" s="299" t="str">
        <f>'Area Calculations'!B4</f>
        <v>ERAU Residential Hall &amp; Garage Building</v>
      </c>
      <c r="C5" s="294"/>
      <c r="D5" s="263"/>
      <c r="E5" s="264"/>
      <c r="F5" s="279"/>
      <c r="G5" s="271" t="s">
        <v>693</v>
      </c>
      <c r="H5" s="2333" t="s">
        <v>1907</v>
      </c>
      <c r="I5" s="2333"/>
      <c r="J5" s="2333" t="s">
        <v>1908</v>
      </c>
      <c r="K5" s="2333"/>
      <c r="L5" s="2333" t="s">
        <v>1909</v>
      </c>
      <c r="M5" s="2333"/>
      <c r="N5" s="2321"/>
      <c r="O5" s="2321"/>
      <c r="P5" s="2333"/>
      <c r="Q5" s="2333"/>
      <c r="R5" s="2333"/>
      <c r="S5" s="2333"/>
      <c r="X5" s="261"/>
    </row>
    <row r="6" spans="1:24">
      <c r="A6" s="1082" t="s">
        <v>700</v>
      </c>
      <c r="B6" s="1196" t="s">
        <v>1910</v>
      </c>
      <c r="C6" s="415"/>
      <c r="D6" s="416"/>
      <c r="E6" s="417"/>
      <c r="F6" s="418"/>
      <c r="G6" s="419" t="s">
        <v>702</v>
      </c>
      <c r="H6" s="2313" t="s">
        <v>1911</v>
      </c>
      <c r="I6" s="2313"/>
      <c r="J6" s="2313" t="s">
        <v>1912</v>
      </c>
      <c r="K6" s="2313"/>
      <c r="L6" s="2313" t="s">
        <v>1913</v>
      </c>
      <c r="M6" s="2313"/>
      <c r="N6" s="2325"/>
      <c r="O6" s="2325"/>
      <c r="P6" s="2313"/>
      <c r="Q6" s="2313"/>
      <c r="R6" s="2313"/>
      <c r="S6" s="2313"/>
      <c r="X6" s="261"/>
    </row>
    <row r="7" spans="1:24">
      <c r="A7" s="1082" t="s">
        <v>706</v>
      </c>
      <c r="B7" s="1197" t="s">
        <v>1914</v>
      </c>
      <c r="C7" s="415"/>
      <c r="D7" s="416"/>
      <c r="E7" s="417"/>
      <c r="F7" s="418"/>
      <c r="G7" s="829" t="s">
        <v>708</v>
      </c>
      <c r="H7" s="2313" t="s">
        <v>1915</v>
      </c>
      <c r="I7" s="2313"/>
      <c r="J7" s="2313" t="s">
        <v>1916</v>
      </c>
      <c r="K7" s="2313"/>
      <c r="L7" s="2313" t="s">
        <v>1917</v>
      </c>
      <c r="M7" s="2313"/>
      <c r="N7" s="2325"/>
      <c r="O7" s="2325"/>
      <c r="P7" s="2313"/>
      <c r="Q7" s="2313"/>
      <c r="R7" s="2313"/>
      <c r="S7" s="2313"/>
      <c r="X7" s="261"/>
    </row>
    <row r="8" spans="1:24">
      <c r="A8" s="1082" t="s">
        <v>712</v>
      </c>
      <c r="B8" s="1198"/>
      <c r="C8" s="415"/>
      <c r="D8" s="416"/>
      <c r="E8" s="417"/>
      <c r="F8" s="418"/>
      <c r="G8" s="829" t="s">
        <v>713</v>
      </c>
      <c r="H8" s="2343" t="s">
        <v>1918</v>
      </c>
      <c r="I8" s="2343"/>
      <c r="J8" s="2343" t="s">
        <v>1919</v>
      </c>
      <c r="K8" s="2343"/>
      <c r="L8" s="2343" t="s">
        <v>1920</v>
      </c>
      <c r="M8" s="2343"/>
      <c r="N8" s="2329"/>
      <c r="O8" s="2329"/>
      <c r="P8" s="2315"/>
      <c r="Q8" s="2315"/>
      <c r="R8" s="2315"/>
      <c r="S8" s="2315"/>
      <c r="X8" s="261"/>
    </row>
    <row r="9" spans="1:24" ht="15.75" thickBot="1">
      <c r="A9" s="420"/>
      <c r="B9" s="421"/>
      <c r="C9" s="23"/>
      <c r="D9" s="265"/>
      <c r="E9" s="266"/>
      <c r="F9" s="283"/>
      <c r="G9" s="284" t="s">
        <v>717</v>
      </c>
      <c r="H9" s="2384">
        <f>I36</f>
        <v>182525.72820000001</v>
      </c>
      <c r="I9" s="2384"/>
      <c r="J9" s="2385">
        <f>K36</f>
        <v>164880</v>
      </c>
      <c r="K9" s="2385"/>
      <c r="L9" s="2385">
        <f>M36</f>
        <v>488100</v>
      </c>
      <c r="M9" s="2385"/>
      <c r="N9" s="2330">
        <f>O36</f>
        <v>0</v>
      </c>
      <c r="O9" s="2330"/>
      <c r="P9" s="2317">
        <f>Q36</f>
        <v>0</v>
      </c>
      <c r="Q9" s="2317"/>
      <c r="R9" s="2317">
        <f>S36</f>
        <v>0</v>
      </c>
      <c r="S9" s="2317"/>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589"/>
      <c r="B11" s="1590" t="s">
        <v>725</v>
      </c>
      <c r="C11" s="1398"/>
      <c r="D11" s="1740"/>
      <c r="E11" s="1740"/>
      <c r="F11" s="1744"/>
      <c r="G11" s="1781"/>
      <c r="H11" s="1264" t="s">
        <v>727</v>
      </c>
      <c r="I11" s="1782"/>
      <c r="J11" s="1264" t="s">
        <v>727</v>
      </c>
      <c r="K11" s="285"/>
      <c r="L11" s="1264" t="s">
        <v>727</v>
      </c>
      <c r="M11" s="1783"/>
      <c r="N11" s="1591"/>
      <c r="O11" s="1783"/>
      <c r="P11" s="1591"/>
      <c r="Q11" s="1783"/>
      <c r="R11" s="1591"/>
      <c r="S11" s="1783"/>
    </row>
    <row r="12" spans="1:24">
      <c r="A12" s="1589"/>
      <c r="B12" s="1263" t="s">
        <v>726</v>
      </c>
      <c r="C12" s="446"/>
      <c r="D12" s="422"/>
      <c r="E12" s="422"/>
      <c r="F12" s="418"/>
      <c r="G12" s="423"/>
      <c r="H12" s="1264" t="s">
        <v>727</v>
      </c>
      <c r="I12" s="1782"/>
      <c r="J12" s="1264" t="s">
        <v>727</v>
      </c>
      <c r="K12" s="1783"/>
      <c r="L12" s="1264" t="s">
        <v>727</v>
      </c>
      <c r="M12" s="1783"/>
      <c r="N12" s="1264"/>
      <c r="O12" s="1783"/>
      <c r="P12" s="1264"/>
      <c r="Q12" s="1783"/>
      <c r="R12" s="1264"/>
      <c r="S12" s="1783"/>
    </row>
    <row r="13" spans="1:24">
      <c r="A13" s="1097"/>
      <c r="B13" s="1263" t="s">
        <v>728</v>
      </c>
      <c r="C13" s="446"/>
      <c r="D13" s="422"/>
      <c r="E13" s="422"/>
      <c r="F13" s="418"/>
      <c r="G13" s="423"/>
      <c r="H13" s="1264" t="s">
        <v>730</v>
      </c>
      <c r="I13" s="1784" t="s">
        <v>837</v>
      </c>
      <c r="J13" s="1264" t="s">
        <v>730</v>
      </c>
      <c r="K13" s="1783"/>
      <c r="L13" s="1264" t="s">
        <v>730</v>
      </c>
      <c r="M13" s="1783"/>
      <c r="N13" s="1264"/>
      <c r="O13" s="1783"/>
      <c r="P13" s="1264"/>
      <c r="Q13" s="1783"/>
      <c r="R13" s="1264"/>
      <c r="S13" s="1783"/>
    </row>
    <row r="14" spans="1:24">
      <c r="A14" s="1589"/>
      <c r="B14" s="1265" t="s">
        <v>729</v>
      </c>
      <c r="C14" s="446"/>
      <c r="D14" s="422"/>
      <c r="E14" s="422"/>
      <c r="F14" s="418"/>
      <c r="G14" s="423"/>
      <c r="H14" s="1264" t="s">
        <v>727</v>
      </c>
      <c r="I14" s="1782"/>
      <c r="J14" s="1264" t="s">
        <v>727</v>
      </c>
      <c r="K14" s="1783"/>
      <c r="L14" s="1264" t="s">
        <v>727</v>
      </c>
      <c r="M14" s="1783"/>
      <c r="N14" s="1264"/>
      <c r="O14" s="1783"/>
      <c r="P14" s="1264"/>
      <c r="Q14" s="1783"/>
      <c r="R14" s="1264"/>
      <c r="S14" s="1783"/>
    </row>
    <row r="15" spans="1:24">
      <c r="A15" s="1097"/>
      <c r="B15" s="1265" t="s">
        <v>731</v>
      </c>
      <c r="C15" s="446"/>
      <c r="D15" s="422"/>
      <c r="E15" s="422"/>
      <c r="F15" s="418"/>
      <c r="G15" s="423"/>
      <c r="H15" s="1264" t="s">
        <v>727</v>
      </c>
      <c r="I15" s="1782"/>
      <c r="J15" s="1264" t="s">
        <v>727</v>
      </c>
      <c r="K15" s="1782"/>
      <c r="L15" s="1264" t="s">
        <v>727</v>
      </c>
      <c r="M15" s="1782"/>
      <c r="N15" s="1264"/>
      <c r="O15" s="1782"/>
      <c r="P15" s="1264"/>
      <c r="Q15" s="1782"/>
      <c r="R15" s="1264"/>
      <c r="S15" s="1782"/>
    </row>
    <row r="16" spans="1:24">
      <c r="A16" s="1589"/>
      <c r="B16" s="1265" t="s">
        <v>732</v>
      </c>
      <c r="C16" s="446"/>
      <c r="D16" s="422"/>
      <c r="E16" s="422"/>
      <c r="F16" s="418"/>
      <c r="G16" s="423"/>
      <c r="H16" s="1264" t="s">
        <v>727</v>
      </c>
      <c r="I16" s="1782"/>
      <c r="J16" s="1264" t="s">
        <v>727</v>
      </c>
      <c r="K16" s="1783"/>
      <c r="L16" s="1264" t="s">
        <v>727</v>
      </c>
      <c r="M16" s="1783"/>
      <c r="N16" s="1264"/>
      <c r="O16" s="1783"/>
      <c r="P16" s="1264"/>
      <c r="Q16" s="1783"/>
      <c r="R16" s="1264"/>
      <c r="S16" s="1783"/>
    </row>
    <row r="17" spans="1:41">
      <c r="A17" s="1097"/>
      <c r="B17" s="1265" t="s">
        <v>733</v>
      </c>
      <c r="C17" s="446"/>
      <c r="D17" s="422"/>
      <c r="E17" s="422"/>
      <c r="F17" s="418"/>
      <c r="G17" s="423"/>
      <c r="H17" s="1264" t="s">
        <v>727</v>
      </c>
      <c r="I17" s="1782"/>
      <c r="J17" s="1264" t="s">
        <v>727</v>
      </c>
      <c r="K17" s="1783"/>
      <c r="L17" s="1264" t="s">
        <v>727</v>
      </c>
      <c r="M17" s="1783"/>
      <c r="N17" s="1264"/>
      <c r="O17" s="1783"/>
      <c r="P17" s="1264"/>
      <c r="Q17" s="1783"/>
      <c r="R17" s="1264"/>
      <c r="S17" s="1783"/>
    </row>
    <row r="18" spans="1:41">
      <c r="A18" s="1589"/>
      <c r="B18" s="534" t="s">
        <v>734</v>
      </c>
      <c r="C18" s="446"/>
      <c r="D18" s="422"/>
      <c r="E18" s="422"/>
      <c r="F18" s="418"/>
      <c r="G18" s="423"/>
      <c r="H18" s="1264" t="s">
        <v>730</v>
      </c>
      <c r="I18" s="1782" t="s">
        <v>735</v>
      </c>
      <c r="J18" s="1264"/>
      <c r="K18" s="1783"/>
      <c r="L18" s="1264"/>
      <c r="M18" s="1783"/>
      <c r="N18" s="1264"/>
      <c r="O18" s="1783"/>
      <c r="P18" s="1264"/>
      <c r="Q18" s="1783"/>
      <c r="R18" s="1264"/>
      <c r="S18" s="1783"/>
    </row>
    <row r="19" spans="1:41">
      <c r="A19" s="1589"/>
      <c r="B19" s="1154" t="s">
        <v>736</v>
      </c>
      <c r="C19" s="446"/>
      <c r="D19" s="422"/>
      <c r="E19" s="422"/>
      <c r="F19" s="418"/>
      <c r="G19" s="423"/>
      <c r="H19" s="1264"/>
      <c r="I19" s="1782"/>
      <c r="J19" s="1264"/>
      <c r="K19" s="1783"/>
      <c r="L19" s="1264"/>
      <c r="M19" s="1783"/>
      <c r="N19" s="1264"/>
      <c r="O19" s="1783"/>
      <c r="P19" s="1264"/>
      <c r="Q19" s="1783"/>
      <c r="R19" s="1264"/>
      <c r="S19" s="1783"/>
    </row>
    <row r="20" spans="1:41">
      <c r="A20" s="1097"/>
      <c r="B20" s="1785" t="s">
        <v>737</v>
      </c>
      <c r="C20" s="447"/>
      <c r="D20" s="425"/>
      <c r="E20" s="425"/>
      <c r="F20" s="426"/>
      <c r="G20" s="427"/>
      <c r="H20" s="1156"/>
      <c r="I20" s="1786">
        <v>181617.64</v>
      </c>
      <c r="J20" s="1156"/>
      <c r="K20" s="1787">
        <v>164880</v>
      </c>
      <c r="L20" s="1156"/>
      <c r="M20" s="1787">
        <v>488100</v>
      </c>
      <c r="N20" s="1156"/>
      <c r="O20" s="1787"/>
      <c r="P20" s="1156"/>
      <c r="Q20" s="1787"/>
      <c r="R20" s="1156"/>
      <c r="S20" s="1787"/>
    </row>
    <row r="21" spans="1:41" ht="15.75" thickBot="1">
      <c r="A21" s="1589"/>
      <c r="B21" s="1788"/>
      <c r="C21" s="70"/>
      <c r="D21" s="86"/>
      <c r="E21" s="86"/>
      <c r="F21" s="280"/>
      <c r="G21" s="274"/>
      <c r="H21" s="1264"/>
      <c r="I21" s="428"/>
      <c r="J21" s="1264"/>
      <c r="K21" s="428"/>
      <c r="L21" s="1264"/>
      <c r="M21" s="428"/>
      <c r="N21" s="1264"/>
      <c r="O21" s="428"/>
      <c r="P21" s="1264"/>
      <c r="Q21" s="428"/>
      <c r="R21" s="1264"/>
      <c r="S21" s="428"/>
    </row>
    <row r="22" spans="1:41" s="69" customFormat="1" ht="15.75" thickBot="1">
      <c r="A22" s="1097"/>
      <c r="B22" s="788" t="s">
        <v>1705</v>
      </c>
      <c r="C22" s="415"/>
      <c r="D22" s="422"/>
      <c r="E22" s="422"/>
      <c r="F22" s="429"/>
      <c r="G22" s="423"/>
      <c r="H22" s="1264"/>
      <c r="I22" s="1107"/>
      <c r="J22" s="1264"/>
      <c r="K22" s="1106"/>
      <c r="L22" s="1264"/>
      <c r="M22" s="1106"/>
      <c r="N22" s="1264"/>
      <c r="O22" s="1107"/>
      <c r="P22" s="1264"/>
      <c r="Q22" s="1107"/>
      <c r="R22" s="1264"/>
      <c r="S22" s="1106"/>
      <c r="T22"/>
      <c r="U22"/>
      <c r="V22"/>
      <c r="W22"/>
      <c r="X22"/>
      <c r="Y22"/>
      <c r="Z22"/>
      <c r="AA22"/>
      <c r="AB22"/>
      <c r="AC22"/>
      <c r="AD22"/>
      <c r="AE22"/>
      <c r="AF22"/>
      <c r="AG22"/>
      <c r="AH22"/>
      <c r="AI22"/>
      <c r="AJ22"/>
      <c r="AK22"/>
      <c r="AL22"/>
      <c r="AM22"/>
      <c r="AN22"/>
      <c r="AO22"/>
    </row>
    <row r="23" spans="1:41">
      <c r="A23" s="1589"/>
      <c r="B23" s="1163" t="s">
        <v>1921</v>
      </c>
      <c r="C23" s="23"/>
      <c r="D23" s="87"/>
      <c r="E23" s="86"/>
      <c r="F23" s="431"/>
      <c r="G23" s="1751"/>
      <c r="H23" s="1264" t="s">
        <v>727</v>
      </c>
      <c r="I23" s="1783"/>
      <c r="J23" s="1264" t="s">
        <v>727</v>
      </c>
      <c r="K23" s="1783"/>
      <c r="L23" s="1264" t="s">
        <v>727</v>
      </c>
      <c r="M23" s="1783"/>
      <c r="N23" s="1264"/>
      <c r="O23" s="1783"/>
      <c r="P23" s="1264"/>
      <c r="Q23" s="1783"/>
      <c r="R23" s="1264"/>
      <c r="S23" s="1783"/>
    </row>
    <row r="24" spans="1:41">
      <c r="A24" s="1589"/>
      <c r="B24" s="1163" t="s">
        <v>1922</v>
      </c>
      <c r="C24" s="23"/>
      <c r="D24" s="87"/>
      <c r="E24" s="86"/>
      <c r="F24" s="431"/>
      <c r="G24" s="1751"/>
      <c r="H24" s="1264" t="s">
        <v>727</v>
      </c>
      <c r="I24" s="1783"/>
      <c r="J24" s="1264" t="s">
        <v>727</v>
      </c>
      <c r="K24" s="1783"/>
      <c r="L24" s="1264" t="s">
        <v>727</v>
      </c>
      <c r="M24" s="1783"/>
      <c r="N24" s="1264"/>
      <c r="O24" s="1783"/>
      <c r="P24" s="1264"/>
      <c r="Q24" s="1783"/>
      <c r="R24" s="1264"/>
      <c r="S24" s="1783"/>
    </row>
    <row r="25" spans="1:41" ht="15.75" thickBot="1">
      <c r="A25" s="1589"/>
      <c r="B25" s="1163"/>
      <c r="C25" s="23"/>
      <c r="D25" s="87"/>
      <c r="E25" s="86"/>
      <c r="F25" s="431"/>
      <c r="G25" s="1751"/>
      <c r="H25" s="1264"/>
      <c r="I25" s="1783"/>
      <c r="J25" s="1264"/>
      <c r="K25" s="1783"/>
      <c r="L25" s="1264"/>
      <c r="M25" s="1783"/>
      <c r="N25" s="1264"/>
      <c r="O25" s="1783"/>
      <c r="P25" s="1264"/>
      <c r="Q25" s="1783"/>
      <c r="R25" s="1264"/>
      <c r="S25" s="1783"/>
    </row>
    <row r="26" spans="1:41" ht="15.75" thickBot="1">
      <c r="A26" s="1589"/>
      <c r="B26" s="788" t="s">
        <v>1712</v>
      </c>
      <c r="C26" s="415"/>
      <c r="D26" s="430"/>
      <c r="E26" s="422"/>
      <c r="F26" s="431"/>
      <c r="G26" s="1751"/>
      <c r="H26" s="1264"/>
      <c r="I26" s="1783"/>
      <c r="J26" s="1264"/>
      <c r="K26" s="1783"/>
      <c r="L26" s="1264"/>
      <c r="M26" s="1783"/>
      <c r="N26" s="1264"/>
      <c r="O26" s="1783"/>
      <c r="P26" s="1264"/>
      <c r="Q26" s="1783"/>
      <c r="R26" s="1264"/>
      <c r="S26" s="1783"/>
    </row>
    <row r="27" spans="1:41">
      <c r="A27" s="1589"/>
      <c r="B27" s="1163" t="s">
        <v>1923</v>
      </c>
      <c r="C27" s="415"/>
      <c r="D27" s="430">
        <v>420</v>
      </c>
      <c r="E27" s="422" t="s">
        <v>468</v>
      </c>
      <c r="F27" s="431"/>
      <c r="G27" s="1751"/>
      <c r="H27" s="1264" t="s">
        <v>727</v>
      </c>
      <c r="I27" s="1783"/>
      <c r="J27" s="1264" t="s">
        <v>727</v>
      </c>
      <c r="K27" s="1783"/>
      <c r="L27" s="1264" t="s">
        <v>727</v>
      </c>
      <c r="M27" s="1783"/>
      <c r="N27" s="1264"/>
      <c r="O27" s="1783"/>
      <c r="P27" s="1264"/>
      <c r="Q27" s="1783"/>
      <c r="R27" s="1264"/>
      <c r="S27" s="1783"/>
    </row>
    <row r="28" spans="1:41">
      <c r="A28" s="1589"/>
      <c r="B28" s="1163" t="s">
        <v>1922</v>
      </c>
      <c r="C28" s="415"/>
      <c r="D28" s="430">
        <v>21</v>
      </c>
      <c r="E28" s="422" t="s">
        <v>468</v>
      </c>
      <c r="F28" s="431"/>
      <c r="G28" s="830"/>
      <c r="H28" s="1264" t="s">
        <v>727</v>
      </c>
      <c r="I28" s="1783"/>
      <c r="J28" s="1264" t="s">
        <v>727</v>
      </c>
      <c r="K28" s="1783"/>
      <c r="L28" s="1264" t="s">
        <v>727</v>
      </c>
      <c r="M28" s="1783"/>
      <c r="N28" s="1264"/>
      <c r="O28" s="1783"/>
      <c r="P28" s="1264"/>
      <c r="Q28" s="1783"/>
      <c r="R28" s="1264"/>
      <c r="S28" s="1783"/>
    </row>
    <row r="29" spans="1:41">
      <c r="A29" s="1589"/>
      <c r="B29" s="1163" t="s">
        <v>1922</v>
      </c>
      <c r="C29" s="415"/>
      <c r="D29" s="430">
        <v>84</v>
      </c>
      <c r="E29" s="422" t="s">
        <v>468</v>
      </c>
      <c r="F29" s="431"/>
      <c r="G29" s="830"/>
      <c r="H29" s="1264" t="s">
        <v>727</v>
      </c>
      <c r="I29" s="1783"/>
      <c r="J29" s="1264" t="s">
        <v>727</v>
      </c>
      <c r="K29" s="1783"/>
      <c r="L29" s="1264" t="s">
        <v>727</v>
      </c>
      <c r="M29" s="1783"/>
      <c r="N29" s="1264"/>
      <c r="O29" s="1783"/>
      <c r="P29" s="1264"/>
      <c r="Q29" s="1783"/>
      <c r="R29" s="1264"/>
      <c r="S29" s="1783"/>
    </row>
    <row r="30" spans="1:41">
      <c r="A30" s="1589"/>
      <c r="B30" s="1789"/>
      <c r="C30" s="415"/>
      <c r="D30" s="430"/>
      <c r="E30" s="422"/>
      <c r="F30" s="1752"/>
      <c r="G30" s="1790"/>
      <c r="H30" s="1591"/>
      <c r="I30" s="1783"/>
      <c r="J30" s="1591"/>
      <c r="K30" s="1783"/>
      <c r="L30" s="1591"/>
      <c r="M30" s="1783"/>
      <c r="N30" s="1591"/>
      <c r="O30" s="1783"/>
      <c r="P30" s="1591"/>
      <c r="Q30" s="1783"/>
      <c r="R30" s="1591"/>
      <c r="S30" s="1783"/>
    </row>
    <row r="31" spans="1:41" ht="15.75" thickBot="1">
      <c r="A31" s="1589"/>
      <c r="B31" s="1789"/>
      <c r="C31" s="935"/>
      <c r="D31" s="1791"/>
      <c r="E31" s="938"/>
      <c r="F31" s="1752"/>
      <c r="G31" s="1790"/>
      <c r="H31" s="1591"/>
      <c r="I31" s="1783"/>
      <c r="J31" s="1591"/>
      <c r="K31" s="1783"/>
      <c r="L31" s="1591"/>
      <c r="M31" s="1783"/>
      <c r="N31" s="1591"/>
      <c r="O31" s="1783"/>
      <c r="P31" s="1591"/>
      <c r="Q31" s="1783"/>
      <c r="R31" s="1591"/>
      <c r="S31" s="1783"/>
    </row>
    <row r="32" spans="1:41" ht="15.75" thickTop="1">
      <c r="A32" s="296"/>
      <c r="B32" s="301"/>
      <c r="C32" s="297"/>
      <c r="D32" s="15"/>
      <c r="E32" s="16"/>
      <c r="F32" s="282" t="s">
        <v>753</v>
      </c>
      <c r="G32" s="272"/>
      <c r="H32" s="273"/>
      <c r="I32" s="273">
        <f>SUM(I12:I29)</f>
        <v>181617.64</v>
      </c>
      <c r="J32" s="273"/>
      <c r="K32" s="273">
        <f>SUM(K12:K29)</f>
        <v>164880</v>
      </c>
      <c r="L32" s="273"/>
      <c r="M32" s="273">
        <f>SUM(M12:M29)</f>
        <v>488100</v>
      </c>
      <c r="N32" s="273"/>
      <c r="O32" s="273">
        <f>SUM(O12:O29)</f>
        <v>0</v>
      </c>
      <c r="P32" s="273"/>
      <c r="Q32" s="273">
        <f>SUM(Q12:Q29)</f>
        <v>0</v>
      </c>
      <c r="R32" s="273"/>
      <c r="S32" s="273">
        <f>SUM(S12:S29)</f>
        <v>0</v>
      </c>
    </row>
    <row r="33" spans="1:34">
      <c r="A33" s="1114"/>
      <c r="B33" s="1164"/>
      <c r="C33" s="432"/>
      <c r="D33" s="433"/>
      <c r="E33" s="434"/>
      <c r="F33" s="435" t="s">
        <v>754</v>
      </c>
      <c r="G33" s="436"/>
      <c r="H33" s="1395">
        <v>5.0000000000000001E-3</v>
      </c>
      <c r="I33" s="1166"/>
      <c r="J33" s="1165">
        <v>0</v>
      </c>
      <c r="K33" s="1166"/>
      <c r="L33" s="1165">
        <v>0</v>
      </c>
      <c r="M33" s="1166"/>
      <c r="N33" s="1165">
        <v>0</v>
      </c>
      <c r="O33" s="1166"/>
      <c r="P33" s="1165">
        <v>0</v>
      </c>
      <c r="Q33" s="1166"/>
      <c r="R33" s="1165">
        <v>0</v>
      </c>
      <c r="S33" s="1166"/>
    </row>
    <row r="34" spans="1:34">
      <c r="A34" s="1114"/>
      <c r="B34" s="1164"/>
      <c r="C34" s="432"/>
      <c r="D34" s="433"/>
      <c r="E34" s="434"/>
      <c r="F34" s="435" t="s">
        <v>755</v>
      </c>
      <c r="G34" s="436"/>
      <c r="H34" s="1166"/>
      <c r="I34" s="1166">
        <f>H33*I32</f>
        <v>908.08820000000014</v>
      </c>
      <c r="J34" s="1166"/>
      <c r="K34" s="1166">
        <f>J33*K32</f>
        <v>0</v>
      </c>
      <c r="L34" s="1166"/>
      <c r="M34" s="1166">
        <f>L33*M32</f>
        <v>0</v>
      </c>
      <c r="N34" s="1166"/>
      <c r="O34" s="1166">
        <f>N33*O32</f>
        <v>0</v>
      </c>
      <c r="P34" s="1166"/>
      <c r="Q34" s="1166">
        <f>P33*Q32</f>
        <v>0</v>
      </c>
      <c r="R34" s="1166"/>
      <c r="S34" s="1166">
        <f>R33*S32</f>
        <v>0</v>
      </c>
    </row>
    <row r="35" spans="1:34">
      <c r="A35" s="1114"/>
      <c r="B35" s="1164"/>
      <c r="C35" s="432"/>
      <c r="D35" s="433"/>
      <c r="E35" s="434"/>
      <c r="F35" s="435"/>
      <c r="G35" s="436"/>
      <c r="H35" s="1166"/>
      <c r="I35" s="1166"/>
      <c r="J35" s="1166"/>
      <c r="K35" s="1166"/>
      <c r="L35" s="1166"/>
      <c r="M35" s="1166"/>
      <c r="N35" s="1166"/>
      <c r="O35" s="1166"/>
      <c r="P35" s="1166"/>
      <c r="Q35" s="1166"/>
      <c r="R35" s="1166"/>
      <c r="S35" s="1166"/>
    </row>
    <row r="36" spans="1:34">
      <c r="A36" s="1114"/>
      <c r="B36" s="1164"/>
      <c r="C36" s="432"/>
      <c r="D36" s="433"/>
      <c r="E36" s="434"/>
      <c r="F36" s="435" t="s">
        <v>756</v>
      </c>
      <c r="G36" s="436"/>
      <c r="H36" s="1166"/>
      <c r="I36" s="1166">
        <f>SUM(I32:I34)</f>
        <v>182525.72820000001</v>
      </c>
      <c r="J36" s="1166"/>
      <c r="K36" s="1166">
        <f>SUM(K32:K34)</f>
        <v>164880</v>
      </c>
      <c r="L36" s="1166"/>
      <c r="M36" s="1166">
        <f>SUM(M32:M34)</f>
        <v>488100</v>
      </c>
      <c r="N36" s="1166"/>
      <c r="O36" s="1166">
        <f>SUM(O32:O34)</f>
        <v>0</v>
      </c>
      <c r="P36" s="1166"/>
      <c r="Q36" s="1166">
        <f>SUM(Q32:Q34)</f>
        <v>0</v>
      </c>
      <c r="R36" s="1166"/>
      <c r="S36" s="1166">
        <f>SUM(S32:S34)</f>
        <v>0</v>
      </c>
    </row>
    <row r="37" spans="1:34">
      <c r="A37" s="1114"/>
      <c r="B37" s="1164"/>
      <c r="C37" s="432"/>
      <c r="D37" s="433"/>
      <c r="E37" s="434"/>
      <c r="F37" s="437" t="s">
        <v>757</v>
      </c>
      <c r="G37" s="438"/>
      <c r="H37" s="1167"/>
      <c r="I37" s="1167">
        <f>I36/'Area Calculations'!$G$4</f>
        <v>0.31542664417804495</v>
      </c>
      <c r="J37" s="1167"/>
      <c r="K37" s="1167">
        <f>K36/'Area Calculations'!$G$4</f>
        <v>0.28493268102505259</v>
      </c>
      <c r="L37" s="1167"/>
      <c r="M37" s="1167">
        <f>M36/'Area Calculations'!$G$4</f>
        <v>0.84349612814366914</v>
      </c>
      <c r="N37" s="1167"/>
      <c r="O37" s="1167">
        <f>O36/'Area Calculations'!$G$4</f>
        <v>0</v>
      </c>
      <c r="P37" s="1167"/>
      <c r="Q37" s="1167">
        <f>Q36/'Area Calculations'!$G$4</f>
        <v>0</v>
      </c>
      <c r="R37" s="1167"/>
      <c r="S37" s="1167">
        <f>S36/'Area Calculations'!$G$4</f>
        <v>0</v>
      </c>
    </row>
    <row r="38" spans="1:34">
      <c r="A38" s="1114"/>
      <c r="B38" s="1164"/>
      <c r="C38" s="432"/>
      <c r="D38" s="433"/>
      <c r="E38" s="434"/>
      <c r="F38" s="437" t="s">
        <v>758</v>
      </c>
      <c r="G38" s="438"/>
      <c r="H38" s="1167"/>
      <c r="I38" s="1167">
        <f>I36/'Area Calculations'!$G$9</f>
        <v>1705.8479271028039</v>
      </c>
      <c r="J38" s="1167"/>
      <c r="K38" s="1167">
        <f>K36/'Area Calculations'!$G$9</f>
        <v>1540.9345794392523</v>
      </c>
      <c r="L38" s="1167"/>
      <c r="M38" s="1167">
        <f>M36/'Area Calculations'!$G$9</f>
        <v>4561.6822429906542</v>
      </c>
      <c r="N38" s="1167"/>
      <c r="O38" s="1167">
        <f>O36/'Area Calculations'!$G$9</f>
        <v>0</v>
      </c>
      <c r="P38" s="1167"/>
      <c r="Q38" s="1167">
        <f>Q36/'Area Calculations'!$G$9</f>
        <v>0</v>
      </c>
      <c r="R38" s="1167"/>
      <c r="S38" s="1167">
        <f>S36/'Area Calculations'!$G$9</f>
        <v>0</v>
      </c>
    </row>
    <row r="39" spans="1:34" ht="15.75" thickBot="1">
      <c r="A39" s="1114"/>
      <c r="B39" s="1164"/>
      <c r="C39" s="432"/>
      <c r="D39" s="433"/>
      <c r="E39" s="434"/>
      <c r="F39" s="439"/>
      <c r="G39" s="436"/>
      <c r="H39" s="1168"/>
      <c r="I39" s="1168"/>
      <c r="J39" s="1168"/>
      <c r="K39" s="1168"/>
      <c r="L39" s="1168"/>
      <c r="M39" s="1168"/>
      <c r="N39" s="1168"/>
      <c r="O39" s="1168"/>
      <c r="P39" s="1168"/>
      <c r="Q39" s="1168"/>
      <c r="R39" s="1168"/>
      <c r="S39" s="1168"/>
    </row>
    <row r="40" spans="1:34" ht="16.5" thickTop="1" thickBot="1">
      <c r="A40" s="2331" t="s">
        <v>759</v>
      </c>
      <c r="B40" s="2332"/>
      <c r="C40" s="298"/>
      <c r="D40" s="12"/>
      <c r="E40" s="12"/>
      <c r="F40" s="12"/>
      <c r="G40" s="26"/>
      <c r="H40" s="24"/>
      <c r="I40" s="20"/>
      <c r="J40" s="20"/>
      <c r="K40" s="20"/>
      <c r="L40" s="20"/>
      <c r="M40" s="20"/>
      <c r="N40" s="20"/>
      <c r="O40" s="20"/>
      <c r="P40" s="20"/>
      <c r="Q40" s="20"/>
      <c r="R40" s="20"/>
      <c r="S40" s="20"/>
    </row>
    <row r="41" spans="1:34" ht="15.75" thickTop="1">
      <c r="A41" s="1580"/>
      <c r="B41" s="1105"/>
      <c r="C41" s="1396"/>
      <c r="D41" s="1740"/>
      <c r="E41" s="1740"/>
      <c r="F41" s="1740"/>
      <c r="G41" s="1722"/>
      <c r="H41" s="1775"/>
      <c r="I41" s="1582"/>
      <c r="J41" s="1582"/>
      <c r="K41" s="1582"/>
      <c r="L41" s="1582"/>
      <c r="M41" s="1582"/>
      <c r="N41" s="1582"/>
      <c r="O41" s="1582"/>
      <c r="P41" s="1582"/>
      <c r="Q41" s="1582"/>
      <c r="R41" s="1582"/>
      <c r="S41" s="1582"/>
    </row>
    <row r="42" spans="1:34">
      <c r="A42" s="1580"/>
      <c r="B42" s="1105"/>
      <c r="C42" s="1396"/>
      <c r="D42" s="1740"/>
      <c r="E42" s="1740"/>
      <c r="F42" s="1740"/>
      <c r="G42" s="1722"/>
      <c r="H42" s="1775"/>
      <c r="I42" s="1582"/>
      <c r="J42" s="1582"/>
      <c r="K42" s="1582"/>
      <c r="L42" s="1582"/>
      <c r="M42" s="1582"/>
      <c r="N42" s="1582"/>
      <c r="O42" s="1582"/>
      <c r="P42" s="1582"/>
      <c r="Q42" s="1582"/>
      <c r="R42" s="1582"/>
      <c r="S42" s="1582"/>
    </row>
    <row r="43" spans="1:34" ht="15.75" thickBot="1">
      <c r="A43" s="1580"/>
      <c r="B43" s="1105"/>
      <c r="C43" s="1396"/>
      <c r="D43" s="1740"/>
      <c r="E43" s="1740"/>
      <c r="F43" s="1740"/>
      <c r="G43" s="1722"/>
      <c r="H43" s="1775"/>
      <c r="I43" s="1582"/>
      <c r="J43" s="1582"/>
      <c r="K43" s="1582"/>
      <c r="L43" s="1582"/>
      <c r="M43" s="1582"/>
      <c r="N43" s="1582"/>
      <c r="O43" s="1582"/>
      <c r="P43" s="1582"/>
      <c r="Q43" s="1582"/>
      <c r="R43" s="1582"/>
      <c r="S43" s="1582"/>
    </row>
    <row r="44" spans="1:34" s="2" customFormat="1" ht="16.5" thickTop="1" thickBot="1">
      <c r="A44" s="2331" t="s">
        <v>760</v>
      </c>
      <c r="B44" s="2332"/>
      <c r="C44" s="298"/>
      <c r="D44" s="12"/>
      <c r="E44" s="12"/>
      <c r="F44" s="12"/>
      <c r="G44" s="26"/>
      <c r="H44" s="24"/>
      <c r="I44" s="20"/>
      <c r="J44" s="20"/>
      <c r="K44" s="20"/>
      <c r="L44" s="20"/>
      <c r="M44" s="20"/>
      <c r="N44" s="20"/>
      <c r="O44" s="20"/>
      <c r="P44" s="20"/>
      <c r="Q44" s="20"/>
      <c r="R44" s="20"/>
      <c r="S44" s="20"/>
      <c r="T44"/>
      <c r="U44"/>
      <c r="V44"/>
      <c r="W44"/>
      <c r="X44"/>
      <c r="Y44"/>
      <c r="Z44"/>
      <c r="AA44"/>
      <c r="AB44"/>
      <c r="AC44"/>
      <c r="AD44"/>
      <c r="AE44"/>
      <c r="AF44"/>
      <c r="AG44"/>
      <c r="AH44"/>
    </row>
    <row r="45" spans="1:34" s="2" customFormat="1" ht="15.75" thickTop="1">
      <c r="A45" s="1580"/>
      <c r="B45" s="1105"/>
      <c r="C45" s="1396"/>
      <c r="D45" s="1740"/>
      <c r="E45" s="1740"/>
      <c r="F45" s="1740"/>
      <c r="G45" s="1722"/>
      <c r="H45" s="1775"/>
      <c r="I45" s="1582"/>
      <c r="J45" s="1582"/>
      <c r="K45" s="1582"/>
      <c r="L45" s="1582"/>
      <c r="M45" s="1582"/>
      <c r="N45" s="1582"/>
      <c r="O45" s="1582"/>
      <c r="P45" s="1582"/>
      <c r="Q45" s="1582"/>
      <c r="R45" s="1582"/>
      <c r="S45" s="1582"/>
      <c r="T45"/>
      <c r="U45"/>
      <c r="V45"/>
      <c r="W45"/>
      <c r="X45"/>
      <c r="Y45"/>
      <c r="Z45"/>
      <c r="AA45"/>
      <c r="AB45"/>
      <c r="AC45"/>
      <c r="AD45"/>
      <c r="AE45"/>
      <c r="AF45"/>
      <c r="AG45"/>
      <c r="AH45"/>
    </row>
    <row r="46" spans="1:34" s="2" customFormat="1">
      <c r="A46" s="1580"/>
      <c r="B46" s="1105"/>
      <c r="C46" s="1396"/>
      <c r="D46" s="1740"/>
      <c r="E46" s="1740"/>
      <c r="F46" s="1740"/>
      <c r="G46" s="1722"/>
      <c r="H46" s="1775"/>
      <c r="I46" s="1582"/>
      <c r="J46" s="1582"/>
      <c r="K46" s="1582"/>
      <c r="L46" s="1582"/>
      <c r="M46" s="1582"/>
      <c r="N46" s="1582"/>
      <c r="O46" s="1582"/>
      <c r="P46" s="1582"/>
      <c r="Q46" s="1582"/>
      <c r="R46" s="1582"/>
      <c r="S46" s="1582"/>
      <c r="T46"/>
      <c r="U46"/>
      <c r="V46"/>
      <c r="W46"/>
      <c r="X46"/>
      <c r="Y46"/>
      <c r="Z46"/>
      <c r="AA46"/>
      <c r="AB46"/>
      <c r="AC46"/>
      <c r="AD46"/>
      <c r="AE46"/>
      <c r="AF46"/>
      <c r="AG46"/>
      <c r="AH46"/>
    </row>
    <row r="47" spans="1:34" ht="15.75" thickBot="1">
      <c r="A47" s="1580"/>
      <c r="B47" s="1105"/>
      <c r="C47" s="1396"/>
      <c r="D47" s="1740"/>
      <c r="E47" s="1740"/>
      <c r="F47" s="1740"/>
      <c r="G47" s="1722"/>
      <c r="H47" s="1775"/>
      <c r="I47" s="1582"/>
      <c r="J47" s="1582"/>
      <c r="K47" s="1582"/>
      <c r="L47" s="1582"/>
      <c r="M47" s="1582"/>
      <c r="N47" s="1582"/>
      <c r="O47" s="1582"/>
      <c r="P47" s="1582"/>
      <c r="Q47" s="1582"/>
      <c r="R47" s="1582"/>
      <c r="S47" s="1582"/>
    </row>
    <row r="48" spans="1:34" s="2" customFormat="1" ht="16.5" thickTop="1" thickBot="1">
      <c r="A48" s="2331" t="s">
        <v>761</v>
      </c>
      <c r="B48" s="2332"/>
      <c r="C48" s="298"/>
      <c r="D48" s="12"/>
      <c r="E48" s="12"/>
      <c r="F48" s="12"/>
      <c r="G48" s="26"/>
      <c r="H48" s="24"/>
      <c r="I48" s="20"/>
      <c r="J48" s="20"/>
      <c r="K48" s="20"/>
      <c r="L48" s="20"/>
      <c r="M48" s="20"/>
      <c r="N48" s="20"/>
      <c r="O48" s="20"/>
      <c r="P48" s="20"/>
      <c r="Q48" s="20"/>
      <c r="R48" s="20"/>
      <c r="S48" s="20"/>
      <c r="T48"/>
      <c r="U48"/>
      <c r="V48"/>
      <c r="W48"/>
      <c r="X48"/>
      <c r="Y48"/>
      <c r="Z48"/>
      <c r="AA48"/>
      <c r="AB48"/>
      <c r="AC48"/>
      <c r="AD48"/>
      <c r="AE48"/>
      <c r="AF48"/>
      <c r="AG48"/>
      <c r="AH48"/>
    </row>
    <row r="49" spans="1:34" s="2" customFormat="1" ht="15.75" thickTop="1">
      <c r="A49" s="1580"/>
      <c r="B49" s="1105"/>
      <c r="C49" s="1396"/>
      <c r="D49" s="1740"/>
      <c r="E49" s="1740"/>
      <c r="F49" s="1740"/>
      <c r="G49" s="1722"/>
      <c r="H49" s="1775"/>
      <c r="I49" s="1582"/>
      <c r="J49" s="1582"/>
      <c r="K49" s="1582"/>
      <c r="L49" s="1582"/>
      <c r="M49" s="1582"/>
      <c r="N49" s="1582"/>
      <c r="O49" s="1582"/>
      <c r="P49" s="1582"/>
      <c r="Q49" s="1582"/>
      <c r="R49" s="1582"/>
      <c r="S49" s="1582"/>
      <c r="T49"/>
      <c r="U49"/>
      <c r="V49"/>
      <c r="W49"/>
      <c r="X49"/>
      <c r="Y49"/>
      <c r="Z49"/>
      <c r="AA49"/>
      <c r="AB49"/>
      <c r="AC49"/>
      <c r="AD49"/>
      <c r="AE49"/>
      <c r="AF49"/>
      <c r="AG49"/>
      <c r="AH49"/>
    </row>
    <row r="50" spans="1:34" s="2" customFormat="1">
      <c r="A50" s="1124"/>
      <c r="B50" s="1105"/>
      <c r="C50" s="415"/>
      <c r="D50" s="422"/>
      <c r="E50" s="422"/>
      <c r="F50" s="422"/>
      <c r="G50" s="831"/>
      <c r="H50" s="440"/>
      <c r="I50" s="1173"/>
      <c r="J50" s="1173"/>
      <c r="K50" s="1173"/>
      <c r="L50" s="1173"/>
      <c r="M50" s="1173"/>
      <c r="N50" s="1173"/>
      <c r="O50" s="1173"/>
      <c r="P50" s="1173"/>
      <c r="Q50" s="1173"/>
      <c r="R50" s="1173"/>
      <c r="S50" s="1173"/>
      <c r="T50"/>
      <c r="U50"/>
      <c r="V50"/>
      <c r="W50"/>
      <c r="X50"/>
      <c r="Y50"/>
      <c r="Z50"/>
      <c r="AA50"/>
      <c r="AB50"/>
      <c r="AC50"/>
      <c r="AD50"/>
      <c r="AE50"/>
      <c r="AF50"/>
      <c r="AG50"/>
      <c r="AH50"/>
    </row>
    <row r="51" spans="1:34" s="2" customFormat="1" ht="15.75" thickBot="1">
      <c r="A51" s="1126"/>
      <c r="B51" s="1174"/>
      <c r="C51" s="415"/>
      <c r="D51" s="422"/>
      <c r="E51" s="422"/>
      <c r="F51" s="422"/>
      <c r="G51" s="831"/>
      <c r="H51" s="441"/>
      <c r="I51" s="1175"/>
      <c r="J51" s="1175"/>
      <c r="K51" s="1175"/>
      <c r="L51" s="1175"/>
      <c r="M51" s="1175"/>
      <c r="N51" s="1175"/>
      <c r="O51" s="1175"/>
      <c r="P51" s="1175"/>
      <c r="Q51" s="1175"/>
      <c r="R51" s="1175"/>
      <c r="S51" s="1175"/>
    </row>
    <row r="52" spans="1:34" s="2" customFormat="1" ht="16.5" thickTop="1" thickBot="1">
      <c r="A52" s="2331" t="s">
        <v>762</v>
      </c>
      <c r="B52" s="2332"/>
      <c r="C52" s="298"/>
      <c r="D52" s="12"/>
      <c r="E52" s="12"/>
      <c r="F52" s="12"/>
      <c r="G52" s="26"/>
      <c r="H52" s="24"/>
      <c r="I52" s="20"/>
      <c r="J52" s="20"/>
      <c r="K52" s="20"/>
      <c r="L52" s="20"/>
      <c r="M52" s="20"/>
      <c r="N52" s="20"/>
      <c r="O52" s="20"/>
      <c r="P52" s="20"/>
      <c r="Q52" s="20"/>
      <c r="R52" s="20"/>
      <c r="S52" s="20"/>
      <c r="T52"/>
      <c r="U52"/>
      <c r="V52"/>
      <c r="W52"/>
      <c r="X52"/>
      <c r="Y52"/>
      <c r="Z52"/>
      <c r="AA52"/>
      <c r="AB52"/>
      <c r="AC52"/>
      <c r="AD52"/>
      <c r="AE52"/>
      <c r="AF52"/>
      <c r="AG52"/>
      <c r="AH52"/>
    </row>
    <row r="53" spans="1:34" ht="15.75" thickTop="1">
      <c r="A53" s="1585"/>
      <c r="B53" s="1586"/>
      <c r="C53" s="1396"/>
      <c r="D53" s="1740"/>
      <c r="E53" s="1740"/>
      <c r="F53" s="1740"/>
      <c r="G53" s="1722"/>
      <c r="H53" s="1775"/>
      <c r="I53" s="1582"/>
      <c r="J53" s="1582"/>
      <c r="K53" s="1582"/>
      <c r="L53" s="1582"/>
      <c r="M53" s="1582"/>
      <c r="N53" s="1582"/>
      <c r="O53" s="1582"/>
      <c r="P53" s="1582"/>
      <c r="Q53" s="1582"/>
      <c r="R53" s="1582"/>
      <c r="S53" s="1582"/>
      <c r="T53" s="2"/>
      <c r="U53" s="2"/>
      <c r="V53" s="2"/>
      <c r="W53" s="2"/>
      <c r="X53" s="2"/>
      <c r="Y53" s="2"/>
      <c r="Z53" s="2"/>
      <c r="AA53" s="2"/>
      <c r="AB53" s="2"/>
      <c r="AC53" s="2"/>
      <c r="AD53" s="2"/>
      <c r="AE53" s="2"/>
      <c r="AF53" s="2"/>
      <c r="AG53" s="2"/>
      <c r="AH53" s="2"/>
    </row>
    <row r="54" spans="1:34">
      <c r="A54" s="1126"/>
      <c r="B54" s="1174"/>
      <c r="C54" s="415"/>
      <c r="D54" s="422"/>
      <c r="E54" s="422"/>
      <c r="F54" s="422"/>
      <c r="G54" s="831"/>
      <c r="H54" s="442"/>
      <c r="I54" s="1178"/>
      <c r="J54" s="1178"/>
      <c r="K54" s="1178"/>
      <c r="L54" s="1178"/>
      <c r="M54" s="1178"/>
      <c r="N54" s="1178"/>
      <c r="O54" s="1178"/>
      <c r="P54" s="1178"/>
      <c r="Q54" s="1178"/>
      <c r="R54" s="1178"/>
      <c r="S54" s="1178"/>
      <c r="T54" s="2"/>
      <c r="U54" s="2"/>
      <c r="V54" s="2"/>
      <c r="W54" s="2"/>
      <c r="X54" s="2"/>
      <c r="Y54" s="2"/>
      <c r="Z54" s="2"/>
      <c r="AA54" s="2"/>
      <c r="AB54" s="2"/>
      <c r="AC54" s="2"/>
      <c r="AD54" s="2"/>
      <c r="AE54" s="2"/>
      <c r="AF54" s="2"/>
      <c r="AG54" s="2"/>
      <c r="AH54" s="2"/>
    </row>
    <row r="55" spans="1:34" ht="15.75" thickBot="1">
      <c r="A55" s="1126"/>
      <c r="B55" s="1174"/>
      <c r="C55" s="415"/>
      <c r="D55" s="422"/>
      <c r="E55" s="422"/>
      <c r="F55" s="422"/>
      <c r="G55" s="831"/>
      <c r="H55" s="442"/>
      <c r="I55" s="1178"/>
      <c r="J55" s="1178"/>
      <c r="K55" s="1178"/>
      <c r="L55" s="1178"/>
      <c r="M55" s="1178"/>
      <c r="N55" s="1178"/>
      <c r="O55" s="1178"/>
      <c r="P55" s="1178"/>
      <c r="Q55" s="1178"/>
      <c r="R55" s="1178"/>
      <c r="S55" s="1178"/>
      <c r="T55" s="2"/>
      <c r="U55" s="2"/>
      <c r="V55" s="2"/>
      <c r="W55" s="2"/>
      <c r="X55" s="2"/>
      <c r="Y55" s="2"/>
      <c r="Z55" s="2"/>
      <c r="AA55" s="2"/>
      <c r="AB55" s="2"/>
      <c r="AC55" s="2"/>
      <c r="AD55" s="2"/>
      <c r="AE55" s="2"/>
      <c r="AF55" s="2"/>
      <c r="AG55" s="2"/>
      <c r="AH55" s="2"/>
    </row>
    <row r="56" spans="1:34" ht="16.5" thickTop="1" thickBot="1">
      <c r="A56" s="2331" t="s">
        <v>763</v>
      </c>
      <c r="B56" s="2332"/>
      <c r="C56" s="298"/>
      <c r="D56" s="12"/>
      <c r="E56" s="12"/>
      <c r="F56" s="12"/>
      <c r="G56" s="26"/>
      <c r="H56" s="24"/>
      <c r="I56" s="20"/>
      <c r="J56" s="20"/>
      <c r="K56" s="20"/>
      <c r="L56" s="20"/>
      <c r="M56" s="20"/>
      <c r="N56" s="20"/>
      <c r="O56" s="20"/>
      <c r="P56" s="20"/>
      <c r="Q56" s="20"/>
      <c r="R56" s="20"/>
      <c r="S56" s="20"/>
    </row>
    <row r="57" spans="1:34" ht="15.75" thickTop="1">
      <c r="A57" s="1124"/>
      <c r="B57" s="1105" t="s">
        <v>764</v>
      </c>
      <c r="C57" s="415"/>
      <c r="D57" s="422"/>
      <c r="E57" s="422"/>
      <c r="F57" s="422"/>
      <c r="G57" s="831"/>
      <c r="H57" s="442"/>
      <c r="I57" s="1178"/>
      <c r="J57" s="1178"/>
      <c r="K57" s="1178"/>
      <c r="L57" s="1178"/>
      <c r="M57" s="1178"/>
      <c r="N57" s="1178"/>
      <c r="O57" s="1178"/>
      <c r="P57" s="1178"/>
      <c r="Q57" s="1178"/>
      <c r="R57" s="1178"/>
      <c r="S57" s="1178"/>
    </row>
    <row r="58" spans="1:34">
      <c r="A58" s="1124"/>
      <c r="B58" s="1105" t="s">
        <v>765</v>
      </c>
      <c r="C58" s="415"/>
      <c r="D58" s="422"/>
      <c r="E58" s="422"/>
      <c r="F58" s="422"/>
      <c r="G58" s="831"/>
      <c r="H58" s="442"/>
      <c r="I58" s="1178"/>
      <c r="J58" s="1178"/>
      <c r="K58" s="1178"/>
      <c r="L58" s="1178"/>
      <c r="M58" s="1178"/>
      <c r="N58" s="1178"/>
      <c r="O58" s="1178"/>
      <c r="P58" s="1178"/>
      <c r="Q58" s="1178"/>
      <c r="R58" s="1178"/>
      <c r="S58" s="1178"/>
    </row>
    <row r="59" spans="1:34">
      <c r="A59" s="1124"/>
      <c r="B59" s="1105" t="s">
        <v>766</v>
      </c>
      <c r="C59" s="415"/>
      <c r="D59" s="422"/>
      <c r="E59" s="422"/>
      <c r="F59" s="422"/>
      <c r="G59" s="831"/>
      <c r="H59" s="442"/>
      <c r="I59" s="1178"/>
      <c r="J59" s="1178"/>
      <c r="K59" s="1178"/>
      <c r="L59" s="1178"/>
      <c r="M59" s="1178"/>
      <c r="N59" s="1178"/>
      <c r="O59" s="1178"/>
      <c r="P59" s="1178"/>
      <c r="Q59" s="1178"/>
      <c r="R59" s="1178"/>
      <c r="S59" s="1178"/>
    </row>
    <row r="60" spans="1:34">
      <c r="A60" s="1124"/>
      <c r="B60" s="1105" t="s">
        <v>767</v>
      </c>
      <c r="C60" s="415"/>
      <c r="D60" s="422"/>
      <c r="E60" s="422"/>
      <c r="F60" s="422"/>
      <c r="G60" s="831"/>
      <c r="H60" s="442"/>
      <c r="I60" s="1178"/>
      <c r="J60" s="1178"/>
      <c r="K60" s="1178"/>
      <c r="L60" s="1178"/>
      <c r="M60" s="1178"/>
      <c r="N60" s="1178"/>
      <c r="O60" s="1178"/>
      <c r="P60" s="1178"/>
      <c r="Q60" s="1178"/>
      <c r="R60" s="1178"/>
      <c r="S60" s="1178"/>
    </row>
    <row r="61" spans="1:34" ht="15.75" thickBot="1">
      <c r="A61" s="443"/>
      <c r="B61" s="421"/>
      <c r="C61" s="23"/>
      <c r="D61" s="86"/>
      <c r="E61" s="86"/>
      <c r="F61" s="86"/>
      <c r="G61" s="27"/>
      <c r="H61" s="25"/>
      <c r="I61" s="444"/>
      <c r="J61" s="444"/>
      <c r="K61" s="444"/>
      <c r="L61" s="444"/>
      <c r="M61" s="444"/>
      <c r="N61" s="444"/>
      <c r="O61" s="444"/>
      <c r="P61" s="444"/>
      <c r="Q61" s="444"/>
      <c r="R61" s="444"/>
      <c r="S61" s="444"/>
    </row>
    <row r="62" spans="1:34" ht="16.5" thickTop="1" thickBot="1">
      <c r="A62" s="72" t="s">
        <v>768</v>
      </c>
      <c r="B62" s="73"/>
      <c r="C62" s="298"/>
      <c r="D62" s="12"/>
      <c r="E62" s="12"/>
      <c r="F62" s="12"/>
      <c r="G62" s="26"/>
      <c r="H62" s="24"/>
      <c r="I62" s="20"/>
      <c r="J62" s="20"/>
      <c r="K62" s="20"/>
      <c r="L62" s="20"/>
      <c r="M62" s="20"/>
      <c r="N62" s="20"/>
      <c r="O62" s="20"/>
      <c r="P62" s="20"/>
      <c r="Q62" s="20"/>
      <c r="R62" s="20"/>
      <c r="S62" s="20"/>
    </row>
    <row r="63" spans="1:34" ht="15.75" thickTop="1">
      <c r="A63" s="1580"/>
      <c r="B63" s="1587" t="s">
        <v>769</v>
      </c>
      <c r="C63" s="1396"/>
      <c r="D63" s="1740"/>
      <c r="E63" s="1740"/>
      <c r="F63" s="1740"/>
      <c r="G63" s="1722"/>
      <c r="H63" s="1792"/>
      <c r="I63" s="1588"/>
      <c r="J63" s="1588"/>
      <c r="K63" s="1588"/>
      <c r="L63" s="1588"/>
      <c r="M63" s="1588"/>
      <c r="N63" s="1588"/>
      <c r="O63" s="1588"/>
      <c r="P63" s="1588"/>
      <c r="Q63" s="1588"/>
      <c r="R63" s="1588"/>
      <c r="S63" s="1588"/>
    </row>
    <row r="64" spans="1:34">
      <c r="A64" s="1124"/>
      <c r="B64" s="1105" t="s">
        <v>770</v>
      </c>
      <c r="C64" s="415"/>
      <c r="D64" s="422"/>
      <c r="E64" s="422"/>
      <c r="F64" s="422"/>
      <c r="G64" s="831"/>
      <c r="H64" s="445"/>
      <c r="I64" s="1182"/>
      <c r="J64" s="1182"/>
      <c r="K64" s="1182"/>
      <c r="L64" s="1182"/>
      <c r="M64" s="1182"/>
      <c r="N64" s="1182"/>
      <c r="O64" s="1182"/>
      <c r="P64" s="1182"/>
      <c r="Q64" s="1182"/>
      <c r="R64" s="1182"/>
      <c r="S64" s="1182"/>
    </row>
    <row r="65" spans="1:19" ht="15.75" thickBot="1">
      <c r="A65" s="1308"/>
      <c r="B65" s="1136" t="s">
        <v>771</v>
      </c>
      <c r="C65" s="935"/>
      <c r="D65" s="938"/>
      <c r="E65" s="938"/>
      <c r="F65" s="938"/>
      <c r="G65" s="939"/>
      <c r="H65" s="940"/>
      <c r="I65" s="1140"/>
      <c r="J65" s="1140"/>
      <c r="K65" s="1140"/>
      <c r="L65" s="1140"/>
      <c r="M65" s="1140"/>
      <c r="N65" s="1140"/>
      <c r="O65" s="1140"/>
      <c r="P65" s="1140"/>
      <c r="Q65" s="1140"/>
      <c r="R65" s="1140"/>
      <c r="S65" s="1140"/>
    </row>
    <row r="66" spans="1:19" ht="16.5" thickTop="1" thickBot="1">
      <c r="F66" s="2"/>
      <c r="G66" s="2"/>
      <c r="H66" s="2"/>
      <c r="I66" s="2"/>
      <c r="J66" s="2"/>
      <c r="K66" s="2"/>
      <c r="L66" s="2"/>
      <c r="M66" s="2"/>
      <c r="N66" s="2"/>
      <c r="O66" s="2"/>
      <c r="P66" s="2"/>
      <c r="Q66" s="2"/>
      <c r="R66" s="2"/>
      <c r="S66" s="2"/>
    </row>
    <row r="67" spans="1:19" ht="16.5" thickTop="1" thickBot="1">
      <c r="A67" s="37" t="s">
        <v>772</v>
      </c>
      <c r="B67" s="39"/>
      <c r="F67" s="2"/>
      <c r="G67" s="2"/>
      <c r="H67" s="2"/>
      <c r="I67" s="2"/>
      <c r="J67" s="2"/>
      <c r="K67" s="2"/>
      <c r="L67" s="2"/>
      <c r="M67" s="2"/>
      <c r="N67" s="2"/>
      <c r="O67" s="2"/>
      <c r="P67" s="2"/>
      <c r="Q67" s="2"/>
      <c r="R67" s="2"/>
      <c r="S67" s="2"/>
    </row>
    <row r="68" spans="1:19" ht="15.75" thickTop="1">
      <c r="A68" s="38" t="s">
        <v>693</v>
      </c>
      <c r="B68" s="1190"/>
      <c r="F68" s="2"/>
      <c r="G68" s="2"/>
      <c r="H68" s="2"/>
      <c r="I68" s="2"/>
      <c r="J68" s="2"/>
      <c r="K68" s="2"/>
      <c r="L68" s="2"/>
      <c r="M68" s="2"/>
      <c r="N68" s="2"/>
      <c r="O68" s="2"/>
      <c r="P68" s="2"/>
      <c r="Q68" s="2"/>
      <c r="R68" s="2"/>
      <c r="S68" s="2"/>
    </row>
    <row r="69" spans="1:19">
      <c r="A69" s="1142" t="s">
        <v>702</v>
      </c>
      <c r="B69" s="1190"/>
      <c r="F69" s="2"/>
      <c r="G69" s="2"/>
      <c r="H69" s="2"/>
      <c r="I69" s="2"/>
      <c r="J69" s="2"/>
      <c r="K69" s="2"/>
      <c r="L69" s="2"/>
      <c r="M69" s="2"/>
      <c r="N69" s="2"/>
      <c r="O69" s="2"/>
      <c r="P69" s="2"/>
      <c r="Q69" s="2"/>
      <c r="R69" s="2"/>
      <c r="S69" s="2"/>
    </row>
    <row r="70" spans="1:19">
      <c r="A70" s="1191" t="s">
        <v>708</v>
      </c>
      <c r="B70" s="1192"/>
      <c r="F70" s="2"/>
      <c r="G70" s="2"/>
      <c r="H70" s="2"/>
      <c r="I70" s="2"/>
      <c r="J70" s="2"/>
      <c r="K70" s="2"/>
      <c r="L70" s="2"/>
      <c r="M70" s="2"/>
      <c r="N70" s="2"/>
      <c r="O70" s="2"/>
      <c r="P70" s="2"/>
      <c r="Q70" s="2"/>
      <c r="R70" s="2"/>
      <c r="S70" s="2"/>
    </row>
    <row r="71" spans="1:19">
      <c r="A71" s="1191" t="s">
        <v>713</v>
      </c>
      <c r="B71" s="1193"/>
      <c r="F71" s="2"/>
      <c r="G71" s="2"/>
      <c r="H71" s="2"/>
      <c r="I71" s="2"/>
      <c r="J71" s="2"/>
      <c r="K71" s="2"/>
      <c r="L71" s="2"/>
      <c r="M71" s="2"/>
      <c r="N71" s="2"/>
      <c r="O71" s="2"/>
      <c r="P71" s="2"/>
      <c r="Q71" s="2"/>
      <c r="R71" s="2"/>
      <c r="S71" s="2"/>
    </row>
    <row r="72" spans="1:19" ht="15.75" thickBot="1">
      <c r="A72" s="1145" t="s">
        <v>69</v>
      </c>
      <c r="B72" s="1146">
        <f>K36</f>
        <v>164880</v>
      </c>
      <c r="F72" s="2"/>
      <c r="G72" s="2"/>
      <c r="H72" s="2"/>
      <c r="I72" s="2"/>
      <c r="J72" s="2"/>
      <c r="K72" s="2"/>
      <c r="L72" s="2"/>
      <c r="M72" s="2"/>
      <c r="N72" s="2"/>
      <c r="O72" s="2"/>
      <c r="P72" s="2"/>
      <c r="Q72" s="2"/>
      <c r="R72" s="2"/>
      <c r="S72" s="2"/>
    </row>
    <row r="73" spans="1:19" ht="15.75" thickTop="1"/>
  </sheetData>
  <mergeCells count="41">
    <mergeCell ref="A40:B40"/>
    <mergeCell ref="A44:B44"/>
    <mergeCell ref="A48:B48"/>
    <mergeCell ref="A52:B52"/>
    <mergeCell ref="A56:B56"/>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4:I4"/>
    <mergeCell ref="J4:K4"/>
    <mergeCell ref="L4:M4"/>
    <mergeCell ref="N4:O4"/>
    <mergeCell ref="P4:Q4"/>
    <mergeCell ref="R4:S4"/>
    <mergeCell ref="H5:I5"/>
    <mergeCell ref="J5:K5"/>
    <mergeCell ref="L5:M5"/>
    <mergeCell ref="N5:O5"/>
    <mergeCell ref="P5:Q5"/>
  </mergeCells>
  <conditionalFormatting sqref="H11:H19">
    <cfRule type="cellIs" dxfId="321" priority="9" operator="equal">
      <formula>"X"</formula>
    </cfRule>
    <cfRule type="cellIs" dxfId="320" priority="10" operator="equal">
      <formula>"I"</formula>
    </cfRule>
  </conditionalFormatting>
  <conditionalFormatting sqref="J11:J19">
    <cfRule type="cellIs" dxfId="319" priority="3" operator="equal">
      <formula>"X"</formula>
    </cfRule>
    <cfRule type="cellIs" dxfId="318" priority="4" operator="equal">
      <formula>"I"</formula>
    </cfRule>
  </conditionalFormatting>
  <conditionalFormatting sqref="L11:L19">
    <cfRule type="cellIs" dxfId="317" priority="1" operator="equal">
      <formula>"X"</formula>
    </cfRule>
    <cfRule type="cellIs" dxfId="316" priority="2" operator="equal">
      <formula>"I"</formula>
    </cfRule>
  </conditionalFormatting>
  <conditionalFormatting sqref="N11:N19 P11:P19 R11:R19 H21:H31 J21:J31 L21:L31 N21:N31 P21:P31 R21:R31">
    <cfRule type="cellIs" dxfId="315" priority="23" operator="equal">
      <formula>"X"</formula>
    </cfRule>
    <cfRule type="cellIs" dxfId="314" priority="24" operator="equal">
      <formula>"I"</formula>
    </cfRule>
  </conditionalFormatting>
  <hyperlinks>
    <hyperlink ref="B4" location="'Cost Summary'!A1" display="BACK TO SUMMARY SHEET" xr:uid="{8135DB78-2858-431C-912B-06707BA9A8AD}"/>
    <hyperlink ref="H8:I8" r:id="rId1" display="info@raiseshineblinds.com" xr:uid="{7867B6AE-FABF-4C4D-83C8-C82D3D2C6761}"/>
    <hyperlink ref="J8:K8" r:id="rId2" display="a.lowry@cqinsulation.com" xr:uid="{40C002B0-745B-44D1-B923-511BD9BDC83D}"/>
    <hyperlink ref="L8:M8" r:id="rId3" display="mbretz@contextureUSA.com" xr:uid="{123D3679-F63D-4E3F-BD1F-98ECB26161A7}"/>
  </hyperlinks>
  <pageMargins left="0.7" right="0.7" top="0.75" bottom="0.75" header="0.3" footer="0.3"/>
  <pageSetup orientation="portrait" r:id="rId4"/>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254F0-69A2-4944-8DCA-6BCC595E3B53}">
  <sheetPr>
    <tabColor theme="7" tint="0.39997558519241921"/>
  </sheetPr>
  <dimension ref="A1:BC104"/>
  <sheetViews>
    <sheetView zoomScale="90" zoomScaleNormal="90" workbookViewId="0">
      <pane xSplit="2" ySplit="10" topLeftCell="K33" activePane="bottomRight" state="frozen"/>
      <selection pane="topRight" activeCell="C1" sqref="C1"/>
      <selection pane="bottomLeft" activeCell="A21" sqref="A21"/>
      <selection pane="bottomRight" activeCell="V9" sqref="V9:W9"/>
    </sheetView>
  </sheetViews>
  <sheetFormatPr defaultRowHeight="15"/>
  <cols>
    <col min="1" max="1" width="11" customWidth="1"/>
    <col min="2" max="2" width="70.7109375" style="1" customWidth="1"/>
    <col min="3" max="3" width="12.7109375" style="2" customWidth="1"/>
    <col min="4" max="4" width="8.7109375" style="2" customWidth="1"/>
    <col min="5" max="5" width="7.7109375" style="2" customWidth="1"/>
    <col min="6" max="6" width="12.7109375" style="281" customWidth="1"/>
    <col min="7" max="7" width="15.7109375" style="270" customWidth="1"/>
    <col min="8" max="8" width="8" style="270" customWidth="1"/>
    <col min="9" max="9" width="15.7109375" style="270" customWidth="1"/>
    <col min="10" max="10" width="7.85546875" style="270" customWidth="1"/>
    <col min="11" max="11" width="15.7109375" style="270" customWidth="1"/>
    <col min="12" max="12" width="7.140625" style="270" customWidth="1"/>
    <col min="13" max="13" width="15.7109375" style="270" customWidth="1"/>
    <col min="14" max="14" width="6.140625" style="270" customWidth="1"/>
    <col min="15" max="15" width="15.7109375" style="270" customWidth="1"/>
    <col min="16" max="16" width="8" style="270" customWidth="1"/>
    <col min="17" max="17" width="15.7109375" style="270" customWidth="1"/>
    <col min="18" max="18" width="8" style="270" customWidth="1"/>
    <col min="19" max="19" width="15.7109375" style="270" customWidth="1"/>
    <col min="20" max="20" width="7.85546875" style="270" customWidth="1"/>
    <col min="21" max="21" width="15.7109375" style="270" customWidth="1"/>
    <col min="22" max="22" width="8.42578125" style="270" customWidth="1"/>
    <col min="23" max="23" width="15.7109375" style="270" customWidth="1"/>
    <col min="24" max="24" width="8" style="270" customWidth="1"/>
    <col min="25" max="25" width="15.7109375" style="270" customWidth="1"/>
    <col min="26" max="26" width="7.42578125" style="270" customWidth="1"/>
    <col min="27" max="27" width="15.7109375" style="270" customWidth="1"/>
    <col min="29" max="29" width="19.85546875" customWidth="1"/>
    <col min="31" max="31" width="15.42578125" customWidth="1"/>
    <col min="33" max="33" width="10.140625" bestFit="1" customWidth="1"/>
    <col min="34" max="34" width="14" bestFit="1" customWidth="1"/>
    <col min="35" max="35" width="13.28515625" bestFit="1" customWidth="1"/>
  </cols>
  <sheetData>
    <row r="1" spans="1:32">
      <c r="D1" s="260"/>
      <c r="E1" s="68"/>
      <c r="F1" s="275"/>
      <c r="G1" s="269" t="s">
        <v>679</v>
      </c>
      <c r="Q1" s="898"/>
      <c r="V1" s="2386"/>
      <c r="W1" s="2386"/>
      <c r="AB1" s="270"/>
      <c r="AC1" s="270"/>
      <c r="AF1" s="394"/>
    </row>
    <row r="2" spans="1:32">
      <c r="D2" s="260"/>
      <c r="E2" s="68"/>
      <c r="F2" s="276" t="s">
        <v>680</v>
      </c>
      <c r="G2" s="269" t="s">
        <v>681</v>
      </c>
      <c r="H2" s="2386"/>
      <c r="I2" s="2386"/>
      <c r="J2" s="281"/>
      <c r="K2" s="281"/>
      <c r="L2" s="2386"/>
      <c r="M2" s="2386"/>
      <c r="N2" s="281"/>
      <c r="O2" s="281"/>
      <c r="P2" s="2386"/>
      <c r="Q2" s="2386"/>
      <c r="R2" s="281"/>
      <c r="S2" s="281"/>
      <c r="T2" s="2386"/>
      <c r="U2" s="2386"/>
      <c r="V2" s="2386"/>
      <c r="W2" s="2386"/>
      <c r="Z2" s="2386"/>
      <c r="AA2" s="2386"/>
      <c r="AB2" s="2386"/>
      <c r="AC2" s="2386"/>
      <c r="AF2" s="394"/>
    </row>
    <row r="3" spans="1:32" ht="15.75" thickBot="1">
      <c r="D3" s="260"/>
      <c r="E3" s="68"/>
      <c r="F3" s="277" t="s">
        <v>682</v>
      </c>
      <c r="G3" s="269" t="s">
        <v>683</v>
      </c>
      <c r="H3" s="2345" t="s">
        <v>1924</v>
      </c>
      <c r="I3" s="2345"/>
      <c r="J3" s="2345" t="s">
        <v>1925</v>
      </c>
      <c r="K3" s="2345"/>
      <c r="L3" s="2345"/>
      <c r="M3" s="2345"/>
      <c r="N3" s="2345" t="s">
        <v>1926</v>
      </c>
      <c r="O3" s="2345"/>
      <c r="P3" s="2345" t="s">
        <v>1924</v>
      </c>
      <c r="Q3" s="2345"/>
      <c r="R3" s="2345" t="s">
        <v>1927</v>
      </c>
      <c r="S3" s="2345"/>
      <c r="T3" s="2345"/>
      <c r="U3" s="2345"/>
      <c r="V3" s="2345"/>
      <c r="W3" s="2345"/>
      <c r="X3" s="2345" t="s">
        <v>1924</v>
      </c>
      <c r="Y3" s="2345"/>
      <c r="Z3" s="2345" t="s">
        <v>1928</v>
      </c>
      <c r="AA3" s="2345"/>
      <c r="AB3" s="2345"/>
      <c r="AC3" s="2345"/>
      <c r="AF3" s="394"/>
    </row>
    <row r="4" spans="1:32" ht="15.75" thickBot="1">
      <c r="B4" s="262" t="s">
        <v>684</v>
      </c>
      <c r="D4" s="260"/>
      <c r="E4" s="68"/>
      <c r="F4" s="278"/>
      <c r="G4" s="270" t="s">
        <v>685</v>
      </c>
      <c r="H4" s="2319" t="s">
        <v>686</v>
      </c>
      <c r="I4" s="2320"/>
      <c r="J4" s="2319" t="s">
        <v>686</v>
      </c>
      <c r="K4" s="2320"/>
      <c r="L4" s="2319" t="s">
        <v>687</v>
      </c>
      <c r="M4" s="2320"/>
      <c r="N4" s="2319" t="s">
        <v>687</v>
      </c>
      <c r="O4" s="2320"/>
      <c r="P4" s="2323" t="s">
        <v>688</v>
      </c>
      <c r="Q4" s="2324"/>
      <c r="R4" s="2323" t="s">
        <v>688</v>
      </c>
      <c r="S4" s="2324"/>
      <c r="T4" s="2319" t="s">
        <v>689</v>
      </c>
      <c r="U4" s="2320"/>
      <c r="V4" s="2319" t="s">
        <v>690</v>
      </c>
      <c r="W4" s="2320"/>
      <c r="X4" s="2319" t="s">
        <v>691</v>
      </c>
      <c r="Y4" s="2320"/>
      <c r="Z4" s="2319" t="s">
        <v>806</v>
      </c>
      <c r="AA4" s="2320"/>
      <c r="AB4" s="2319" t="s">
        <v>806</v>
      </c>
      <c r="AC4" s="2320"/>
      <c r="AF4" s="394"/>
    </row>
    <row r="5" spans="1:32" ht="15.75" thickTop="1">
      <c r="A5" s="292" t="s">
        <v>692</v>
      </c>
      <c r="B5" s="299" t="str">
        <f>'Area Calculations'!B4</f>
        <v>ERAU Residential Hall &amp; Garage Building</v>
      </c>
      <c r="C5" s="294"/>
      <c r="D5" s="263"/>
      <c r="E5" s="264"/>
      <c r="F5" s="279"/>
      <c r="G5" s="271" t="s">
        <v>693</v>
      </c>
      <c r="H5" s="2313" t="s">
        <v>1127</v>
      </c>
      <c r="I5" s="2314"/>
      <c r="J5" s="2313" t="s">
        <v>1127</v>
      </c>
      <c r="K5" s="2314"/>
      <c r="L5" s="2313" t="s">
        <v>1929</v>
      </c>
      <c r="M5" s="2314"/>
      <c r="N5" s="2313" t="s">
        <v>1929</v>
      </c>
      <c r="O5" s="2314"/>
      <c r="P5" s="2313" t="s">
        <v>253</v>
      </c>
      <c r="Q5" s="2314"/>
      <c r="R5" s="2313" t="s">
        <v>253</v>
      </c>
      <c r="S5" s="2314"/>
      <c r="T5" s="2333" t="s">
        <v>1930</v>
      </c>
      <c r="U5" s="2334"/>
      <c r="V5" s="2313" t="s">
        <v>1128</v>
      </c>
      <c r="W5" s="2314"/>
      <c r="X5" s="2333" t="s">
        <v>1931</v>
      </c>
      <c r="Y5" s="2334"/>
      <c r="Z5" s="2313" t="s">
        <v>1129</v>
      </c>
      <c r="AA5" s="2314"/>
      <c r="AB5" s="2313" t="s">
        <v>1932</v>
      </c>
      <c r="AC5" s="2314"/>
      <c r="AF5" s="394"/>
    </row>
    <row r="6" spans="1:32">
      <c r="A6" s="1082" t="s">
        <v>700</v>
      </c>
      <c r="B6" s="1196" t="s">
        <v>347</v>
      </c>
      <c r="C6" s="415"/>
      <c r="D6" s="416"/>
      <c r="E6" s="417"/>
      <c r="F6" s="418"/>
      <c r="G6" s="419" t="s">
        <v>702</v>
      </c>
      <c r="H6" s="2313" t="s">
        <v>1131</v>
      </c>
      <c r="I6" s="2314"/>
      <c r="J6" s="2313" t="s">
        <v>1131</v>
      </c>
      <c r="K6" s="2314"/>
      <c r="L6" s="2313" t="s">
        <v>1933</v>
      </c>
      <c r="M6" s="2314"/>
      <c r="N6" s="2313" t="s">
        <v>1933</v>
      </c>
      <c r="O6" s="2314"/>
      <c r="P6" s="2313" t="s">
        <v>1934</v>
      </c>
      <c r="Q6" s="2314"/>
      <c r="R6" s="2313" t="s">
        <v>1934</v>
      </c>
      <c r="S6" s="2314"/>
      <c r="T6" s="2313" t="s">
        <v>1935</v>
      </c>
      <c r="U6" s="2314"/>
      <c r="V6" s="2313" t="s">
        <v>1132</v>
      </c>
      <c r="W6" s="2314"/>
      <c r="X6" s="2313" t="s">
        <v>1936</v>
      </c>
      <c r="Y6" s="2314"/>
      <c r="Z6" s="2313" t="s">
        <v>1133</v>
      </c>
      <c r="AA6" s="2314"/>
      <c r="AB6" s="2313" t="s">
        <v>1937</v>
      </c>
      <c r="AC6" s="2314"/>
      <c r="AF6" s="394"/>
    </row>
    <row r="7" spans="1:32">
      <c r="A7" s="1082" t="s">
        <v>706</v>
      </c>
      <c r="B7" s="1197" t="s">
        <v>1938</v>
      </c>
      <c r="C7" s="415"/>
      <c r="D7" s="416"/>
      <c r="E7" s="417"/>
      <c r="F7" s="418"/>
      <c r="G7" s="829" t="s">
        <v>708</v>
      </c>
      <c r="H7" s="2313" t="s">
        <v>1135</v>
      </c>
      <c r="I7" s="2314"/>
      <c r="J7" s="2313" t="s">
        <v>1135</v>
      </c>
      <c r="K7" s="2314"/>
      <c r="L7" s="2313" t="s">
        <v>1939</v>
      </c>
      <c r="M7" s="2314"/>
      <c r="N7" s="2313" t="s">
        <v>1939</v>
      </c>
      <c r="O7" s="2314"/>
      <c r="P7" s="2313" t="s">
        <v>1940</v>
      </c>
      <c r="Q7" s="2314"/>
      <c r="R7" s="2313" t="s">
        <v>1940</v>
      </c>
      <c r="S7" s="2314"/>
      <c r="T7" s="2313" t="s">
        <v>1941</v>
      </c>
      <c r="U7" s="2314"/>
      <c r="V7" s="2313" t="s">
        <v>1136</v>
      </c>
      <c r="W7" s="2314"/>
      <c r="X7" s="2313" t="s">
        <v>1942</v>
      </c>
      <c r="Y7" s="2314"/>
      <c r="Z7" s="2313" t="s">
        <v>1137</v>
      </c>
      <c r="AA7" s="2314"/>
      <c r="AB7" s="2313"/>
      <c r="AC7" s="2314"/>
      <c r="AF7" s="394"/>
    </row>
    <row r="8" spans="1:32">
      <c r="A8" s="1082" t="s">
        <v>712</v>
      </c>
      <c r="B8" s="1198"/>
      <c r="C8" s="415"/>
      <c r="D8" s="416"/>
      <c r="E8" s="417"/>
      <c r="F8" s="418"/>
      <c r="G8" s="829" t="s">
        <v>713</v>
      </c>
      <c r="H8" s="2327" t="s">
        <v>1138</v>
      </c>
      <c r="I8" s="2346"/>
      <c r="J8" s="2327" t="s">
        <v>1138</v>
      </c>
      <c r="K8" s="2346"/>
      <c r="L8" s="2327" t="s">
        <v>1943</v>
      </c>
      <c r="M8" s="2346"/>
      <c r="N8" s="2327" t="s">
        <v>1943</v>
      </c>
      <c r="O8" s="2346"/>
      <c r="P8" s="2327" t="s">
        <v>1944</v>
      </c>
      <c r="Q8" s="2346"/>
      <c r="R8" s="2327" t="s">
        <v>1944</v>
      </c>
      <c r="S8" s="2346"/>
      <c r="T8" s="2343" t="s">
        <v>1945</v>
      </c>
      <c r="U8" s="2344"/>
      <c r="V8" s="2327" t="s">
        <v>1139</v>
      </c>
      <c r="W8" s="2346"/>
      <c r="X8" s="2343" t="s">
        <v>1946</v>
      </c>
      <c r="Y8" s="2344"/>
      <c r="Z8" s="2327" t="s">
        <v>1140</v>
      </c>
      <c r="AA8" s="2346"/>
      <c r="AB8" s="2327" t="s">
        <v>1947</v>
      </c>
      <c r="AC8" s="2346"/>
      <c r="AF8" s="394"/>
    </row>
    <row r="9" spans="1:32" ht="15.75" thickBot="1">
      <c r="A9" s="420"/>
      <c r="B9" s="421"/>
      <c r="C9" s="23"/>
      <c r="D9" s="265"/>
      <c r="E9" s="266"/>
      <c r="F9" s="283"/>
      <c r="G9" s="284" t="s">
        <v>717</v>
      </c>
      <c r="H9" s="2317">
        <f>I67</f>
        <v>762232.2</v>
      </c>
      <c r="I9" s="2318"/>
      <c r="J9" s="2317">
        <f>K67</f>
        <v>756805.2</v>
      </c>
      <c r="K9" s="2318"/>
      <c r="L9" s="2317">
        <f>M67</f>
        <v>781208.2</v>
      </c>
      <c r="M9" s="2318"/>
      <c r="N9" s="2317">
        <f>O67</f>
        <v>705858.20000000007</v>
      </c>
      <c r="O9" s="2318"/>
      <c r="P9" s="2330">
        <f>Q67</f>
        <v>785367.17940000002</v>
      </c>
      <c r="Q9" s="2330"/>
      <c r="R9" s="2330">
        <f>S67</f>
        <v>822608.77094999992</v>
      </c>
      <c r="S9" s="2330"/>
      <c r="T9" s="2317">
        <f>U67</f>
        <v>863445.75</v>
      </c>
      <c r="U9" s="2318"/>
      <c r="V9" s="2317">
        <f>W67</f>
        <v>873292.74</v>
      </c>
      <c r="W9" s="2318"/>
      <c r="X9" s="2317">
        <f>Y67</f>
        <v>939037.1566499999</v>
      </c>
      <c r="Y9" s="2318"/>
      <c r="Z9" s="2317">
        <f>AA67</f>
        <v>1653952.5597000001</v>
      </c>
      <c r="AA9" s="2318"/>
      <c r="AB9" s="2317">
        <f>AC67</f>
        <v>826017.49979999999</v>
      </c>
      <c r="AC9" s="2318"/>
      <c r="AF9" s="394"/>
    </row>
    <row r="10" spans="1:32" s="267" customFormat="1" ht="32.1" customHeight="1" thickBot="1">
      <c r="A10" s="293"/>
      <c r="B10" s="300"/>
      <c r="C10" s="295" t="s">
        <v>718</v>
      </c>
      <c r="D10" s="287" t="s">
        <v>719</v>
      </c>
      <c r="E10" s="286" t="s">
        <v>720</v>
      </c>
      <c r="F10" s="288" t="s">
        <v>721</v>
      </c>
      <c r="G10" s="289" t="s">
        <v>722</v>
      </c>
      <c r="H10" s="290" t="s">
        <v>723</v>
      </c>
      <c r="I10" s="290" t="s">
        <v>724</v>
      </c>
      <c r="J10" s="290"/>
      <c r="K10" s="290"/>
      <c r="L10" s="290" t="s">
        <v>723</v>
      </c>
      <c r="M10" s="291" t="s">
        <v>724</v>
      </c>
      <c r="N10" s="650"/>
      <c r="O10" s="650"/>
      <c r="P10" s="290" t="s">
        <v>723</v>
      </c>
      <c r="Q10" s="290" t="s">
        <v>724</v>
      </c>
      <c r="R10" s="290"/>
      <c r="S10" s="290"/>
      <c r="T10" s="290" t="s">
        <v>723</v>
      </c>
      <c r="U10" s="290" t="s">
        <v>724</v>
      </c>
      <c r="V10" s="290" t="s">
        <v>723</v>
      </c>
      <c r="W10" s="290" t="s">
        <v>724</v>
      </c>
      <c r="X10" s="650" t="s">
        <v>723</v>
      </c>
      <c r="Y10" s="653" t="s">
        <v>724</v>
      </c>
      <c r="Z10" s="290" t="s">
        <v>723</v>
      </c>
      <c r="AA10" s="291" t="s">
        <v>724</v>
      </c>
      <c r="AB10" s="290" t="s">
        <v>723</v>
      </c>
      <c r="AC10" s="291" t="s">
        <v>724</v>
      </c>
      <c r="AF10" s="649"/>
    </row>
    <row r="11" spans="1:32" ht="15.75">
      <c r="A11" s="1589"/>
      <c r="B11" s="1590" t="s">
        <v>725</v>
      </c>
      <c r="C11" s="1398"/>
      <c r="D11" s="1740"/>
      <c r="E11" s="1740"/>
      <c r="F11" s="1744"/>
      <c r="G11" s="1781"/>
      <c r="H11" s="1591"/>
      <c r="I11" s="285"/>
      <c r="J11" s="1591"/>
      <c r="K11" s="352"/>
      <c r="L11" s="1264"/>
      <c r="M11" s="1783"/>
      <c r="N11" s="1783"/>
      <c r="O11" s="1783"/>
      <c r="P11" s="1591"/>
      <c r="Q11" s="1783"/>
      <c r="R11" s="1783"/>
      <c r="S11" s="1783"/>
      <c r="T11" s="1591"/>
      <c r="U11" s="1782"/>
      <c r="V11" s="1591"/>
      <c r="W11" s="1242"/>
      <c r="X11" s="1793"/>
      <c r="Y11" s="1794"/>
      <c r="Z11" s="1591"/>
      <c r="AA11" s="1783"/>
      <c r="AB11" s="1591"/>
      <c r="AC11" s="1783"/>
    </row>
    <row r="12" spans="1:32">
      <c r="A12" s="1589"/>
      <c r="B12" s="1263" t="s">
        <v>726</v>
      </c>
      <c r="C12" s="446"/>
      <c r="D12" s="422"/>
      <c r="E12" s="422"/>
      <c r="F12" s="418"/>
      <c r="G12" s="423"/>
      <c r="H12" s="1264" t="s">
        <v>727</v>
      </c>
      <c r="I12" s="1783"/>
      <c r="J12" s="1264" t="s">
        <v>727</v>
      </c>
      <c r="K12" s="1783"/>
      <c r="L12" s="1264" t="s">
        <v>727</v>
      </c>
      <c r="M12" s="1783"/>
      <c r="N12" s="1264" t="s">
        <v>727</v>
      </c>
      <c r="O12" s="1783"/>
      <c r="P12" s="1264" t="s">
        <v>727</v>
      </c>
      <c r="Q12" s="1783"/>
      <c r="R12" s="1264" t="s">
        <v>727</v>
      </c>
      <c r="S12" s="1783"/>
      <c r="T12" s="1264" t="s">
        <v>727</v>
      </c>
      <c r="U12" s="1782"/>
      <c r="V12" s="1264" t="s">
        <v>727</v>
      </c>
      <c r="W12" s="1242"/>
      <c r="X12" s="1795" t="s">
        <v>727</v>
      </c>
      <c r="Y12" s="1794"/>
      <c r="Z12" s="1264" t="s">
        <v>727</v>
      </c>
      <c r="AA12" s="1783"/>
      <c r="AB12" s="1264" t="s">
        <v>727</v>
      </c>
      <c r="AC12" s="1783"/>
    </row>
    <row r="13" spans="1:32">
      <c r="A13" s="1097"/>
      <c r="B13" s="1263" t="s">
        <v>728</v>
      </c>
      <c r="C13" s="446"/>
      <c r="D13" s="422"/>
      <c r="E13" s="422"/>
      <c r="F13" s="418"/>
      <c r="G13" s="423"/>
      <c r="H13" s="1264" t="s">
        <v>727</v>
      </c>
      <c r="I13" s="1783"/>
      <c r="J13" s="1264" t="s">
        <v>727</v>
      </c>
      <c r="K13" s="1783"/>
      <c r="L13" s="1264" t="s">
        <v>727</v>
      </c>
      <c r="M13" s="1783"/>
      <c r="N13" s="1264" t="s">
        <v>727</v>
      </c>
      <c r="O13" s="1783"/>
      <c r="P13" s="1264" t="s">
        <v>727</v>
      </c>
      <c r="Q13" s="1783"/>
      <c r="R13" s="1264" t="s">
        <v>727</v>
      </c>
      <c r="S13" s="1783"/>
      <c r="T13" s="1264" t="s">
        <v>727</v>
      </c>
      <c r="U13" s="1782"/>
      <c r="V13" s="1264" t="s">
        <v>727</v>
      </c>
      <c r="W13" s="1242"/>
      <c r="X13" s="1795" t="s">
        <v>727</v>
      </c>
      <c r="Y13" s="1794"/>
      <c r="Z13" s="1264" t="s">
        <v>727</v>
      </c>
      <c r="AA13" s="1783"/>
      <c r="AB13" s="1264" t="s">
        <v>727</v>
      </c>
      <c r="AC13" s="1783"/>
    </row>
    <row r="14" spans="1:32">
      <c r="A14" s="1589"/>
      <c r="B14" s="1265" t="s">
        <v>729</v>
      </c>
      <c r="C14" s="446"/>
      <c r="D14" s="422"/>
      <c r="E14" s="422"/>
      <c r="F14" s="418"/>
      <c r="G14" s="423"/>
      <c r="H14" s="1264" t="s">
        <v>730</v>
      </c>
      <c r="I14" s="1796" t="s">
        <v>1948</v>
      </c>
      <c r="J14" s="1264" t="s">
        <v>730</v>
      </c>
      <c r="K14" s="1796" t="s">
        <v>1948</v>
      </c>
      <c r="L14" s="1264" t="s">
        <v>730</v>
      </c>
      <c r="M14" s="1783" t="s">
        <v>1949</v>
      </c>
      <c r="N14" s="1264" t="s">
        <v>730</v>
      </c>
      <c r="O14" s="1783" t="s">
        <v>1949</v>
      </c>
      <c r="P14" s="1264" t="s">
        <v>730</v>
      </c>
      <c r="Q14" s="1796" t="s">
        <v>1948</v>
      </c>
      <c r="R14" s="1264" t="s">
        <v>730</v>
      </c>
      <c r="S14" s="1796" t="s">
        <v>1948</v>
      </c>
      <c r="T14" s="1264" t="s">
        <v>730</v>
      </c>
      <c r="U14" s="1796" t="s">
        <v>1948</v>
      </c>
      <c r="V14" s="1264" t="s">
        <v>730</v>
      </c>
      <c r="W14" s="1242" t="s">
        <v>1950</v>
      </c>
      <c r="X14" s="1795" t="s">
        <v>730</v>
      </c>
      <c r="Y14" s="1794" t="s">
        <v>1813</v>
      </c>
      <c r="Z14" s="1264" t="s">
        <v>730</v>
      </c>
      <c r="AA14" s="1783"/>
      <c r="AB14" s="1264" t="s">
        <v>730</v>
      </c>
      <c r="AC14" s="1783"/>
    </row>
    <row r="15" spans="1:32">
      <c r="A15" s="1097"/>
      <c r="B15" s="1265" t="s">
        <v>731</v>
      </c>
      <c r="C15" s="446"/>
      <c r="D15" s="422"/>
      <c r="E15" s="422"/>
      <c r="F15" s="418"/>
      <c r="G15" s="423"/>
      <c r="H15" s="1264" t="s">
        <v>727</v>
      </c>
      <c r="I15" s="1782"/>
      <c r="J15" s="1264" t="s">
        <v>727</v>
      </c>
      <c r="K15" s="1782"/>
      <c r="L15" s="1264" t="s">
        <v>727</v>
      </c>
      <c r="M15" s="1782"/>
      <c r="N15" s="1264" t="s">
        <v>727</v>
      </c>
      <c r="O15" s="1782"/>
      <c r="P15" s="1264" t="s">
        <v>727</v>
      </c>
      <c r="Q15" s="1782"/>
      <c r="R15" s="1264" t="s">
        <v>727</v>
      </c>
      <c r="S15" s="1782"/>
      <c r="T15" s="1264" t="s">
        <v>727</v>
      </c>
      <c r="U15" s="1782"/>
      <c r="V15" s="1264" t="s">
        <v>727</v>
      </c>
      <c r="W15" s="1797"/>
      <c r="X15" s="1795" t="s">
        <v>727</v>
      </c>
      <c r="Y15" s="1798"/>
      <c r="Z15" s="1264" t="s">
        <v>727</v>
      </c>
      <c r="AA15" s="1782"/>
      <c r="AB15" s="1264" t="s">
        <v>727</v>
      </c>
      <c r="AC15" s="1782"/>
    </row>
    <row r="16" spans="1:32">
      <c r="A16" s="1589"/>
      <c r="B16" s="1265" t="s">
        <v>732</v>
      </c>
      <c r="C16" s="446"/>
      <c r="D16" s="422"/>
      <c r="E16" s="422"/>
      <c r="F16" s="418"/>
      <c r="G16" s="423"/>
      <c r="H16" s="1264" t="s">
        <v>727</v>
      </c>
      <c r="I16" s="1783"/>
      <c r="J16" s="1264" t="s">
        <v>727</v>
      </c>
      <c r="K16" s="1783"/>
      <c r="L16" s="1264" t="s">
        <v>727</v>
      </c>
      <c r="M16" s="1783"/>
      <c r="N16" s="1264" t="s">
        <v>727</v>
      </c>
      <c r="O16" s="1783"/>
      <c r="P16" s="1264" t="s">
        <v>727</v>
      </c>
      <c r="Q16" s="1783"/>
      <c r="R16" s="1264" t="s">
        <v>727</v>
      </c>
      <c r="S16" s="1783"/>
      <c r="T16" s="1264" t="s">
        <v>727</v>
      </c>
      <c r="U16" s="1782"/>
      <c r="V16" s="1264" t="s">
        <v>727</v>
      </c>
      <c r="W16" s="1242"/>
      <c r="X16" s="1795" t="s">
        <v>727</v>
      </c>
      <c r="Y16" s="1794"/>
      <c r="Z16" s="1264" t="s">
        <v>727</v>
      </c>
      <c r="AA16" s="1783"/>
      <c r="AB16" s="1264" t="s">
        <v>727</v>
      </c>
      <c r="AC16" s="1783"/>
    </row>
    <row r="17" spans="1:55">
      <c r="A17" s="1097"/>
      <c r="B17" s="1265" t="s">
        <v>733</v>
      </c>
      <c r="C17" s="446"/>
      <c r="D17" s="422"/>
      <c r="E17" s="422"/>
      <c r="F17" s="418"/>
      <c r="G17" s="423"/>
      <c r="H17" s="1264" t="s">
        <v>727</v>
      </c>
      <c r="I17" s="1783"/>
      <c r="J17" s="1264" t="s">
        <v>727</v>
      </c>
      <c r="K17" s="1783"/>
      <c r="L17" s="1264" t="s">
        <v>727</v>
      </c>
      <c r="M17" s="1783"/>
      <c r="N17" s="1264" t="s">
        <v>727</v>
      </c>
      <c r="O17" s="1783"/>
      <c r="P17" s="1264" t="s">
        <v>727</v>
      </c>
      <c r="Q17" s="1783"/>
      <c r="R17" s="1264" t="s">
        <v>727</v>
      </c>
      <c r="S17" s="1783"/>
      <c r="T17" s="1264" t="s">
        <v>727</v>
      </c>
      <c r="U17" s="1782"/>
      <c r="V17" s="1264" t="s">
        <v>727</v>
      </c>
      <c r="W17" s="1242"/>
      <c r="X17" s="1795" t="s">
        <v>727</v>
      </c>
      <c r="Y17" s="1794"/>
      <c r="Z17" s="1264" t="s">
        <v>730</v>
      </c>
      <c r="AA17" s="1783"/>
      <c r="AB17" s="1264" t="s">
        <v>727</v>
      </c>
      <c r="AC17" s="1783"/>
    </row>
    <row r="18" spans="1:55">
      <c r="A18" s="1589"/>
      <c r="B18" s="534" t="s">
        <v>734</v>
      </c>
      <c r="C18" s="446"/>
      <c r="D18" s="422"/>
      <c r="E18" s="422"/>
      <c r="F18" s="418"/>
      <c r="G18" s="423"/>
      <c r="H18" s="1264" t="s">
        <v>730</v>
      </c>
      <c r="I18" s="1783" t="s">
        <v>917</v>
      </c>
      <c r="J18" s="1264" t="s">
        <v>730</v>
      </c>
      <c r="K18" s="1783" t="s">
        <v>917</v>
      </c>
      <c r="L18" s="1264" t="s">
        <v>730</v>
      </c>
      <c r="M18" s="1783" t="s">
        <v>917</v>
      </c>
      <c r="N18" s="1264" t="s">
        <v>730</v>
      </c>
      <c r="O18" s="1783" t="s">
        <v>917</v>
      </c>
      <c r="P18" s="1264" t="s">
        <v>730</v>
      </c>
      <c r="Q18" s="1783" t="s">
        <v>838</v>
      </c>
      <c r="R18" s="1264" t="s">
        <v>730</v>
      </c>
      <c r="S18" s="1783" t="s">
        <v>838</v>
      </c>
      <c r="T18" s="1264" t="s">
        <v>730</v>
      </c>
      <c r="U18" s="1783" t="s">
        <v>838</v>
      </c>
      <c r="V18" s="1264" t="s">
        <v>727</v>
      </c>
      <c r="W18" s="1242" t="s">
        <v>1780</v>
      </c>
      <c r="X18" s="1795" t="s">
        <v>730</v>
      </c>
      <c r="Y18" s="1794"/>
      <c r="Z18" s="1264" t="s">
        <v>730</v>
      </c>
      <c r="AA18" s="1783"/>
      <c r="AB18" s="1264" t="s">
        <v>730</v>
      </c>
      <c r="AC18" s="1783" t="s">
        <v>1951</v>
      </c>
    </row>
    <row r="19" spans="1:55">
      <c r="A19" s="1589"/>
      <c r="B19" s="1154" t="s">
        <v>736</v>
      </c>
      <c r="C19" s="446"/>
      <c r="D19" s="422"/>
      <c r="E19" s="422"/>
      <c r="F19" s="418"/>
      <c r="G19" s="423"/>
      <c r="H19" s="1264"/>
      <c r="I19" s="1783"/>
      <c r="J19" s="1783"/>
      <c r="K19" s="1783"/>
      <c r="L19" s="1264"/>
      <c r="M19" s="1783"/>
      <c r="N19" s="1783"/>
      <c r="O19" s="1783"/>
      <c r="P19" s="1264"/>
      <c r="Q19" s="1783"/>
      <c r="R19" s="1783"/>
      <c r="S19" s="1783"/>
      <c r="T19" s="1264"/>
      <c r="U19" s="1782"/>
      <c r="V19" s="1264"/>
      <c r="W19" s="1242"/>
      <c r="X19" s="1795"/>
      <c r="Y19" s="1794"/>
      <c r="Z19" s="1264"/>
      <c r="AA19" s="1783"/>
      <c r="AB19" s="1264"/>
      <c r="AC19" s="1783"/>
    </row>
    <row r="20" spans="1:55">
      <c r="A20" s="1097"/>
      <c r="B20" s="364" t="s">
        <v>737</v>
      </c>
      <c r="C20" s="447"/>
      <c r="D20" s="425"/>
      <c r="E20" s="425"/>
      <c r="F20" s="426"/>
      <c r="G20" s="427"/>
      <c r="H20" s="1156"/>
      <c r="I20" s="1787">
        <f>376840+5400</f>
        <v>382240</v>
      </c>
      <c r="J20" s="1787"/>
      <c r="K20" s="1787">
        <f>359910</f>
        <v>359910</v>
      </c>
      <c r="L20" s="1156"/>
      <c r="M20" s="1787">
        <f>308679.68+5350+7749.91</f>
        <v>321779.58999999997</v>
      </c>
      <c r="N20" s="1787"/>
      <c r="O20" s="1787">
        <f>308679.68+3157.54+10071.07</f>
        <v>321908.28999999998</v>
      </c>
      <c r="P20" s="1156"/>
      <c r="Q20" s="1787">
        <v>353759.88</v>
      </c>
      <c r="R20" s="1787"/>
      <c r="S20" s="1787">
        <v>819018.73</v>
      </c>
      <c r="T20" s="1156"/>
      <c r="U20" s="1786">
        <v>476302</v>
      </c>
      <c r="V20" s="1156"/>
      <c r="W20" s="1799">
        <v>445227</v>
      </c>
      <c r="X20" s="1800"/>
      <c r="Y20" s="1801">
        <v>558165.32999999996</v>
      </c>
      <c r="Z20" s="1156"/>
      <c r="AA20" s="1787"/>
      <c r="AB20" s="1156"/>
      <c r="AC20" s="1787">
        <f>243717.5+77616+37825</f>
        <v>359158.5</v>
      </c>
    </row>
    <row r="21" spans="1:55">
      <c r="A21" s="1589"/>
      <c r="B21" s="1802"/>
      <c r="C21" s="925"/>
      <c r="D21" s="1803"/>
      <c r="E21" s="1740"/>
      <c r="F21" s="1804"/>
      <c r="G21" s="1805"/>
      <c r="H21" s="1264"/>
      <c r="I21" s="1783"/>
      <c r="J21" s="1783"/>
      <c r="K21" s="1783"/>
      <c r="L21" s="1264"/>
      <c r="M21" s="1783"/>
      <c r="N21" s="1783"/>
      <c r="O21" s="1783"/>
      <c r="P21" s="1264"/>
      <c r="Q21" s="1783"/>
      <c r="R21" s="1783"/>
      <c r="S21" s="1783"/>
      <c r="T21" s="1264"/>
      <c r="U21" s="1783"/>
      <c r="V21" s="1264"/>
      <c r="W21" s="1242"/>
      <c r="X21" s="1795"/>
      <c r="Y21" s="1794"/>
      <c r="Z21" s="1264"/>
      <c r="AA21" s="1783"/>
      <c r="AB21" s="1264"/>
      <c r="AC21" s="1783"/>
    </row>
    <row r="22" spans="1:55">
      <c r="A22" s="1589"/>
      <c r="B22" s="657" t="s">
        <v>1020</v>
      </c>
      <c r="C22" s="925"/>
      <c r="D22" s="1803"/>
      <c r="E22" s="1740"/>
      <c r="F22" s="1804"/>
      <c r="G22" s="1805"/>
      <c r="H22" s="1264" t="s">
        <v>727</v>
      </c>
      <c r="I22" s="1783"/>
      <c r="J22" s="1264" t="s">
        <v>727</v>
      </c>
      <c r="K22" s="1783"/>
      <c r="L22" s="1264" t="s">
        <v>727</v>
      </c>
      <c r="M22" s="1783"/>
      <c r="N22" s="1264" t="s">
        <v>727</v>
      </c>
      <c r="O22" s="1783"/>
      <c r="P22" s="1264" t="s">
        <v>727</v>
      </c>
      <c r="Q22" s="1783"/>
      <c r="R22" s="1264" t="s">
        <v>727</v>
      </c>
      <c r="S22" s="1783"/>
      <c r="T22" s="1264" t="s">
        <v>727</v>
      </c>
      <c r="U22" s="1783"/>
      <c r="V22" s="1264" t="s">
        <v>727</v>
      </c>
      <c r="W22" s="1242"/>
      <c r="X22" s="1264" t="s">
        <v>727</v>
      </c>
      <c r="Y22" s="1794"/>
      <c r="Z22" s="1264" t="s">
        <v>727</v>
      </c>
      <c r="AA22" s="1783"/>
      <c r="AB22" s="1264" t="s">
        <v>727</v>
      </c>
      <c r="AC22" s="1783"/>
    </row>
    <row r="23" spans="1:55">
      <c r="A23" s="1589"/>
      <c r="B23" s="657" t="s">
        <v>1021</v>
      </c>
      <c r="C23" s="925"/>
      <c r="D23" s="1803"/>
      <c r="E23" s="1740"/>
      <c r="F23" s="1804"/>
      <c r="G23" s="1805"/>
      <c r="H23" s="1264" t="s">
        <v>727</v>
      </c>
      <c r="I23" s="1783"/>
      <c r="J23" s="1264" t="s">
        <v>727</v>
      </c>
      <c r="K23" s="1783"/>
      <c r="L23" s="1264" t="s">
        <v>727</v>
      </c>
      <c r="M23" s="1783"/>
      <c r="N23" s="1264" t="s">
        <v>727</v>
      </c>
      <c r="O23" s="1783"/>
      <c r="P23" s="1264" t="s">
        <v>727</v>
      </c>
      <c r="Q23" s="1783"/>
      <c r="R23" s="1264" t="s">
        <v>727</v>
      </c>
      <c r="S23" s="1783"/>
      <c r="T23" s="1264" t="s">
        <v>727</v>
      </c>
      <c r="U23" s="1783"/>
      <c r="V23" s="1264" t="s">
        <v>727</v>
      </c>
      <c r="W23" s="1242"/>
      <c r="X23" s="1264" t="s">
        <v>727</v>
      </c>
      <c r="Y23" s="1794"/>
      <c r="Z23" s="1264" t="s">
        <v>727</v>
      </c>
      <c r="AA23" s="1783"/>
      <c r="AB23" s="1264" t="s">
        <v>727</v>
      </c>
      <c r="AC23" s="1783"/>
    </row>
    <row r="24" spans="1:55">
      <c r="A24" s="1589"/>
      <c r="B24" s="657" t="s">
        <v>1022</v>
      </c>
      <c r="C24" s="925"/>
      <c r="D24" s="1803"/>
      <c r="E24" s="1740"/>
      <c r="F24" s="1804"/>
      <c r="G24" s="1805"/>
      <c r="H24" s="1264" t="s">
        <v>727</v>
      </c>
      <c r="I24" s="1783"/>
      <c r="J24" s="1264" t="s">
        <v>727</v>
      </c>
      <c r="K24" s="1783"/>
      <c r="L24" s="1264" t="s">
        <v>727</v>
      </c>
      <c r="M24" s="1783"/>
      <c r="N24" s="1264" t="s">
        <v>727</v>
      </c>
      <c r="O24" s="1783"/>
      <c r="P24" s="1264" t="s">
        <v>727</v>
      </c>
      <c r="Q24" s="1783"/>
      <c r="R24" s="1264" t="s">
        <v>727</v>
      </c>
      <c r="S24" s="1783"/>
      <c r="T24" s="1264" t="s">
        <v>727</v>
      </c>
      <c r="U24" s="1783"/>
      <c r="V24" s="1264" t="s">
        <v>727</v>
      </c>
      <c r="W24" s="1242"/>
      <c r="X24" s="1264" t="s">
        <v>727</v>
      </c>
      <c r="Y24" s="1794"/>
      <c r="Z24" s="1264" t="s">
        <v>727</v>
      </c>
      <c r="AA24" s="1783"/>
      <c r="AB24" s="1264" t="s">
        <v>727</v>
      </c>
      <c r="AC24" s="1783"/>
    </row>
    <row r="25" spans="1:55">
      <c r="A25" s="1589"/>
      <c r="B25" s="657"/>
      <c r="C25" s="925"/>
      <c r="D25" s="1803"/>
      <c r="E25" s="1740"/>
      <c r="F25" s="1804"/>
      <c r="G25" s="1805"/>
      <c r="H25" s="1264"/>
      <c r="I25" s="1783"/>
      <c r="J25" s="1783"/>
      <c r="K25" s="1783"/>
      <c r="L25" s="1264"/>
      <c r="M25" s="1783"/>
      <c r="N25" s="1264"/>
      <c r="O25" s="1783"/>
      <c r="P25" s="1264"/>
      <c r="Q25" s="1783"/>
      <c r="R25" s="1783"/>
      <c r="S25" s="1783"/>
      <c r="T25" s="1264"/>
      <c r="U25" s="1783"/>
      <c r="V25" s="1264"/>
      <c r="W25" s="1242"/>
      <c r="X25" s="1795"/>
      <c r="Y25" s="1794"/>
      <c r="Z25" s="1264"/>
      <c r="AA25" s="1783"/>
      <c r="AB25" s="1264"/>
      <c r="AC25" s="1783"/>
    </row>
    <row r="26" spans="1:55" s="69" customFormat="1" ht="26.25">
      <c r="A26" s="1589"/>
      <c r="B26" s="658" t="s">
        <v>1952</v>
      </c>
      <c r="C26" s="1806" t="s">
        <v>1953</v>
      </c>
      <c r="D26" s="1803"/>
      <c r="E26" s="1740"/>
      <c r="F26" s="1804"/>
      <c r="G26" s="1805"/>
      <c r="H26" s="1264" t="s">
        <v>727</v>
      </c>
      <c r="I26" s="1783"/>
      <c r="J26" s="1264" t="s">
        <v>727</v>
      </c>
      <c r="K26" s="1783"/>
      <c r="L26" s="1264" t="s">
        <v>727</v>
      </c>
      <c r="M26" s="1783"/>
      <c r="N26" s="1264" t="s">
        <v>727</v>
      </c>
      <c r="O26" s="1783"/>
      <c r="P26" s="1264" t="s">
        <v>727</v>
      </c>
      <c r="Q26" s="1783"/>
      <c r="R26" s="1264" t="s">
        <v>727</v>
      </c>
      <c r="S26" s="1783"/>
      <c r="T26" s="1264" t="s">
        <v>727</v>
      </c>
      <c r="U26" s="1783"/>
      <c r="V26" s="1264" t="s">
        <v>727</v>
      </c>
      <c r="W26" s="1242"/>
      <c r="X26" s="1795" t="s">
        <v>727</v>
      </c>
      <c r="Y26" s="1794"/>
      <c r="Z26" s="1264" t="s">
        <v>727</v>
      </c>
      <c r="AA26" s="1783"/>
      <c r="AB26" s="1264" t="s">
        <v>727</v>
      </c>
      <c r="AC26" s="1783"/>
      <c r="AD26"/>
      <c r="AE26"/>
      <c r="AF26"/>
      <c r="AG26"/>
      <c r="AH26"/>
      <c r="AI26"/>
      <c r="AJ26"/>
      <c r="AK26"/>
      <c r="AL26"/>
      <c r="AM26"/>
      <c r="AN26"/>
      <c r="AO26"/>
      <c r="AP26"/>
      <c r="AQ26"/>
      <c r="AR26"/>
      <c r="AS26"/>
      <c r="AT26"/>
      <c r="AU26"/>
      <c r="AV26"/>
      <c r="AW26"/>
      <c r="AX26"/>
      <c r="AY26"/>
      <c r="AZ26" s="413"/>
      <c r="BA26" s="413"/>
      <c r="BB26" s="413"/>
      <c r="BC26" s="413"/>
    </row>
    <row r="27" spans="1:55">
      <c r="A27" s="1097"/>
      <c r="B27" s="657" t="s">
        <v>1954</v>
      </c>
      <c r="C27" s="415"/>
      <c r="D27" s="430"/>
      <c r="E27" s="422"/>
      <c r="F27" s="431"/>
      <c r="G27" s="1805"/>
      <c r="H27" s="1264" t="s">
        <v>727</v>
      </c>
      <c r="I27" s="1783" t="s">
        <v>1955</v>
      </c>
      <c r="J27" s="1264" t="s">
        <v>727</v>
      </c>
      <c r="K27" s="1783" t="s">
        <v>1955</v>
      </c>
      <c r="L27" s="1264" t="s">
        <v>727</v>
      </c>
      <c r="M27" s="1783" t="s">
        <v>1955</v>
      </c>
      <c r="N27" s="1264" t="s">
        <v>727</v>
      </c>
      <c r="O27" s="1783" t="s">
        <v>1955</v>
      </c>
      <c r="P27" s="1264" t="s">
        <v>727</v>
      </c>
      <c r="Q27" s="1783" t="s">
        <v>1955</v>
      </c>
      <c r="R27" s="1264" t="s">
        <v>727</v>
      </c>
      <c r="S27" s="1783" t="s">
        <v>1955</v>
      </c>
      <c r="T27" s="1264" t="s">
        <v>727</v>
      </c>
      <c r="U27" s="1783" t="s">
        <v>1955</v>
      </c>
      <c r="V27" s="1264" t="s">
        <v>727</v>
      </c>
      <c r="W27" s="1783" t="s">
        <v>1955</v>
      </c>
      <c r="X27" s="1795" t="s">
        <v>727</v>
      </c>
      <c r="Y27" s="1794" t="s">
        <v>1956</v>
      </c>
      <c r="Z27" s="1264" t="s">
        <v>727</v>
      </c>
      <c r="AA27" s="1783"/>
      <c r="AB27" s="1264" t="s">
        <v>727</v>
      </c>
      <c r="AC27" s="1783"/>
    </row>
    <row r="28" spans="1:55">
      <c r="A28" s="1589"/>
      <c r="B28" s="657" t="s">
        <v>1957</v>
      </c>
      <c r="C28" s="415"/>
      <c r="D28" s="430"/>
      <c r="E28" s="422"/>
      <c r="F28" s="431"/>
      <c r="G28" s="1805"/>
      <c r="H28" s="1264" t="s">
        <v>727</v>
      </c>
      <c r="I28" s="1783"/>
      <c r="J28" s="1264" t="s">
        <v>727</v>
      </c>
      <c r="K28" s="1783"/>
      <c r="L28" s="1264" t="s">
        <v>727</v>
      </c>
      <c r="M28" s="1783"/>
      <c r="N28" s="1264" t="s">
        <v>727</v>
      </c>
      <c r="O28" s="1783"/>
      <c r="P28" s="1264" t="s">
        <v>727</v>
      </c>
      <c r="Q28" s="1783"/>
      <c r="R28" s="1264" t="s">
        <v>727</v>
      </c>
      <c r="S28" s="1783"/>
      <c r="T28" s="1264" t="s">
        <v>727</v>
      </c>
      <c r="U28" s="1783"/>
      <c r="V28" s="1264" t="s">
        <v>727</v>
      </c>
      <c r="W28" s="1242"/>
      <c r="X28" s="1795" t="s">
        <v>727</v>
      </c>
      <c r="Y28" s="1794"/>
      <c r="Z28" s="1264" t="s">
        <v>727</v>
      </c>
      <c r="AA28" s="1783"/>
      <c r="AB28" s="1264" t="s">
        <v>727</v>
      </c>
      <c r="AC28" s="1783"/>
    </row>
    <row r="29" spans="1:55">
      <c r="A29" s="1097"/>
      <c r="B29" s="657" t="s">
        <v>1958</v>
      </c>
      <c r="C29" s="415"/>
      <c r="D29" s="430"/>
      <c r="E29" s="422"/>
      <c r="F29" s="431"/>
      <c r="G29" s="1805"/>
      <c r="H29" s="1264" t="s">
        <v>727</v>
      </c>
      <c r="I29" s="1783"/>
      <c r="J29" s="1264" t="s">
        <v>727</v>
      </c>
      <c r="K29" s="1783"/>
      <c r="L29" s="1264" t="s">
        <v>727</v>
      </c>
      <c r="M29" s="1783">
        <f>3157.54+10071.07</f>
        <v>13228.61</v>
      </c>
      <c r="N29" s="1264" t="s">
        <v>727</v>
      </c>
      <c r="O29" s="1783"/>
      <c r="P29" s="1264" t="s">
        <v>727</v>
      </c>
      <c r="Q29" s="1783"/>
      <c r="R29" s="1264" t="s">
        <v>727</v>
      </c>
      <c r="S29" s="1783"/>
      <c r="T29" s="1264" t="s">
        <v>727</v>
      </c>
      <c r="U29" s="1783">
        <f>6648</f>
        <v>6648</v>
      </c>
      <c r="V29" s="1264" t="s">
        <v>727</v>
      </c>
      <c r="W29" s="1242">
        <f>47521</f>
        <v>47521</v>
      </c>
      <c r="X29" s="1795" t="s">
        <v>727</v>
      </c>
      <c r="Y29" s="1794"/>
      <c r="Z29" s="1264" t="s">
        <v>727</v>
      </c>
      <c r="AA29" s="1783"/>
      <c r="AB29" s="1264" t="s">
        <v>727</v>
      </c>
      <c r="AC29" s="1783"/>
    </row>
    <row r="30" spans="1:55">
      <c r="A30" s="1097"/>
      <c r="B30" s="657"/>
      <c r="C30" s="415"/>
      <c r="D30" s="430"/>
      <c r="E30" s="422"/>
      <c r="F30" s="431"/>
      <c r="G30" s="1805"/>
      <c r="H30" s="1264"/>
      <c r="I30" s="1783"/>
      <c r="J30" s="1783"/>
      <c r="K30" s="1783"/>
      <c r="L30" s="1264"/>
      <c r="M30" s="1783"/>
      <c r="N30" s="1783"/>
      <c r="O30" s="1783"/>
      <c r="P30" s="1264"/>
      <c r="Q30" s="1783"/>
      <c r="R30" s="1783"/>
      <c r="S30" s="1783"/>
      <c r="T30" s="1264"/>
      <c r="U30" s="1783"/>
      <c r="V30" s="1264"/>
      <c r="W30" s="1242"/>
      <c r="X30" s="1795"/>
      <c r="Y30" s="1794"/>
      <c r="Z30" s="1264"/>
      <c r="AA30" s="1783"/>
      <c r="AB30" s="1264"/>
      <c r="AC30" s="1783"/>
    </row>
    <row r="31" spans="1:55">
      <c r="A31" s="1097"/>
      <c r="B31" s="658" t="s">
        <v>1959</v>
      </c>
      <c r="C31" s="415"/>
      <c r="D31" s="430"/>
      <c r="E31" s="422"/>
      <c r="F31" s="431"/>
      <c r="G31" s="1805"/>
      <c r="H31" s="1264" t="s">
        <v>727</v>
      </c>
      <c r="I31" s="1783"/>
      <c r="J31" s="1264" t="s">
        <v>727</v>
      </c>
      <c r="K31" s="1783"/>
      <c r="L31" s="1264" t="s">
        <v>727</v>
      </c>
      <c r="M31" s="1783"/>
      <c r="N31" s="1264" t="s">
        <v>727</v>
      </c>
      <c r="O31" s="1783"/>
      <c r="P31" s="1264" t="s">
        <v>727</v>
      </c>
      <c r="Q31" s="1783"/>
      <c r="R31" s="1264" t="s">
        <v>727</v>
      </c>
      <c r="S31" s="1783"/>
      <c r="T31" s="1264" t="s">
        <v>727</v>
      </c>
      <c r="U31" s="1783"/>
      <c r="V31" s="1264" t="s">
        <v>727</v>
      </c>
      <c r="W31" s="1242"/>
      <c r="X31" s="1795" t="s">
        <v>727</v>
      </c>
      <c r="Y31" s="1794"/>
      <c r="Z31" s="1264" t="s">
        <v>727</v>
      </c>
      <c r="AA31" s="1783">
        <v>1077946.26</v>
      </c>
      <c r="AB31" s="1264" t="s">
        <v>727</v>
      </c>
      <c r="AC31" s="1783"/>
    </row>
    <row r="32" spans="1:55">
      <c r="A32" s="1097"/>
      <c r="B32" s="659" t="s">
        <v>1960</v>
      </c>
      <c r="C32" s="415"/>
      <c r="D32" s="508">
        <f>17*93</f>
        <v>1581</v>
      </c>
      <c r="E32" s="422" t="s">
        <v>32</v>
      </c>
      <c r="F32" s="431"/>
      <c r="G32" s="1805"/>
      <c r="H32" s="1264" t="s">
        <v>727</v>
      </c>
      <c r="I32" s="1783"/>
      <c r="J32" s="1264" t="s">
        <v>727</v>
      </c>
      <c r="K32" s="1783"/>
      <c r="L32" s="1264" t="s">
        <v>727</v>
      </c>
      <c r="M32" s="1783"/>
      <c r="N32" s="1264" t="s">
        <v>727</v>
      </c>
      <c r="O32" s="1783"/>
      <c r="P32" s="1264" t="s">
        <v>727</v>
      </c>
      <c r="Q32" s="1783"/>
      <c r="R32" s="1264" t="s">
        <v>727</v>
      </c>
      <c r="S32" s="1783"/>
      <c r="T32" s="1264" t="s">
        <v>727</v>
      </c>
      <c r="U32" s="1783"/>
      <c r="V32" s="1264" t="s">
        <v>727</v>
      </c>
      <c r="W32" s="1242"/>
      <c r="X32" s="1795" t="s">
        <v>727</v>
      </c>
      <c r="Y32" s="1794"/>
      <c r="Z32" s="1264" t="s">
        <v>727</v>
      </c>
      <c r="AA32" s="1783"/>
      <c r="AB32" s="1264" t="s">
        <v>727</v>
      </c>
      <c r="AC32" s="1783"/>
    </row>
    <row r="33" spans="1:34">
      <c r="A33" s="1097"/>
      <c r="B33" s="659" t="s">
        <v>1961</v>
      </c>
      <c r="C33" s="415"/>
      <c r="D33" s="508">
        <f>9.5*93</f>
        <v>883.5</v>
      </c>
      <c r="E33" s="422" t="s">
        <v>32</v>
      </c>
      <c r="F33" s="431"/>
      <c r="G33" s="1805"/>
      <c r="H33" s="1264" t="s">
        <v>727</v>
      </c>
      <c r="I33" s="1783"/>
      <c r="J33" s="1264" t="s">
        <v>727</v>
      </c>
      <c r="K33" s="1783"/>
      <c r="L33" s="1264" t="s">
        <v>727</v>
      </c>
      <c r="M33" s="1783"/>
      <c r="N33" s="1264" t="s">
        <v>727</v>
      </c>
      <c r="O33" s="1783"/>
      <c r="P33" s="1264" t="s">
        <v>727</v>
      </c>
      <c r="Q33" s="1783"/>
      <c r="R33" s="1264" t="s">
        <v>727</v>
      </c>
      <c r="S33" s="1783"/>
      <c r="T33" s="1264" t="s">
        <v>727</v>
      </c>
      <c r="U33" s="1783"/>
      <c r="V33" s="1264" t="s">
        <v>727</v>
      </c>
      <c r="W33" s="1242"/>
      <c r="X33" s="1795" t="s">
        <v>727</v>
      </c>
      <c r="Y33" s="1794"/>
      <c r="Z33" s="1264" t="s">
        <v>727</v>
      </c>
      <c r="AA33" s="1783"/>
      <c r="AB33" s="1264" t="s">
        <v>727</v>
      </c>
      <c r="AC33" s="1783"/>
    </row>
    <row r="34" spans="1:34">
      <c r="A34" s="1097"/>
      <c r="B34" s="659" t="s">
        <v>1962</v>
      </c>
      <c r="C34" s="415" t="s">
        <v>1963</v>
      </c>
      <c r="D34" s="508">
        <f>93*2</f>
        <v>186</v>
      </c>
      <c r="E34" s="422" t="s">
        <v>847</v>
      </c>
      <c r="F34" s="431">
        <v>300</v>
      </c>
      <c r="G34" s="1805">
        <f>F34*D34</f>
        <v>55800</v>
      </c>
      <c r="H34" s="1264" t="s">
        <v>727</v>
      </c>
      <c r="I34" s="1783"/>
      <c r="J34" s="1264" t="s">
        <v>727</v>
      </c>
      <c r="K34" s="1783"/>
      <c r="L34" s="1264" t="s">
        <v>727</v>
      </c>
      <c r="M34" s="1783"/>
      <c r="N34" s="1264" t="s">
        <v>727</v>
      </c>
      <c r="O34" s="1783"/>
      <c r="P34" s="1264" t="s">
        <v>727</v>
      </c>
      <c r="Q34" s="1783"/>
      <c r="R34" s="1264" t="s">
        <v>727</v>
      </c>
      <c r="S34" s="1783"/>
      <c r="T34" s="1264" t="s">
        <v>727</v>
      </c>
      <c r="U34" s="1783"/>
      <c r="V34" s="1264" t="s">
        <v>727</v>
      </c>
      <c r="W34" s="1242"/>
      <c r="X34" s="1795" t="s">
        <v>727</v>
      </c>
      <c r="Y34" s="1794"/>
      <c r="Z34" s="1264" t="s">
        <v>727</v>
      </c>
      <c r="AA34" s="1783">
        <v>221312</v>
      </c>
      <c r="AB34" s="1264" t="s">
        <v>727</v>
      </c>
      <c r="AC34" s="1783"/>
    </row>
    <row r="35" spans="1:34">
      <c r="A35" s="1097"/>
      <c r="B35" s="659" t="s">
        <v>1964</v>
      </c>
      <c r="C35" s="415"/>
      <c r="D35" s="508"/>
      <c r="E35" s="422"/>
      <c r="F35" s="431"/>
      <c r="G35" s="1805"/>
      <c r="H35" s="1264" t="s">
        <v>727</v>
      </c>
      <c r="I35" s="1783"/>
      <c r="J35" s="1264" t="s">
        <v>727</v>
      </c>
      <c r="K35" s="1783"/>
      <c r="L35" s="1264" t="s">
        <v>727</v>
      </c>
      <c r="M35" s="1783"/>
      <c r="N35" s="1264" t="s">
        <v>727</v>
      </c>
      <c r="O35" s="1783"/>
      <c r="P35" s="1264" t="s">
        <v>727</v>
      </c>
      <c r="Q35" s="1783"/>
      <c r="R35" s="1264" t="s">
        <v>727</v>
      </c>
      <c r="S35" s="1783"/>
      <c r="T35" s="1264" t="s">
        <v>727</v>
      </c>
      <c r="U35" s="1783"/>
      <c r="V35" s="1264" t="s">
        <v>727</v>
      </c>
      <c r="W35" s="1242"/>
      <c r="X35" s="1795" t="s">
        <v>727</v>
      </c>
      <c r="Y35" s="1794"/>
      <c r="Z35" s="1264" t="s">
        <v>727</v>
      </c>
      <c r="AA35" s="1783"/>
      <c r="AB35" s="1264" t="s">
        <v>727</v>
      </c>
      <c r="AC35" s="1783"/>
    </row>
    <row r="36" spans="1:34">
      <c r="A36" s="1097"/>
      <c r="B36" s="659" t="s">
        <v>1965</v>
      </c>
      <c r="C36" s="415"/>
      <c r="D36" s="508"/>
      <c r="E36" s="422"/>
      <c r="F36" s="431"/>
      <c r="G36" s="1805"/>
      <c r="H36" s="1264" t="s">
        <v>730</v>
      </c>
      <c r="I36" s="1783"/>
      <c r="J36" s="1264" t="s">
        <v>730</v>
      </c>
      <c r="K36" s="1783"/>
      <c r="L36" s="1264" t="s">
        <v>730</v>
      </c>
      <c r="M36" s="1783"/>
      <c r="N36" s="1264" t="s">
        <v>730</v>
      </c>
      <c r="O36" s="1783"/>
      <c r="P36" s="1264" t="s">
        <v>730</v>
      </c>
      <c r="Q36" s="1783"/>
      <c r="R36" s="1264" t="s">
        <v>727</v>
      </c>
      <c r="S36" s="1783"/>
      <c r="T36" s="1264" t="s">
        <v>727</v>
      </c>
      <c r="U36" s="1783"/>
      <c r="V36" s="1264" t="s">
        <v>730</v>
      </c>
      <c r="W36" s="1783" t="s">
        <v>1674</v>
      </c>
      <c r="X36" s="1795" t="s">
        <v>730</v>
      </c>
      <c r="Y36" s="1783" t="s">
        <v>1674</v>
      </c>
      <c r="Z36" s="1264" t="s">
        <v>730</v>
      </c>
      <c r="AA36" s="1783"/>
      <c r="AB36" s="1264" t="s">
        <v>730</v>
      </c>
      <c r="AC36" s="1783"/>
    </row>
    <row r="37" spans="1:34">
      <c r="A37" s="1097"/>
      <c r="B37" s="659" t="s">
        <v>1966</v>
      </c>
      <c r="C37" s="415"/>
      <c r="D37" s="508">
        <f>93*4</f>
        <v>372</v>
      </c>
      <c r="E37" s="422" t="s">
        <v>847</v>
      </c>
      <c r="F37" s="431">
        <v>900</v>
      </c>
      <c r="G37" s="1805">
        <f>F37*D37</f>
        <v>334800</v>
      </c>
      <c r="H37" s="1273" t="s">
        <v>1035</v>
      </c>
      <c r="I37" s="1807">
        <f>$G$37</f>
        <v>334800</v>
      </c>
      <c r="J37" s="1273" t="s">
        <v>1035</v>
      </c>
      <c r="K37" s="1807">
        <f>$G$37</f>
        <v>334800</v>
      </c>
      <c r="L37" s="1273" t="s">
        <v>1035</v>
      </c>
      <c r="M37" s="1807">
        <f>$G$37</f>
        <v>334800</v>
      </c>
      <c r="N37" s="1273" t="s">
        <v>1035</v>
      </c>
      <c r="O37" s="1807">
        <f>$G$37</f>
        <v>334800</v>
      </c>
      <c r="P37" s="1273" t="s">
        <v>1035</v>
      </c>
      <c r="Q37" s="1807">
        <f>$G$37</f>
        <v>334800</v>
      </c>
      <c r="R37" s="1264" t="s">
        <v>727</v>
      </c>
      <c r="S37" s="1783"/>
      <c r="T37" s="1273" t="s">
        <v>1035</v>
      </c>
      <c r="U37" s="1807">
        <f>$G$37</f>
        <v>334800</v>
      </c>
      <c r="V37" s="1273" t="s">
        <v>1035</v>
      </c>
      <c r="W37" s="1807">
        <f>$G$37</f>
        <v>334800</v>
      </c>
      <c r="X37" s="1273" t="s">
        <v>1035</v>
      </c>
      <c r="Y37" s="1807">
        <f>$G$37</f>
        <v>334800</v>
      </c>
      <c r="Z37" s="1264" t="s">
        <v>727</v>
      </c>
      <c r="AA37" s="1783">
        <v>167400</v>
      </c>
      <c r="AB37" s="1273" t="s">
        <v>1035</v>
      </c>
      <c r="AC37" s="1807">
        <f>372*1064</f>
        <v>395808</v>
      </c>
      <c r="AE37" t="s">
        <v>1967</v>
      </c>
      <c r="AF37">
        <v>418</v>
      </c>
      <c r="AG37" s="36">
        <v>-900</v>
      </c>
      <c r="AH37" s="36">
        <f>AF37*AG37</f>
        <v>-376200</v>
      </c>
    </row>
    <row r="38" spans="1:34">
      <c r="A38" s="1097"/>
      <c r="B38" s="658" t="s">
        <v>1968</v>
      </c>
      <c r="C38" s="415"/>
      <c r="D38" s="430"/>
      <c r="E38" s="422"/>
      <c r="F38" s="431"/>
      <c r="G38" s="1805"/>
      <c r="H38" s="1264" t="s">
        <v>727</v>
      </c>
      <c r="I38" s="1783"/>
      <c r="J38" s="1264" t="s">
        <v>727</v>
      </c>
      <c r="K38" s="1783"/>
      <c r="L38" s="1264" t="s">
        <v>727</v>
      </c>
      <c r="M38" s="1783"/>
      <c r="N38" s="1264" t="s">
        <v>727</v>
      </c>
      <c r="O38" s="1783"/>
      <c r="P38" s="1264" t="s">
        <v>727</v>
      </c>
      <c r="Q38" s="1783"/>
      <c r="R38" s="1264" t="s">
        <v>727</v>
      </c>
      <c r="S38" s="1783"/>
      <c r="T38" s="1264" t="s">
        <v>727</v>
      </c>
      <c r="U38" s="1783"/>
      <c r="V38" s="1264" t="s">
        <v>727</v>
      </c>
      <c r="W38" s="1242"/>
      <c r="X38" s="1795" t="s">
        <v>727</v>
      </c>
      <c r="Y38" s="1794"/>
      <c r="Z38" s="1264" t="s">
        <v>727</v>
      </c>
      <c r="AA38" s="1783"/>
      <c r="AB38" s="1264" t="s">
        <v>727</v>
      </c>
      <c r="AC38" s="1783"/>
      <c r="AE38" t="s">
        <v>1969</v>
      </c>
      <c r="AF38">
        <v>418</v>
      </c>
      <c r="AG38" s="36">
        <v>450</v>
      </c>
      <c r="AH38" s="36">
        <f>AF38*AG38</f>
        <v>188100</v>
      </c>
    </row>
    <row r="39" spans="1:34">
      <c r="A39" s="1097"/>
      <c r="B39" s="659" t="s">
        <v>1970</v>
      </c>
      <c r="C39" s="415"/>
      <c r="D39" s="508">
        <f>17*10</f>
        <v>170</v>
      </c>
      <c r="E39" s="422" t="s">
        <v>32</v>
      </c>
      <c r="F39" s="431"/>
      <c r="G39" s="1805"/>
      <c r="H39" s="1264" t="s">
        <v>727</v>
      </c>
      <c r="I39" s="1783"/>
      <c r="J39" s="1264" t="s">
        <v>727</v>
      </c>
      <c r="K39" s="1783"/>
      <c r="L39" s="1264" t="s">
        <v>727</v>
      </c>
      <c r="M39" s="1783"/>
      <c r="N39" s="1264" t="s">
        <v>727</v>
      </c>
      <c r="O39" s="1783"/>
      <c r="P39" s="1264" t="s">
        <v>727</v>
      </c>
      <c r="Q39" s="1783"/>
      <c r="R39" s="1264" t="s">
        <v>727</v>
      </c>
      <c r="S39" s="1783"/>
      <c r="T39" s="1264" t="s">
        <v>727</v>
      </c>
      <c r="U39" s="1783"/>
      <c r="V39" s="1264" t="s">
        <v>727</v>
      </c>
      <c r="W39" s="1242"/>
      <c r="X39" s="1795" t="s">
        <v>727</v>
      </c>
      <c r="Y39" s="1794"/>
      <c r="Z39" s="1264" t="s">
        <v>727</v>
      </c>
      <c r="AA39" s="1783">
        <v>115575.6</v>
      </c>
      <c r="AB39" s="1264" t="s">
        <v>727</v>
      </c>
      <c r="AC39" s="1783"/>
      <c r="AH39" s="36">
        <f>SUM(AH37:AH38)</f>
        <v>-188100</v>
      </c>
    </row>
    <row r="40" spans="1:34">
      <c r="A40" s="1097"/>
      <c r="B40" s="659" t="s">
        <v>1971</v>
      </c>
      <c r="C40" s="415"/>
      <c r="D40" s="508">
        <f>6.5*10</f>
        <v>65</v>
      </c>
      <c r="E40" s="422" t="s">
        <v>32</v>
      </c>
      <c r="F40" s="431"/>
      <c r="G40" s="1805"/>
      <c r="H40" s="1264" t="s">
        <v>727</v>
      </c>
      <c r="I40" s="1783"/>
      <c r="J40" s="1264" t="s">
        <v>727</v>
      </c>
      <c r="K40" s="1783"/>
      <c r="L40" s="1264" t="s">
        <v>727</v>
      </c>
      <c r="M40" s="1783"/>
      <c r="N40" s="1264" t="s">
        <v>727</v>
      </c>
      <c r="O40" s="1783"/>
      <c r="P40" s="1264" t="s">
        <v>727</v>
      </c>
      <c r="Q40" s="1783"/>
      <c r="R40" s="1264" t="s">
        <v>727</v>
      </c>
      <c r="S40" s="1783"/>
      <c r="T40" s="1264" t="s">
        <v>727</v>
      </c>
      <c r="U40" s="1783"/>
      <c r="V40" s="1264" t="s">
        <v>727</v>
      </c>
      <c r="W40" s="1242"/>
      <c r="X40" s="1795" t="s">
        <v>727</v>
      </c>
      <c r="Y40" s="1794"/>
      <c r="Z40" s="1264" t="s">
        <v>727</v>
      </c>
      <c r="AA40" s="1783"/>
      <c r="AB40" s="1264" t="s">
        <v>727</v>
      </c>
      <c r="AC40" s="1783"/>
    </row>
    <row r="41" spans="1:34">
      <c r="A41" s="1097"/>
      <c r="B41" s="659" t="s">
        <v>1962</v>
      </c>
      <c r="C41" s="415"/>
      <c r="D41" s="508">
        <f>10*2</f>
        <v>20</v>
      </c>
      <c r="E41" s="422" t="s">
        <v>847</v>
      </c>
      <c r="F41" s="431">
        <v>300</v>
      </c>
      <c r="G41" s="1805">
        <f>F41*D41</f>
        <v>6000</v>
      </c>
      <c r="H41" s="1264" t="s">
        <v>727</v>
      </c>
      <c r="I41" s="1783"/>
      <c r="J41" s="1264" t="s">
        <v>727</v>
      </c>
      <c r="K41" s="1783"/>
      <c r="L41" s="1264" t="s">
        <v>727</v>
      </c>
      <c r="M41" s="1783"/>
      <c r="N41" s="1264" t="s">
        <v>727</v>
      </c>
      <c r="O41" s="1783"/>
      <c r="P41" s="1264" t="s">
        <v>727</v>
      </c>
      <c r="Q41" s="1783"/>
      <c r="R41" s="1264" t="s">
        <v>727</v>
      </c>
      <c r="S41" s="1783"/>
      <c r="T41" s="1264" t="s">
        <v>727</v>
      </c>
      <c r="U41" s="1783"/>
      <c r="V41" s="1264" t="s">
        <v>727</v>
      </c>
      <c r="W41" s="1242"/>
      <c r="X41" s="1795" t="s">
        <v>727</v>
      </c>
      <c r="Y41" s="1794"/>
      <c r="Z41" s="1264" t="s">
        <v>727</v>
      </c>
      <c r="AA41" s="1783"/>
      <c r="AB41" s="1264" t="s">
        <v>727</v>
      </c>
      <c r="AC41" s="1783"/>
    </row>
    <row r="42" spans="1:34">
      <c r="A42" s="1097"/>
      <c r="B42" s="659" t="s">
        <v>1972</v>
      </c>
      <c r="C42" s="415"/>
      <c r="D42" s="508"/>
      <c r="E42" s="422"/>
      <c r="F42" s="431"/>
      <c r="G42" s="1805"/>
      <c r="H42" s="1264" t="s">
        <v>727</v>
      </c>
      <c r="I42" s="1783"/>
      <c r="J42" s="1264" t="s">
        <v>727</v>
      </c>
      <c r="K42" s="1783"/>
      <c r="L42" s="1264" t="s">
        <v>727</v>
      </c>
      <c r="M42" s="1783"/>
      <c r="N42" s="1264" t="s">
        <v>727</v>
      </c>
      <c r="O42" s="1783"/>
      <c r="P42" s="1264" t="s">
        <v>727</v>
      </c>
      <c r="Q42" s="1783" t="s">
        <v>1973</v>
      </c>
      <c r="R42" s="1264" t="s">
        <v>727</v>
      </c>
      <c r="S42" s="1783"/>
      <c r="T42" s="1264" t="s">
        <v>727</v>
      </c>
      <c r="U42" s="1783"/>
      <c r="V42" s="1264" t="s">
        <v>727</v>
      </c>
      <c r="W42" s="1242" t="s">
        <v>1973</v>
      </c>
      <c r="X42" s="1795" t="s">
        <v>727</v>
      </c>
      <c r="Y42" s="1783" t="s">
        <v>1973</v>
      </c>
      <c r="Z42" s="1264" t="s">
        <v>730</v>
      </c>
      <c r="AA42" s="1783"/>
      <c r="AB42" s="1264" t="s">
        <v>727</v>
      </c>
      <c r="AC42" s="1783"/>
    </row>
    <row r="43" spans="1:34">
      <c r="A43" s="1097"/>
      <c r="B43" s="659" t="s">
        <v>1965</v>
      </c>
      <c r="C43" s="415"/>
      <c r="D43" s="508"/>
      <c r="E43" s="422"/>
      <c r="F43" s="431"/>
      <c r="G43" s="1805"/>
      <c r="H43" s="1264" t="s">
        <v>730</v>
      </c>
      <c r="I43" s="1783"/>
      <c r="J43" s="1264" t="s">
        <v>730</v>
      </c>
      <c r="K43" s="1783"/>
      <c r="L43" s="1264" t="s">
        <v>730</v>
      </c>
      <c r="M43" s="1783"/>
      <c r="N43" s="1264" t="s">
        <v>730</v>
      </c>
      <c r="O43" s="1783"/>
      <c r="P43" s="1264" t="s">
        <v>730</v>
      </c>
      <c r="Q43" s="1783"/>
      <c r="R43" s="1264" t="s">
        <v>730</v>
      </c>
      <c r="S43" s="1783"/>
      <c r="T43" s="1264" t="s">
        <v>727</v>
      </c>
      <c r="U43" s="1783"/>
      <c r="V43" s="1264" t="s">
        <v>730</v>
      </c>
      <c r="W43" s="1783" t="s">
        <v>1674</v>
      </c>
      <c r="X43" s="1795" t="s">
        <v>730</v>
      </c>
      <c r="Y43" s="1783" t="s">
        <v>1674</v>
      </c>
      <c r="Z43" s="1264" t="s">
        <v>730</v>
      </c>
      <c r="AA43" s="1783"/>
      <c r="AB43" s="1264" t="s">
        <v>730</v>
      </c>
      <c r="AC43" s="1783"/>
    </row>
    <row r="44" spans="1:34">
      <c r="A44" s="1097"/>
      <c r="B44" s="659" t="s">
        <v>1966</v>
      </c>
      <c r="C44" s="415"/>
      <c r="D44" s="508">
        <f>10*4</f>
        <v>40</v>
      </c>
      <c r="E44" s="422" t="s">
        <v>847</v>
      </c>
      <c r="F44" s="431">
        <v>900</v>
      </c>
      <c r="G44" s="1805">
        <f>F44*D44</f>
        <v>36000</v>
      </c>
      <c r="H44" s="1273" t="s">
        <v>1035</v>
      </c>
      <c r="I44" s="1807">
        <f>$G$44</f>
        <v>36000</v>
      </c>
      <c r="J44" s="1273" t="s">
        <v>1035</v>
      </c>
      <c r="K44" s="1807">
        <f>$G$44</f>
        <v>36000</v>
      </c>
      <c r="L44" s="1273" t="s">
        <v>1035</v>
      </c>
      <c r="M44" s="1807">
        <f>$G$44</f>
        <v>36000</v>
      </c>
      <c r="N44" s="1273" t="s">
        <v>1035</v>
      </c>
      <c r="O44" s="1807">
        <f>$G$44</f>
        <v>36000</v>
      </c>
      <c r="P44" s="1273" t="s">
        <v>1035</v>
      </c>
      <c r="Q44" s="1807">
        <f>$G$44</f>
        <v>36000</v>
      </c>
      <c r="R44" s="1264" t="s">
        <v>727</v>
      </c>
      <c r="S44" s="1783"/>
      <c r="T44" s="1273" t="s">
        <v>1035</v>
      </c>
      <c r="U44" s="1807">
        <f>$G$44</f>
        <v>36000</v>
      </c>
      <c r="V44" s="1273" t="s">
        <v>1035</v>
      </c>
      <c r="W44" s="1807">
        <f>$G$44</f>
        <v>36000</v>
      </c>
      <c r="X44" s="1273" t="s">
        <v>1035</v>
      </c>
      <c r="Y44" s="1807">
        <f>$G$44</f>
        <v>36000</v>
      </c>
      <c r="Z44" s="1264" t="s">
        <v>727</v>
      </c>
      <c r="AA44" s="1783">
        <v>18000</v>
      </c>
      <c r="AB44" s="1273" t="s">
        <v>1035</v>
      </c>
      <c r="AC44" s="1807">
        <f>40*1064</f>
        <v>42560</v>
      </c>
    </row>
    <row r="45" spans="1:34">
      <c r="A45" s="1097"/>
      <c r="B45" s="658" t="s">
        <v>1974</v>
      </c>
      <c r="C45" s="415"/>
      <c r="D45" s="430"/>
      <c r="E45" s="422"/>
      <c r="F45" s="431"/>
      <c r="G45" s="1805"/>
      <c r="H45" s="1264" t="s">
        <v>727</v>
      </c>
      <c r="I45" s="1783"/>
      <c r="J45" s="1264" t="s">
        <v>727</v>
      </c>
      <c r="K45" s="1783"/>
      <c r="L45" s="1264" t="s">
        <v>727</v>
      </c>
      <c r="M45" s="1783"/>
      <c r="N45" s="1264" t="s">
        <v>727</v>
      </c>
      <c r="O45" s="1783"/>
      <c r="P45" s="1264" t="s">
        <v>727</v>
      </c>
      <c r="Q45" s="1783"/>
      <c r="R45" s="1264" t="s">
        <v>727</v>
      </c>
      <c r="S45" s="1783"/>
      <c r="T45" s="1264" t="s">
        <v>727</v>
      </c>
      <c r="U45" s="1783"/>
      <c r="V45" s="1264" t="s">
        <v>727</v>
      </c>
      <c r="W45" s="1242"/>
      <c r="X45" s="1795" t="s">
        <v>727</v>
      </c>
      <c r="Y45" s="1794"/>
      <c r="Z45" s="1264" t="s">
        <v>727</v>
      </c>
      <c r="AA45" s="1783">
        <f>2*21395.04</f>
        <v>42790.080000000002</v>
      </c>
      <c r="AB45" s="1264" t="s">
        <v>727</v>
      </c>
      <c r="AC45" s="1783"/>
    </row>
    <row r="46" spans="1:34">
      <c r="A46" s="1097"/>
      <c r="B46" s="659" t="s">
        <v>1975</v>
      </c>
      <c r="C46" s="415"/>
      <c r="D46" s="508">
        <f>24*2</f>
        <v>48</v>
      </c>
      <c r="E46" s="422" t="s">
        <v>32</v>
      </c>
      <c r="F46" s="431"/>
      <c r="G46" s="1805"/>
      <c r="H46" s="1264" t="s">
        <v>727</v>
      </c>
      <c r="I46" s="1783"/>
      <c r="J46" s="1264" t="s">
        <v>727</v>
      </c>
      <c r="K46" s="1783"/>
      <c r="L46" s="1264" t="s">
        <v>727</v>
      </c>
      <c r="M46" s="1783"/>
      <c r="N46" s="1264" t="s">
        <v>727</v>
      </c>
      <c r="O46" s="1783"/>
      <c r="P46" s="1264" t="s">
        <v>727</v>
      </c>
      <c r="Q46" s="1783"/>
      <c r="R46" s="1264" t="s">
        <v>727</v>
      </c>
      <c r="S46" s="1783"/>
      <c r="T46" s="1264" t="s">
        <v>727</v>
      </c>
      <c r="U46" s="1783"/>
      <c r="V46" s="1264" t="s">
        <v>727</v>
      </c>
      <c r="W46" s="1242"/>
      <c r="X46" s="1795" t="s">
        <v>727</v>
      </c>
      <c r="Y46" s="1794"/>
      <c r="Z46" s="1264" t="s">
        <v>727</v>
      </c>
      <c r="AA46" s="1783"/>
      <c r="AB46" s="1264" t="s">
        <v>727</v>
      </c>
      <c r="AC46" s="1783"/>
    </row>
    <row r="47" spans="1:34">
      <c r="A47" s="1097"/>
      <c r="B47" s="659" t="s">
        <v>1976</v>
      </c>
      <c r="C47" s="415"/>
      <c r="D47" s="508">
        <f>13.5*2</f>
        <v>27</v>
      </c>
      <c r="E47" s="422" t="s">
        <v>32</v>
      </c>
      <c r="F47" s="431"/>
      <c r="G47" s="1805"/>
      <c r="H47" s="1264" t="s">
        <v>727</v>
      </c>
      <c r="I47" s="1783"/>
      <c r="J47" s="1264" t="s">
        <v>727</v>
      </c>
      <c r="K47" s="1783"/>
      <c r="L47" s="1264" t="s">
        <v>727</v>
      </c>
      <c r="M47" s="1783"/>
      <c r="N47" s="1264" t="s">
        <v>727</v>
      </c>
      <c r="O47" s="1783"/>
      <c r="P47" s="1264" t="s">
        <v>727</v>
      </c>
      <c r="Q47" s="1783"/>
      <c r="R47" s="1264" t="s">
        <v>727</v>
      </c>
      <c r="S47" s="1783"/>
      <c r="T47" s="1264" t="s">
        <v>727</v>
      </c>
      <c r="U47" s="1783"/>
      <c r="V47" s="1264" t="s">
        <v>727</v>
      </c>
      <c r="W47" s="1242"/>
      <c r="X47" s="1795" t="s">
        <v>727</v>
      </c>
      <c r="Y47" s="1794"/>
      <c r="Z47" s="1264" t="s">
        <v>727</v>
      </c>
      <c r="AA47" s="1783"/>
      <c r="AB47" s="1264" t="s">
        <v>727</v>
      </c>
      <c r="AC47" s="1783"/>
    </row>
    <row r="48" spans="1:34">
      <c r="A48" s="1097"/>
      <c r="B48" s="659" t="s">
        <v>1977</v>
      </c>
      <c r="C48" s="415"/>
      <c r="D48" s="508">
        <f>4.5*2</f>
        <v>9</v>
      </c>
      <c r="E48" s="422" t="s">
        <v>32</v>
      </c>
      <c r="F48" s="431"/>
      <c r="G48" s="1805"/>
      <c r="H48" s="1264" t="s">
        <v>727</v>
      </c>
      <c r="I48" s="1783"/>
      <c r="J48" s="1264" t="s">
        <v>727</v>
      </c>
      <c r="K48" s="1783"/>
      <c r="L48" s="1264" t="s">
        <v>727</v>
      </c>
      <c r="M48" s="1783"/>
      <c r="N48" s="1264" t="s">
        <v>727</v>
      </c>
      <c r="O48" s="1783"/>
      <c r="P48" s="1264" t="s">
        <v>727</v>
      </c>
      <c r="Q48" s="1783"/>
      <c r="R48" s="1264" t="s">
        <v>727</v>
      </c>
      <c r="S48" s="1783"/>
      <c r="T48" s="1264" t="s">
        <v>727</v>
      </c>
      <c r="U48" s="1783"/>
      <c r="V48" s="1264" t="s">
        <v>727</v>
      </c>
      <c r="W48" s="1242"/>
      <c r="X48" s="1795" t="s">
        <v>727</v>
      </c>
      <c r="Y48" s="1794"/>
      <c r="Z48" s="1264" t="s">
        <v>727</v>
      </c>
      <c r="AA48" s="1783"/>
      <c r="AB48" s="1264" t="s">
        <v>727</v>
      </c>
      <c r="AC48" s="1783"/>
    </row>
    <row r="49" spans="1:29">
      <c r="A49" s="1097"/>
      <c r="B49" s="659" t="s">
        <v>1962</v>
      </c>
      <c r="C49" s="415"/>
      <c r="D49" s="508">
        <f>2*2</f>
        <v>4</v>
      </c>
      <c r="E49" s="422" t="s">
        <v>847</v>
      </c>
      <c r="F49" s="431">
        <v>300</v>
      </c>
      <c r="G49" s="1805">
        <f>F49*D49</f>
        <v>1200</v>
      </c>
      <c r="H49" s="1264" t="s">
        <v>727</v>
      </c>
      <c r="I49" s="1783"/>
      <c r="J49" s="1264" t="s">
        <v>727</v>
      </c>
      <c r="K49" s="1783"/>
      <c r="L49" s="1264" t="s">
        <v>727</v>
      </c>
      <c r="M49" s="1783"/>
      <c r="N49" s="1264" t="s">
        <v>727</v>
      </c>
      <c r="O49" s="1783"/>
      <c r="P49" s="1264" t="s">
        <v>727</v>
      </c>
      <c r="Q49" s="1783"/>
      <c r="R49" s="1264" t="s">
        <v>727</v>
      </c>
      <c r="S49" s="1783"/>
      <c r="T49" s="1264" t="s">
        <v>727</v>
      </c>
      <c r="U49" s="1783"/>
      <c r="V49" s="1264" t="s">
        <v>727</v>
      </c>
      <c r="W49" s="1242"/>
      <c r="X49" s="1795" t="s">
        <v>727</v>
      </c>
      <c r="Y49" s="1794"/>
      <c r="Z49" s="1264" t="s">
        <v>727</v>
      </c>
      <c r="AA49" s="1783"/>
      <c r="AB49" s="1264" t="s">
        <v>727</v>
      </c>
      <c r="AC49" s="1783"/>
    </row>
    <row r="50" spans="1:29">
      <c r="A50" s="1097"/>
      <c r="B50" s="659" t="s">
        <v>1964</v>
      </c>
      <c r="C50" s="415"/>
      <c r="D50" s="430"/>
      <c r="E50" s="422"/>
      <c r="F50" s="431"/>
      <c r="G50" s="1805"/>
      <c r="H50" s="1264" t="s">
        <v>727</v>
      </c>
      <c r="I50" s="1783"/>
      <c r="J50" s="1264" t="s">
        <v>727</v>
      </c>
      <c r="K50" s="1783"/>
      <c r="L50" s="1264" t="s">
        <v>727</v>
      </c>
      <c r="M50" s="1783"/>
      <c r="N50" s="1264" t="s">
        <v>727</v>
      </c>
      <c r="O50" s="1783"/>
      <c r="P50" s="1264" t="s">
        <v>727</v>
      </c>
      <c r="Q50" s="1783"/>
      <c r="R50" s="1264" t="s">
        <v>727</v>
      </c>
      <c r="S50" s="1783"/>
      <c r="T50" s="1264" t="s">
        <v>727</v>
      </c>
      <c r="U50" s="1783"/>
      <c r="V50" s="1264" t="s">
        <v>727</v>
      </c>
      <c r="W50" s="1242"/>
      <c r="X50" s="1795" t="s">
        <v>727</v>
      </c>
      <c r="Y50" s="1794"/>
      <c r="Z50" s="1264" t="s">
        <v>730</v>
      </c>
      <c r="AA50" s="1783"/>
      <c r="AB50" s="1264" t="s">
        <v>730</v>
      </c>
      <c r="AC50" s="1783"/>
    </row>
    <row r="51" spans="1:29">
      <c r="A51" s="1097"/>
      <c r="B51" s="659" t="s">
        <v>1965</v>
      </c>
      <c r="C51" s="415"/>
      <c r="D51" s="430"/>
      <c r="E51" s="422"/>
      <c r="F51" s="431"/>
      <c r="G51" s="1805"/>
      <c r="H51" s="1264" t="s">
        <v>730</v>
      </c>
      <c r="I51" s="1783"/>
      <c r="J51" s="1264" t="s">
        <v>730</v>
      </c>
      <c r="K51" s="1783"/>
      <c r="L51" s="1264" t="s">
        <v>730</v>
      </c>
      <c r="M51" s="1783"/>
      <c r="N51" s="1264" t="s">
        <v>730</v>
      </c>
      <c r="O51" s="1783"/>
      <c r="P51" s="1264" t="s">
        <v>730</v>
      </c>
      <c r="Q51" s="1783"/>
      <c r="R51" s="1264" t="s">
        <v>730</v>
      </c>
      <c r="S51" s="1783"/>
      <c r="T51" s="1264" t="s">
        <v>727</v>
      </c>
      <c r="U51" s="1783"/>
      <c r="V51" s="1264" t="s">
        <v>730</v>
      </c>
      <c r="W51" s="1783" t="s">
        <v>1674</v>
      </c>
      <c r="X51" s="1795" t="s">
        <v>730</v>
      </c>
      <c r="Y51" s="1783" t="s">
        <v>1674</v>
      </c>
      <c r="Z51" s="1264" t="s">
        <v>730</v>
      </c>
      <c r="AA51" s="1783"/>
      <c r="AB51" s="1264" t="s">
        <v>730</v>
      </c>
      <c r="AC51" s="1783"/>
    </row>
    <row r="52" spans="1:29">
      <c r="A52" s="1097"/>
      <c r="B52" s="659" t="s">
        <v>1966</v>
      </c>
      <c r="C52" s="415"/>
      <c r="D52" s="508">
        <f>2*3</f>
        <v>6</v>
      </c>
      <c r="E52" s="422" t="s">
        <v>847</v>
      </c>
      <c r="F52" s="431">
        <v>900</v>
      </c>
      <c r="G52" s="1805">
        <f>F52*D52</f>
        <v>5400</v>
      </c>
      <c r="H52" s="1273" t="s">
        <v>1035</v>
      </c>
      <c r="I52" s="1807">
        <f>$G$52</f>
        <v>5400</v>
      </c>
      <c r="J52" s="1273" t="s">
        <v>1035</v>
      </c>
      <c r="K52" s="1807">
        <f>$G$52</f>
        <v>5400</v>
      </c>
      <c r="L52" s="1273" t="s">
        <v>1035</v>
      </c>
      <c r="M52" s="1807">
        <f>$G$52</f>
        <v>5400</v>
      </c>
      <c r="N52" s="1273" t="s">
        <v>1035</v>
      </c>
      <c r="O52" s="1807">
        <f>$G$52</f>
        <v>5400</v>
      </c>
      <c r="P52" s="1273" t="s">
        <v>1035</v>
      </c>
      <c r="Q52" s="1807">
        <f>$G$52</f>
        <v>5400</v>
      </c>
      <c r="R52" s="1264" t="s">
        <v>727</v>
      </c>
      <c r="S52" s="1783"/>
      <c r="T52" s="1273" t="s">
        <v>1035</v>
      </c>
      <c r="U52" s="1807">
        <f>$G$52</f>
        <v>5400</v>
      </c>
      <c r="V52" s="1273" t="s">
        <v>1035</v>
      </c>
      <c r="W52" s="1807">
        <f>$G$52</f>
        <v>5400</v>
      </c>
      <c r="X52" s="1273" t="s">
        <v>1035</v>
      </c>
      <c r="Y52" s="1807">
        <f>$G$52</f>
        <v>5400</v>
      </c>
      <c r="Z52" s="1264" t="s">
        <v>727</v>
      </c>
      <c r="AA52" s="1783">
        <v>2700</v>
      </c>
      <c r="AB52" s="1273" t="s">
        <v>1035</v>
      </c>
      <c r="AC52" s="1807">
        <f>6*1064</f>
        <v>6384</v>
      </c>
    </row>
    <row r="53" spans="1:29">
      <c r="A53" s="1097"/>
      <c r="B53" s="659"/>
      <c r="C53" s="415"/>
      <c r="D53" s="430"/>
      <c r="E53" s="422"/>
      <c r="F53" s="431"/>
      <c r="G53" s="1805"/>
      <c r="H53" s="1264"/>
      <c r="I53" s="1783"/>
      <c r="J53" s="1783"/>
      <c r="K53" s="1783"/>
      <c r="L53" s="1264"/>
      <c r="M53" s="1783"/>
      <c r="N53" s="1783"/>
      <c r="O53" s="1783"/>
      <c r="P53" s="1264"/>
      <c r="Q53" s="1783"/>
      <c r="R53" s="1783"/>
      <c r="S53" s="1783"/>
      <c r="T53" s="1264"/>
      <c r="U53" s="1783"/>
      <c r="V53" s="1264"/>
      <c r="W53" s="1242"/>
      <c r="X53" s="1795"/>
      <c r="Y53" s="1794"/>
      <c r="Z53" s="1264"/>
      <c r="AA53" s="1783"/>
      <c r="AB53" s="1264"/>
      <c r="AC53" s="1783"/>
    </row>
    <row r="54" spans="1:29">
      <c r="A54" s="1097"/>
      <c r="B54" s="657" t="s">
        <v>1978</v>
      </c>
      <c r="C54" s="457" t="s">
        <v>1979</v>
      </c>
      <c r="D54" s="430"/>
      <c r="E54" s="422"/>
      <c r="F54" s="431"/>
      <c r="G54" s="1805"/>
      <c r="H54" s="1264" t="s">
        <v>727</v>
      </c>
      <c r="I54" s="1783"/>
      <c r="J54" s="1264" t="s">
        <v>727</v>
      </c>
      <c r="K54" s="1783"/>
      <c r="L54" s="1264" t="s">
        <v>727</v>
      </c>
      <c r="M54" s="1783"/>
      <c r="N54" s="1264" t="s">
        <v>727</v>
      </c>
      <c r="O54" s="1783"/>
      <c r="P54" s="1264" t="s">
        <v>727</v>
      </c>
      <c r="Q54" s="1783"/>
      <c r="R54" s="1264" t="s">
        <v>727</v>
      </c>
      <c r="S54" s="1783"/>
      <c r="T54" s="1264" t="s">
        <v>727</v>
      </c>
      <c r="U54" s="1783"/>
      <c r="V54" s="1264" t="s">
        <v>727</v>
      </c>
      <c r="W54" s="1242"/>
      <c r="X54" s="1795" t="s">
        <v>727</v>
      </c>
      <c r="Y54" s="1794"/>
      <c r="Z54" s="1264" t="s">
        <v>727</v>
      </c>
      <c r="AA54" s="1783"/>
      <c r="AB54" s="1264" t="s">
        <v>727</v>
      </c>
      <c r="AC54" s="1783"/>
    </row>
    <row r="55" spans="1:29">
      <c r="A55" s="1589"/>
      <c r="B55" s="657" t="s">
        <v>1980</v>
      </c>
      <c r="C55" s="377" t="s">
        <v>1979</v>
      </c>
      <c r="D55" s="87"/>
      <c r="E55" s="86"/>
      <c r="F55" s="431"/>
      <c r="G55" s="1805"/>
      <c r="H55" s="1264" t="s">
        <v>727</v>
      </c>
      <c r="I55" s="1783"/>
      <c r="J55" s="1264" t="s">
        <v>727</v>
      </c>
      <c r="K55" s="1783"/>
      <c r="L55" s="1264" t="s">
        <v>727</v>
      </c>
      <c r="M55" s="1783"/>
      <c r="N55" s="1264" t="s">
        <v>727</v>
      </c>
      <c r="O55" s="1783"/>
      <c r="P55" s="1264" t="s">
        <v>727</v>
      </c>
      <c r="Q55" s="1783"/>
      <c r="R55" s="1264" t="s">
        <v>727</v>
      </c>
      <c r="S55" s="1783"/>
      <c r="T55" s="1264" t="s">
        <v>727</v>
      </c>
      <c r="U55" s="1783"/>
      <c r="V55" s="1264" t="s">
        <v>727</v>
      </c>
      <c r="W55" s="1242"/>
      <c r="X55" s="1795" t="s">
        <v>727</v>
      </c>
      <c r="Y55" s="1794"/>
      <c r="Z55" s="1264" t="s">
        <v>727</v>
      </c>
      <c r="AA55" s="1783"/>
      <c r="AB55" s="1264" t="s">
        <v>727</v>
      </c>
      <c r="AC55" s="1783"/>
    </row>
    <row r="56" spans="1:29">
      <c r="A56" s="1589"/>
      <c r="B56" s="657" t="s">
        <v>1981</v>
      </c>
      <c r="C56" s="377" t="s">
        <v>1979</v>
      </c>
      <c r="D56" s="87"/>
      <c r="E56" s="86"/>
      <c r="F56" s="431"/>
      <c r="G56" s="1805"/>
      <c r="H56" s="1264" t="s">
        <v>727</v>
      </c>
      <c r="I56" s="1783"/>
      <c r="J56" s="1264" t="s">
        <v>727</v>
      </c>
      <c r="K56" s="1783"/>
      <c r="L56" s="1264" t="s">
        <v>727</v>
      </c>
      <c r="M56" s="1783"/>
      <c r="N56" s="1264" t="s">
        <v>727</v>
      </c>
      <c r="O56" s="1783"/>
      <c r="P56" s="1264" t="s">
        <v>727</v>
      </c>
      <c r="Q56" s="1783"/>
      <c r="R56" s="1264" t="s">
        <v>727</v>
      </c>
      <c r="S56" s="1783"/>
      <c r="T56" s="1264" t="s">
        <v>727</v>
      </c>
      <c r="U56" s="1783"/>
      <c r="V56" s="1264" t="s">
        <v>727</v>
      </c>
      <c r="W56" s="1242"/>
      <c r="X56" s="1795" t="s">
        <v>727</v>
      </c>
      <c r="Y56" s="1794"/>
      <c r="Z56" s="1264" t="s">
        <v>727</v>
      </c>
      <c r="AA56" s="1783"/>
      <c r="AB56" s="1264" t="s">
        <v>727</v>
      </c>
      <c r="AC56" s="1783"/>
    </row>
    <row r="57" spans="1:29">
      <c r="A57" s="1589"/>
      <c r="B57" s="657" t="s">
        <v>1982</v>
      </c>
      <c r="C57" s="23"/>
      <c r="D57" s="87"/>
      <c r="E57" s="86"/>
      <c r="F57" s="431"/>
      <c r="G57" s="1805"/>
      <c r="H57" s="1264" t="s">
        <v>727</v>
      </c>
      <c r="I57" s="1783"/>
      <c r="J57" s="1264" t="s">
        <v>727</v>
      </c>
      <c r="K57" s="1783"/>
      <c r="L57" s="1264" t="s">
        <v>730</v>
      </c>
      <c r="M57" s="1783"/>
      <c r="N57" s="1264" t="s">
        <v>730</v>
      </c>
      <c r="O57" s="1783"/>
      <c r="P57" s="1264" t="s">
        <v>727</v>
      </c>
      <c r="Q57" s="1783"/>
      <c r="R57" s="1264" t="s">
        <v>727</v>
      </c>
      <c r="S57" s="1783"/>
      <c r="T57" s="1264" t="s">
        <v>727</v>
      </c>
      <c r="U57" s="1783"/>
      <c r="V57" s="1264" t="s">
        <v>727</v>
      </c>
      <c r="W57" s="1242"/>
      <c r="X57" s="1795" t="s">
        <v>730</v>
      </c>
      <c r="Y57" s="1783" t="s">
        <v>1674</v>
      </c>
      <c r="Z57" s="1264" t="s">
        <v>727</v>
      </c>
      <c r="AA57" s="1783"/>
      <c r="AB57" s="1264" t="s">
        <v>727</v>
      </c>
      <c r="AC57" s="1783"/>
    </row>
    <row r="58" spans="1:29">
      <c r="A58" s="1589"/>
      <c r="B58" s="1808" t="s">
        <v>1983</v>
      </c>
      <c r="C58" s="23"/>
      <c r="D58" s="508">
        <v>1</v>
      </c>
      <c r="E58" s="86" t="s">
        <v>1181</v>
      </c>
      <c r="F58" s="87">
        <v>70000</v>
      </c>
      <c r="G58" s="1805">
        <f>F58*D58</f>
        <v>70000</v>
      </c>
      <c r="H58" s="1264" t="s">
        <v>727</v>
      </c>
      <c r="I58" s="1783"/>
      <c r="J58" s="1264" t="s">
        <v>727</v>
      </c>
      <c r="K58" s="1783">
        <f>16930</f>
        <v>16930</v>
      </c>
      <c r="L58" s="1273" t="s">
        <v>1035</v>
      </c>
      <c r="M58" s="1807">
        <f>Q58</f>
        <v>70000</v>
      </c>
      <c r="N58" s="1264" t="s">
        <v>727</v>
      </c>
      <c r="O58" s="1783">
        <v>7749.91</v>
      </c>
      <c r="P58" s="1273" t="s">
        <v>1035</v>
      </c>
      <c r="Q58" s="1807">
        <f>G58</f>
        <v>70000</v>
      </c>
      <c r="R58" s="1264" t="s">
        <v>727</v>
      </c>
      <c r="S58" s="1783">
        <v>17997.46</v>
      </c>
      <c r="T58" s="1264" t="s">
        <v>727</v>
      </c>
      <c r="U58" s="1783"/>
      <c r="V58" s="1264" t="s">
        <v>727</v>
      </c>
      <c r="W58" s="1242"/>
      <c r="X58" s="1795" t="s">
        <v>727</v>
      </c>
      <c r="Y58" s="1783"/>
      <c r="Z58" s="1264" t="s">
        <v>727</v>
      </c>
      <c r="AA58" s="1783"/>
      <c r="AB58" s="1273" t="s">
        <v>1035</v>
      </c>
      <c r="AC58" s="1807">
        <f>S58</f>
        <v>17997.46</v>
      </c>
    </row>
    <row r="59" spans="1:29">
      <c r="A59" s="1589"/>
      <c r="B59" s="1808" t="s">
        <v>1984</v>
      </c>
      <c r="C59" s="23"/>
      <c r="D59" s="87"/>
      <c r="E59" s="86"/>
      <c r="F59" s="431"/>
      <c r="G59" s="830"/>
      <c r="H59" s="1264" t="s">
        <v>730</v>
      </c>
      <c r="I59" s="1783"/>
      <c r="J59" s="1264" t="s">
        <v>730</v>
      </c>
      <c r="K59" s="1783"/>
      <c r="L59" s="1264" t="s">
        <v>730</v>
      </c>
      <c r="M59" s="1783"/>
      <c r="N59" s="1264" t="s">
        <v>730</v>
      </c>
      <c r="O59" s="1783"/>
      <c r="P59" s="1264" t="s">
        <v>730</v>
      </c>
      <c r="Q59" s="1783"/>
      <c r="R59" s="1264" t="s">
        <v>727</v>
      </c>
      <c r="S59" s="1783"/>
      <c r="T59" s="1264" t="s">
        <v>730</v>
      </c>
      <c r="U59" s="1783"/>
      <c r="V59" s="1264" t="s">
        <v>730</v>
      </c>
      <c r="W59" s="1783" t="s">
        <v>1674</v>
      </c>
      <c r="X59" s="1795" t="s">
        <v>730</v>
      </c>
      <c r="Y59" s="1783" t="s">
        <v>1674</v>
      </c>
      <c r="Z59" s="1264" t="s">
        <v>727</v>
      </c>
      <c r="AA59" s="1783"/>
      <c r="AB59" s="1264" t="s">
        <v>730</v>
      </c>
      <c r="AC59" s="1783"/>
    </row>
    <row r="60" spans="1:29">
      <c r="A60" s="1589"/>
      <c r="B60" s="659"/>
      <c r="C60" s="23"/>
      <c r="D60" s="87"/>
      <c r="E60" s="86"/>
      <c r="F60" s="431"/>
      <c r="G60" s="830"/>
      <c r="H60" s="1264"/>
      <c r="I60" s="1783"/>
      <c r="J60" s="1783"/>
      <c r="K60" s="1783"/>
      <c r="L60" s="1264"/>
      <c r="M60" s="1783"/>
      <c r="N60" s="1783"/>
      <c r="O60" s="1783"/>
      <c r="P60" s="1264"/>
      <c r="Q60" s="1783"/>
      <c r="R60" s="1783"/>
      <c r="S60" s="1783"/>
      <c r="T60" s="1264"/>
      <c r="U60" s="1783"/>
      <c r="V60" s="1264"/>
      <c r="W60" s="1242"/>
      <c r="X60" s="1795"/>
      <c r="Y60" s="1242"/>
      <c r="Z60" s="1264"/>
      <c r="AA60" s="1783"/>
      <c r="AB60" s="1264"/>
      <c r="AC60" s="1783"/>
    </row>
    <row r="61" spans="1:29">
      <c r="A61" s="1589"/>
      <c r="B61" s="657" t="s">
        <v>1985</v>
      </c>
      <c r="C61" s="23"/>
      <c r="D61" s="87"/>
      <c r="E61" s="86"/>
      <c r="F61" s="431"/>
      <c r="G61" s="830"/>
      <c r="H61" s="1264"/>
      <c r="I61" s="1783"/>
      <c r="J61" s="1783"/>
      <c r="K61" s="1783"/>
      <c r="L61" s="1264"/>
      <c r="M61" s="1783"/>
      <c r="N61" s="1783"/>
      <c r="O61" s="1783"/>
      <c r="P61" s="1264"/>
      <c r="Q61" s="1807">
        <v>-18500</v>
      </c>
      <c r="R61" s="1783"/>
      <c r="S61" s="1807">
        <v>-18500</v>
      </c>
      <c r="T61" s="1264"/>
      <c r="U61" s="1783"/>
      <c r="V61" s="1264"/>
      <c r="W61" s="1242"/>
      <c r="X61" s="1795"/>
      <c r="Y61" s="1242"/>
      <c r="Z61" s="1264"/>
      <c r="AA61" s="1783"/>
      <c r="AB61" s="1264"/>
      <c r="AC61" s="1783"/>
    </row>
    <row r="62" spans="1:29" ht="15.75" thickBot="1">
      <c r="A62" s="1589"/>
      <c r="B62" s="659"/>
      <c r="C62" s="23"/>
      <c r="D62" s="87"/>
      <c r="E62" s="86"/>
      <c r="F62" s="431"/>
      <c r="G62" s="830"/>
      <c r="H62" s="1264"/>
      <c r="I62" s="1783"/>
      <c r="J62" s="1783"/>
      <c r="K62" s="1783"/>
      <c r="L62" s="1264"/>
      <c r="M62" s="1783"/>
      <c r="N62" s="1783"/>
      <c r="O62" s="1783"/>
      <c r="P62" s="1264"/>
      <c r="Q62" s="1783"/>
      <c r="R62" s="1783"/>
      <c r="S62" s="1783"/>
      <c r="T62" s="1264"/>
      <c r="U62" s="1783"/>
      <c r="V62" s="1264"/>
      <c r="W62" s="1242"/>
      <c r="X62" s="1795"/>
      <c r="Y62" s="1794"/>
      <c r="Z62" s="1264"/>
      <c r="AA62" s="1783"/>
      <c r="AB62" s="1264"/>
      <c r="AC62" s="1783"/>
    </row>
    <row r="63" spans="1:29" ht="15.75" thickTop="1">
      <c r="A63" s="296"/>
      <c r="B63" s="301"/>
      <c r="C63" s="297"/>
      <c r="D63" s="15"/>
      <c r="E63" s="16"/>
      <c r="F63" s="282" t="s">
        <v>753</v>
      </c>
      <c r="G63" s="272"/>
      <c r="H63" s="273"/>
      <c r="I63" s="273">
        <f>SUM(I12:I62)</f>
        <v>758440</v>
      </c>
      <c r="J63" s="273"/>
      <c r="K63" s="273">
        <f>SUM(K12:K62)</f>
        <v>753040</v>
      </c>
      <c r="L63" s="273"/>
      <c r="M63" s="273">
        <f>SUM(M12:M62)</f>
        <v>781208.2</v>
      </c>
      <c r="N63" s="273"/>
      <c r="O63" s="273">
        <f>SUM(O12:O62)</f>
        <v>705858.20000000007</v>
      </c>
      <c r="P63" s="273"/>
      <c r="Q63" s="273">
        <f>SUM(Q20:Q62)</f>
        <v>781459.88</v>
      </c>
      <c r="R63" s="273"/>
      <c r="S63" s="273">
        <f>SUM(S20:S62)</f>
        <v>818516.19</v>
      </c>
      <c r="T63" s="273"/>
      <c r="U63" s="273">
        <f>SUM(U12:U62)</f>
        <v>859150</v>
      </c>
      <c r="V63" s="273"/>
      <c r="W63" s="273">
        <f>SUM(W12:W62)</f>
        <v>868948</v>
      </c>
      <c r="X63" s="1809"/>
      <c r="Y63" s="654">
        <f>SUM(Y12:Y62)</f>
        <v>934365.33</v>
      </c>
      <c r="Z63" s="273"/>
      <c r="AA63" s="273">
        <f>SUM(AA12:AA62)</f>
        <v>1645723.9400000002</v>
      </c>
      <c r="AB63" s="273"/>
      <c r="AC63" s="273">
        <f>SUM(AC12:AC62)</f>
        <v>821907.96</v>
      </c>
    </row>
    <row r="64" spans="1:29">
      <c r="A64" s="1114"/>
      <c r="B64" s="1164"/>
      <c r="C64" s="432"/>
      <c r="D64" s="433"/>
      <c r="E64" s="434"/>
      <c r="F64" s="435" t="s">
        <v>754</v>
      </c>
      <c r="G64" s="436"/>
      <c r="H64" s="1395">
        <v>5.0000000000000001E-3</v>
      </c>
      <c r="I64" s="1166"/>
      <c r="J64" s="1395">
        <v>5.0000000000000001E-3</v>
      </c>
      <c r="K64" s="1166"/>
      <c r="L64" s="1395">
        <v>0</v>
      </c>
      <c r="M64" s="1166"/>
      <c r="N64" s="1395">
        <v>0</v>
      </c>
      <c r="O64" s="1166"/>
      <c r="P64" s="1395">
        <v>5.0000000000000001E-3</v>
      </c>
      <c r="Q64" s="1166"/>
      <c r="R64" s="1395">
        <v>5.0000000000000001E-3</v>
      </c>
      <c r="S64" s="1166"/>
      <c r="T64" s="1395">
        <v>5.0000000000000001E-3</v>
      </c>
      <c r="U64" s="1166"/>
      <c r="V64" s="1810">
        <v>5.0000000000000001E-3</v>
      </c>
      <c r="W64" s="1166"/>
      <c r="X64" s="1810">
        <v>5.0000000000000001E-3</v>
      </c>
      <c r="Y64" s="1811"/>
      <c r="Z64" s="1810">
        <v>5.0000000000000001E-3</v>
      </c>
      <c r="AA64" s="1166"/>
      <c r="AB64" s="1810">
        <v>5.0000000000000001E-3</v>
      </c>
      <c r="AC64" s="1166"/>
    </row>
    <row r="65" spans="1:42">
      <c r="A65" s="1114"/>
      <c r="B65" s="1164"/>
      <c r="C65" s="432"/>
      <c r="D65" s="433"/>
      <c r="E65" s="434"/>
      <c r="F65" s="435" t="s">
        <v>755</v>
      </c>
      <c r="G65" s="436"/>
      <c r="H65" s="1166"/>
      <c r="I65" s="1166">
        <f>H64*I63</f>
        <v>3792.2000000000003</v>
      </c>
      <c r="J65" s="1166"/>
      <c r="K65" s="1166">
        <f>J64*K63</f>
        <v>3765.2000000000003</v>
      </c>
      <c r="L65" s="1166"/>
      <c r="M65" s="1166">
        <f>L64*M63</f>
        <v>0</v>
      </c>
      <c r="N65" s="1166"/>
      <c r="O65" s="1166">
        <f>N64*O63</f>
        <v>0</v>
      </c>
      <c r="P65" s="1166"/>
      <c r="Q65" s="1166">
        <f>P64*Q63</f>
        <v>3907.2993999999999</v>
      </c>
      <c r="R65" s="1166"/>
      <c r="S65" s="1166">
        <f>R64*S63</f>
        <v>4092.58095</v>
      </c>
      <c r="T65" s="1166"/>
      <c r="U65" s="1166">
        <f>T64*U63</f>
        <v>4295.75</v>
      </c>
      <c r="V65" s="1166"/>
      <c r="W65" s="1166">
        <f>V64*W63</f>
        <v>4344.74</v>
      </c>
      <c r="X65" s="1812"/>
      <c r="Y65" s="1811">
        <f>X64*Y63</f>
        <v>4671.82665</v>
      </c>
      <c r="Z65" s="1166"/>
      <c r="AA65" s="1166">
        <f>Z64*AA63</f>
        <v>8228.6197000000011</v>
      </c>
      <c r="AB65" s="1166"/>
      <c r="AC65" s="1166">
        <f>AB64*AC63</f>
        <v>4109.5397999999996</v>
      </c>
    </row>
    <row r="66" spans="1:42">
      <c r="A66" s="1114"/>
      <c r="B66" s="1164"/>
      <c r="C66" s="432"/>
      <c r="D66" s="433"/>
      <c r="E66" s="434"/>
      <c r="F66" s="435"/>
      <c r="G66" s="436"/>
      <c r="H66" s="1166"/>
      <c r="I66" s="1166"/>
      <c r="J66" s="1166"/>
      <c r="K66" s="1166"/>
      <c r="L66" s="1166"/>
      <c r="M66" s="1166"/>
      <c r="N66" s="1166"/>
      <c r="O66" s="1166"/>
      <c r="P66" s="1166"/>
      <c r="Q66" s="1166"/>
      <c r="R66" s="1166"/>
      <c r="S66" s="1166"/>
      <c r="T66" s="1166"/>
      <c r="U66" s="1166"/>
      <c r="V66" s="1166"/>
      <c r="W66" s="1166"/>
      <c r="X66" s="1812"/>
      <c r="Y66" s="1811"/>
      <c r="Z66" s="1166"/>
      <c r="AA66" s="1166"/>
      <c r="AB66" s="1166"/>
      <c r="AC66" s="1166"/>
    </row>
    <row r="67" spans="1:42">
      <c r="A67" s="1114"/>
      <c r="B67" s="1164"/>
      <c r="C67" s="432"/>
      <c r="D67" s="433"/>
      <c r="E67" s="434"/>
      <c r="F67" s="435" t="s">
        <v>756</v>
      </c>
      <c r="G67" s="436"/>
      <c r="H67" s="1166"/>
      <c r="I67" s="1166">
        <f>SUM(I63:I65)</f>
        <v>762232.2</v>
      </c>
      <c r="J67" s="1166"/>
      <c r="K67" s="1166">
        <f>SUM(K63:K65)</f>
        <v>756805.2</v>
      </c>
      <c r="L67" s="1166"/>
      <c r="M67" s="1166">
        <f>SUM(M63:M65)</f>
        <v>781208.2</v>
      </c>
      <c r="N67" s="1166"/>
      <c r="O67" s="1166">
        <f>SUM(O63:O65)</f>
        <v>705858.20000000007</v>
      </c>
      <c r="P67" s="1166"/>
      <c r="Q67" s="1166">
        <f>SUM(Q63:Q65)</f>
        <v>785367.17940000002</v>
      </c>
      <c r="R67" s="1166"/>
      <c r="S67" s="1166">
        <f>SUM(S63:S65)</f>
        <v>822608.77094999992</v>
      </c>
      <c r="T67" s="1166"/>
      <c r="U67" s="1166">
        <f>SUM(U63:U65)</f>
        <v>863445.75</v>
      </c>
      <c r="V67" s="1166"/>
      <c r="W67" s="1166">
        <f>SUM(W63:W65)</f>
        <v>873292.74</v>
      </c>
      <c r="X67" s="1812"/>
      <c r="Y67" s="1811">
        <f>SUM(Y63:Y65)</f>
        <v>939037.1566499999</v>
      </c>
      <c r="Z67" s="1166"/>
      <c r="AA67" s="1166">
        <f>SUM(AA63:AA65)</f>
        <v>1653952.5597000001</v>
      </c>
      <c r="AB67" s="1166"/>
      <c r="AC67" s="1166">
        <f>SUM(AC63:AC65)</f>
        <v>826017.49979999999</v>
      </c>
    </row>
    <row r="68" spans="1:42">
      <c r="A68" s="1114"/>
      <c r="B68" s="1164"/>
      <c r="C68" s="432"/>
      <c r="D68" s="433"/>
      <c r="E68" s="434"/>
      <c r="F68" s="437" t="s">
        <v>757</v>
      </c>
      <c r="G68" s="438"/>
      <c r="H68" s="1167"/>
      <c r="I68" s="1167">
        <f>I67/'Area Calculations'!$G$4</f>
        <v>1.3172298902815627</v>
      </c>
      <c r="J68" s="1167"/>
      <c r="K68" s="1167">
        <f>K67/'Area Calculations'!$G$4</f>
        <v>1.3078513746342861</v>
      </c>
      <c r="L68" s="1167"/>
      <c r="M68" s="1167">
        <f>M67/'Area Calculations'!$G$4</f>
        <v>1.3500227247983714</v>
      </c>
      <c r="N68" s="1167"/>
      <c r="O68" s="1167">
        <f>O67/'Area Calculations'!$G$4</f>
        <v>1.2198087660693704</v>
      </c>
      <c r="P68" s="1167"/>
      <c r="Q68" s="1167">
        <f>Q67/'Area Calculations'!$G$4</f>
        <v>1.3572099467220127</v>
      </c>
      <c r="R68" s="1167"/>
      <c r="S68" s="1167">
        <f>S67/'Area Calculations'!$G$4</f>
        <v>1.4215679436044812</v>
      </c>
      <c r="T68" s="1167"/>
      <c r="U68" s="1167">
        <f>U67/'Area Calculations'!$G$4</f>
        <v>1.4921392071032709</v>
      </c>
      <c r="V68" s="1167"/>
      <c r="W68" s="1167">
        <f>W67/'Area Calculations'!$G$4</f>
        <v>1.5091560027166071</v>
      </c>
      <c r="X68" s="1813"/>
      <c r="Y68" s="1814">
        <f>Y67/'Area Calculations'!$G$4</f>
        <v>1.6227703458662466</v>
      </c>
      <c r="Z68" s="1167"/>
      <c r="AA68" s="1167">
        <f>AA67/'Area Calculations'!$G$4</f>
        <v>2.8582310597014153</v>
      </c>
      <c r="AB68" s="1167"/>
      <c r="AC68" s="1167">
        <f>AC67/'Area Calculations'!$G$4</f>
        <v>1.4274586413854005</v>
      </c>
    </row>
    <row r="69" spans="1:42">
      <c r="A69" s="1114"/>
      <c r="B69" s="1164"/>
      <c r="C69" s="432"/>
      <c r="D69" s="433"/>
      <c r="E69" s="434"/>
      <c r="F69" s="437" t="s">
        <v>758</v>
      </c>
      <c r="G69" s="438"/>
      <c r="H69" s="1167"/>
      <c r="I69" s="1167">
        <f>I67/'Area Calculations'!$G$9</f>
        <v>7123.6654205607474</v>
      </c>
      <c r="J69" s="1167"/>
      <c r="K69" s="1167">
        <f>K67/'Area Calculations'!$G$9</f>
        <v>7072.9457943925227</v>
      </c>
      <c r="L69" s="1167"/>
      <c r="M69" s="1167">
        <f>M67/'Area Calculations'!$G$9</f>
        <v>7301.0112149532706</v>
      </c>
      <c r="N69" s="1167"/>
      <c r="O69" s="1167">
        <f>O67/'Area Calculations'!$G$9</f>
        <v>6596.8056074766364</v>
      </c>
      <c r="P69" s="1167"/>
      <c r="Q69" s="1167">
        <f>Q67/'Area Calculations'!$G$9</f>
        <v>7339.880181308411</v>
      </c>
      <c r="R69" s="1167"/>
      <c r="S69" s="1167">
        <f>S67/'Area Calculations'!$G$9</f>
        <v>7687.9324387850456</v>
      </c>
      <c r="T69" s="1167"/>
      <c r="U69" s="1167">
        <f>U67/'Area Calculations'!$G$9</f>
        <v>8069.586448598131</v>
      </c>
      <c r="V69" s="1167"/>
      <c r="W69" s="1167">
        <f>W67/'Area Calculations'!$G$9</f>
        <v>8161.6143925233646</v>
      </c>
      <c r="X69" s="1813"/>
      <c r="Y69" s="1814">
        <f>Y67/'Area Calculations'!$G$9</f>
        <v>8776.0481929906528</v>
      </c>
      <c r="Z69" s="1167"/>
      <c r="AA69" s="1167">
        <f>AA67/'Area Calculations'!$G$9</f>
        <v>15457.500557943926</v>
      </c>
      <c r="AB69" s="1167"/>
      <c r="AC69" s="1167">
        <f>AC67/'Area Calculations'!$G$9</f>
        <v>7719.7897177570094</v>
      </c>
    </row>
    <row r="70" spans="1:42" ht="15.75" thickBot="1">
      <c r="A70" s="1114"/>
      <c r="B70" s="1164"/>
      <c r="C70" s="432"/>
      <c r="D70" s="433"/>
      <c r="E70" s="434"/>
      <c r="F70" s="439"/>
      <c r="G70" s="436"/>
      <c r="H70" s="1168"/>
      <c r="I70" s="1168"/>
      <c r="J70" s="1168"/>
      <c r="K70" s="1168"/>
      <c r="L70" s="1168"/>
      <c r="M70" s="1168"/>
      <c r="N70" s="1168"/>
      <c r="O70" s="1168"/>
      <c r="P70" s="1168"/>
      <c r="Q70" s="1168"/>
      <c r="R70" s="1168"/>
      <c r="S70" s="1168"/>
      <c r="T70" s="1168"/>
      <c r="U70" s="1168"/>
      <c r="V70" s="1168"/>
      <c r="W70" s="1168"/>
      <c r="X70" s="1815"/>
      <c r="Y70" s="1816"/>
      <c r="Z70" s="1168"/>
      <c r="AA70" s="1168"/>
      <c r="AB70" s="1168"/>
      <c r="AC70" s="1168"/>
    </row>
    <row r="71" spans="1:42" ht="16.5" thickTop="1" thickBot="1">
      <c r="A71" s="2331" t="s">
        <v>759</v>
      </c>
      <c r="B71" s="2332"/>
      <c r="C71" s="298"/>
      <c r="D71" s="12"/>
      <c r="E71" s="12"/>
      <c r="F71" s="12"/>
      <c r="G71" s="26"/>
      <c r="H71" s="20"/>
      <c r="I71" s="20"/>
      <c r="J71" s="20"/>
      <c r="K71" s="20"/>
      <c r="L71" s="20"/>
      <c r="M71" s="20"/>
      <c r="N71" s="20"/>
      <c r="O71" s="20"/>
      <c r="P71" s="20"/>
      <c r="Q71" s="20"/>
      <c r="R71" s="24"/>
      <c r="S71" s="24"/>
      <c r="T71" s="24"/>
      <c r="U71" s="20"/>
      <c r="V71" s="20"/>
      <c r="W71" s="20"/>
      <c r="X71" s="651"/>
      <c r="Y71" s="655"/>
      <c r="Z71" s="20"/>
      <c r="AA71" s="20"/>
      <c r="AB71" s="20"/>
      <c r="AC71" s="20"/>
    </row>
    <row r="72" spans="1:42" ht="15.75" thickTop="1">
      <c r="A72" s="1817"/>
      <c r="B72" s="1105"/>
      <c r="C72" s="925"/>
      <c r="D72" s="1740"/>
      <c r="E72" s="1740"/>
      <c r="F72" s="1740"/>
      <c r="G72" s="1818"/>
      <c r="H72" s="1819"/>
      <c r="I72" s="1819"/>
      <c r="J72" s="1819"/>
      <c r="K72" s="1819"/>
      <c r="L72" s="1819"/>
      <c r="M72" s="1819"/>
      <c r="N72" s="1819"/>
      <c r="O72" s="1819"/>
      <c r="P72" s="1819"/>
      <c r="Q72" s="1819"/>
      <c r="R72" s="1820"/>
      <c r="S72" s="1820"/>
      <c r="T72" s="1820"/>
      <c r="U72" s="1819"/>
      <c r="V72" s="1819"/>
      <c r="W72" s="1819"/>
      <c r="X72" s="1821"/>
      <c r="Y72" s="1822"/>
      <c r="Z72" s="1819"/>
      <c r="AA72" s="1819"/>
      <c r="AB72" s="1819"/>
      <c r="AC72" s="1819"/>
    </row>
    <row r="73" spans="1:42">
      <c r="A73" s="1817"/>
      <c r="B73" s="1105"/>
      <c r="C73" s="925"/>
      <c r="D73" s="1740"/>
      <c r="E73" s="1740"/>
      <c r="F73" s="1740"/>
      <c r="G73" s="1818"/>
      <c r="H73" s="1819"/>
      <c r="I73" s="1819"/>
      <c r="J73" s="1819"/>
      <c r="K73" s="1819"/>
      <c r="L73" s="1819"/>
      <c r="M73" s="1819"/>
      <c r="N73" s="1819"/>
      <c r="O73" s="1819"/>
      <c r="P73" s="1819"/>
      <c r="Q73" s="1819"/>
      <c r="R73" s="1820"/>
      <c r="S73" s="1820"/>
      <c r="T73" s="1820"/>
      <c r="U73" s="1819"/>
      <c r="V73" s="1819"/>
      <c r="W73" s="1819"/>
      <c r="X73" s="1821"/>
      <c r="Y73" s="1822"/>
      <c r="Z73" s="1819"/>
      <c r="AA73" s="1819"/>
      <c r="AB73" s="1819"/>
      <c r="AC73" s="1819"/>
    </row>
    <row r="74" spans="1:42" ht="15.75" thickBot="1">
      <c r="A74" s="1817"/>
      <c r="B74" s="1105"/>
      <c r="C74" s="925"/>
      <c r="D74" s="1740"/>
      <c r="E74" s="1740"/>
      <c r="F74" s="1740"/>
      <c r="G74" s="1818"/>
      <c r="H74" s="1819"/>
      <c r="I74" s="1819"/>
      <c r="J74" s="1819"/>
      <c r="K74" s="1819"/>
      <c r="L74" s="1819"/>
      <c r="M74" s="1819"/>
      <c r="N74" s="1819"/>
      <c r="O74" s="1819"/>
      <c r="P74" s="1819"/>
      <c r="Q74" s="1819"/>
      <c r="R74" s="1820"/>
      <c r="S74" s="1820"/>
      <c r="T74" s="1820"/>
      <c r="U74" s="1819"/>
      <c r="V74" s="1819"/>
      <c r="W74" s="1819"/>
      <c r="X74" s="1821"/>
      <c r="Y74" s="1822"/>
      <c r="Z74" s="1819"/>
      <c r="AA74" s="1819"/>
      <c r="AB74" s="1819"/>
      <c r="AC74" s="1819"/>
    </row>
    <row r="75" spans="1:42" s="2" customFormat="1" ht="16.5" thickTop="1" thickBot="1">
      <c r="A75" s="2331" t="s">
        <v>760</v>
      </c>
      <c r="B75" s="2332"/>
      <c r="C75" s="298"/>
      <c r="D75" s="12"/>
      <c r="E75" s="12"/>
      <c r="F75" s="12"/>
      <c r="G75" s="26"/>
      <c r="H75" s="20"/>
      <c r="I75" s="20"/>
      <c r="J75" s="20"/>
      <c r="K75" s="20"/>
      <c r="L75" s="20"/>
      <c r="M75" s="20"/>
      <c r="N75" s="20"/>
      <c r="O75" s="20"/>
      <c r="P75" s="20"/>
      <c r="Q75" s="20"/>
      <c r="R75" s="24"/>
      <c r="S75" s="24"/>
      <c r="T75" s="24"/>
      <c r="U75" s="20"/>
      <c r="V75" s="20"/>
      <c r="W75" s="20"/>
      <c r="X75" s="651"/>
      <c r="Y75" s="655"/>
      <c r="Z75" s="20"/>
      <c r="AA75" s="20"/>
      <c r="AB75" s="20"/>
      <c r="AC75" s="20"/>
      <c r="AF75"/>
      <c r="AG75"/>
      <c r="AH75"/>
      <c r="AI75"/>
      <c r="AJ75"/>
      <c r="AK75"/>
      <c r="AL75"/>
      <c r="AM75"/>
      <c r="AN75"/>
      <c r="AO75"/>
      <c r="AP75"/>
    </row>
    <row r="76" spans="1:42" s="2" customFormat="1" ht="15.75" thickTop="1">
      <c r="A76" s="1817"/>
      <c r="B76" s="1105"/>
      <c r="C76" s="925"/>
      <c r="D76" s="1740"/>
      <c r="E76" s="1740"/>
      <c r="F76" s="1740"/>
      <c r="G76" s="1818"/>
      <c r="H76" s="1819"/>
      <c r="I76" s="1819"/>
      <c r="J76" s="1819"/>
      <c r="K76" s="1819"/>
      <c r="L76" s="1819"/>
      <c r="M76" s="1819"/>
      <c r="N76" s="1819"/>
      <c r="O76" s="1819"/>
      <c r="P76" s="1819"/>
      <c r="Q76" s="1819"/>
      <c r="R76" s="1820"/>
      <c r="S76" s="1820"/>
      <c r="T76" s="1820"/>
      <c r="U76" s="1819"/>
      <c r="V76" s="1819"/>
      <c r="W76" s="1819"/>
      <c r="X76" s="1821"/>
      <c r="Y76" s="1822"/>
      <c r="Z76" s="1819"/>
      <c r="AA76" s="1819"/>
      <c r="AB76" s="1819"/>
      <c r="AC76" s="1819"/>
      <c r="AF76"/>
      <c r="AG76"/>
      <c r="AH76"/>
      <c r="AI76"/>
      <c r="AJ76"/>
      <c r="AK76"/>
      <c r="AL76"/>
      <c r="AM76"/>
      <c r="AN76"/>
      <c r="AO76"/>
      <c r="AP76"/>
    </row>
    <row r="77" spans="1:42" s="2" customFormat="1">
      <c r="A77" s="1817"/>
      <c r="B77" s="1105"/>
      <c r="C77" s="925"/>
      <c r="D77" s="1740"/>
      <c r="E77" s="1740"/>
      <c r="F77" s="1740"/>
      <c r="G77" s="1818"/>
      <c r="H77" s="1819"/>
      <c r="I77" s="1819"/>
      <c r="J77" s="1819"/>
      <c r="K77" s="1819"/>
      <c r="L77" s="1819"/>
      <c r="M77" s="1819"/>
      <c r="N77" s="1819"/>
      <c r="O77" s="1819"/>
      <c r="P77" s="1819"/>
      <c r="Q77" s="1819"/>
      <c r="R77" s="1820"/>
      <c r="S77" s="1820"/>
      <c r="T77" s="1820"/>
      <c r="U77" s="1819"/>
      <c r="V77" s="1819"/>
      <c r="W77" s="1819"/>
      <c r="X77" s="1821"/>
      <c r="Y77" s="1822"/>
      <c r="Z77" s="1819"/>
      <c r="AA77" s="1819"/>
      <c r="AB77" s="1819"/>
      <c r="AC77" s="1819"/>
      <c r="AF77"/>
      <c r="AG77"/>
      <c r="AH77"/>
      <c r="AI77"/>
      <c r="AJ77"/>
      <c r="AK77"/>
      <c r="AL77"/>
      <c r="AM77"/>
      <c r="AN77"/>
      <c r="AO77"/>
      <c r="AP77"/>
    </row>
    <row r="78" spans="1:42" ht="15.75" thickBot="1">
      <c r="A78" s="1817"/>
      <c r="B78" s="1105"/>
      <c r="C78" s="925"/>
      <c r="D78" s="1740"/>
      <c r="E78" s="1740"/>
      <c r="F78" s="1740"/>
      <c r="G78" s="1818"/>
      <c r="H78" s="1819"/>
      <c r="I78" s="1819"/>
      <c r="J78" s="1819"/>
      <c r="K78" s="1819"/>
      <c r="L78" s="1819"/>
      <c r="M78" s="1819"/>
      <c r="N78" s="1819"/>
      <c r="O78" s="1819"/>
      <c r="P78" s="1819"/>
      <c r="Q78" s="1819"/>
      <c r="R78" s="1820"/>
      <c r="S78" s="1820"/>
      <c r="T78" s="1820"/>
      <c r="U78" s="1819"/>
      <c r="V78" s="1819"/>
      <c r="W78" s="1819"/>
      <c r="X78" s="1821"/>
      <c r="Y78" s="1822"/>
      <c r="Z78" s="1819"/>
      <c r="AA78" s="1819"/>
      <c r="AB78" s="1819"/>
      <c r="AC78" s="1819"/>
    </row>
    <row r="79" spans="1:42" s="2" customFormat="1" ht="16.5" thickTop="1" thickBot="1">
      <c r="A79" s="2331" t="s">
        <v>761</v>
      </c>
      <c r="B79" s="2332"/>
      <c r="C79" s="298"/>
      <c r="D79" s="12"/>
      <c r="E79" s="12"/>
      <c r="F79" s="12"/>
      <c r="G79" s="26"/>
      <c r="H79" s="20"/>
      <c r="I79" s="20"/>
      <c r="J79" s="20"/>
      <c r="K79" s="20"/>
      <c r="L79" s="20"/>
      <c r="M79" s="20"/>
      <c r="N79" s="20"/>
      <c r="O79" s="20"/>
      <c r="P79" s="20"/>
      <c r="Q79" s="20"/>
      <c r="R79" s="24"/>
      <c r="S79" s="24"/>
      <c r="T79" s="24"/>
      <c r="U79" s="20"/>
      <c r="V79" s="20"/>
      <c r="W79" s="20"/>
      <c r="X79" s="651"/>
      <c r="Y79" s="655"/>
      <c r="Z79" s="20"/>
      <c r="AA79" s="20"/>
      <c r="AB79" s="20"/>
      <c r="AC79" s="20"/>
      <c r="AF79"/>
      <c r="AG79"/>
      <c r="AH79"/>
      <c r="AI79"/>
      <c r="AJ79"/>
      <c r="AK79"/>
      <c r="AL79"/>
      <c r="AM79"/>
      <c r="AN79"/>
      <c r="AO79"/>
      <c r="AP79"/>
    </row>
    <row r="80" spans="1:42" s="2" customFormat="1" ht="15.75" thickTop="1">
      <c r="A80" s="1124"/>
      <c r="B80" s="1105" t="s">
        <v>1986</v>
      </c>
      <c r="C80" s="415"/>
      <c r="D80" s="422"/>
      <c r="E80" s="422"/>
      <c r="F80" s="422"/>
      <c r="G80" s="831"/>
      <c r="H80" s="1173"/>
      <c r="I80" s="1173"/>
      <c r="J80" s="1173"/>
      <c r="K80" s="1173"/>
      <c r="L80" s="1173"/>
      <c r="M80" s="1173"/>
      <c r="N80" s="1173"/>
      <c r="O80" s="1173"/>
      <c r="P80" s="1173"/>
      <c r="Q80" s="1173"/>
      <c r="R80" s="440"/>
      <c r="S80" s="440"/>
      <c r="T80" s="440"/>
      <c r="U80" s="1173"/>
      <c r="V80" s="1173"/>
      <c r="W80" s="1173"/>
      <c r="X80" s="1823"/>
      <c r="Y80" s="1824"/>
      <c r="Z80" s="1173"/>
      <c r="AA80" s="1173"/>
      <c r="AB80" s="1173"/>
      <c r="AC80" s="1173"/>
      <c r="AF80"/>
      <c r="AG80"/>
      <c r="AH80"/>
      <c r="AI80"/>
      <c r="AJ80"/>
      <c r="AK80"/>
      <c r="AL80"/>
      <c r="AM80"/>
      <c r="AN80"/>
      <c r="AO80"/>
      <c r="AP80"/>
    </row>
    <row r="81" spans="1:42" s="2" customFormat="1" ht="15.75" thickBot="1">
      <c r="A81" s="1126"/>
      <c r="B81" s="1174" t="s">
        <v>1987</v>
      </c>
      <c r="C81" s="415"/>
      <c r="D81" s="422"/>
      <c r="E81" s="422"/>
      <c r="F81" s="422"/>
      <c r="G81" s="831"/>
      <c r="H81" s="1264" t="s">
        <v>727</v>
      </c>
      <c r="I81" s="1175"/>
      <c r="J81" s="1175"/>
      <c r="K81" s="1175"/>
      <c r="L81" s="1175"/>
      <c r="M81" s="1175"/>
      <c r="N81" s="1175"/>
      <c r="O81" s="1175"/>
      <c r="P81" s="1264" t="s">
        <v>727</v>
      </c>
      <c r="Q81" s="1175">
        <v>31859.9</v>
      </c>
      <c r="R81" s="441"/>
      <c r="S81" s="441"/>
      <c r="T81" s="441"/>
      <c r="U81" s="1175"/>
      <c r="V81" s="1264" t="s">
        <v>727</v>
      </c>
      <c r="W81" s="1175">
        <v>65058</v>
      </c>
      <c r="X81" s="1825"/>
      <c r="Y81" s="1826"/>
      <c r="Z81" s="1175"/>
      <c r="AA81" s="1175"/>
      <c r="AB81" s="1175"/>
      <c r="AC81" s="1175"/>
    </row>
    <row r="82" spans="1:42" s="2" customFormat="1" ht="16.5" thickTop="1" thickBot="1">
      <c r="A82" s="2331" t="s">
        <v>762</v>
      </c>
      <c r="B82" s="2332"/>
      <c r="C82" s="298"/>
      <c r="D82" s="12"/>
      <c r="E82" s="12"/>
      <c r="F82" s="12"/>
      <c r="G82" s="26"/>
      <c r="H82" s="20"/>
      <c r="I82" s="20"/>
      <c r="J82" s="20"/>
      <c r="K82" s="20"/>
      <c r="L82" s="20"/>
      <c r="M82" s="20"/>
      <c r="N82" s="20"/>
      <c r="O82" s="20"/>
      <c r="P82" s="20"/>
      <c r="Q82" s="20"/>
      <c r="R82" s="24"/>
      <c r="S82" s="24"/>
      <c r="T82" s="24"/>
      <c r="U82" s="20"/>
      <c r="V82" s="20"/>
      <c r="W82" s="20"/>
      <c r="X82" s="651"/>
      <c r="Y82" s="655"/>
      <c r="Z82" s="20"/>
      <c r="AA82" s="20"/>
      <c r="AB82" s="20"/>
      <c r="AC82" s="20"/>
      <c r="AF82"/>
      <c r="AG82"/>
      <c r="AH82"/>
      <c r="AI82"/>
      <c r="AJ82"/>
      <c r="AK82"/>
      <c r="AL82"/>
      <c r="AM82"/>
      <c r="AN82"/>
      <c r="AO82"/>
      <c r="AP82"/>
    </row>
    <row r="83" spans="1:42" ht="15.75" thickTop="1">
      <c r="A83" s="1827"/>
      <c r="B83" s="1828"/>
      <c r="C83" s="925"/>
      <c r="D83" s="1740"/>
      <c r="E83" s="1740"/>
      <c r="F83" s="1740"/>
      <c r="G83" s="1818"/>
      <c r="H83" s="1819"/>
      <c r="I83" s="1819"/>
      <c r="J83" s="1819"/>
      <c r="K83" s="1819"/>
      <c r="L83" s="1819"/>
      <c r="M83" s="1819"/>
      <c r="N83" s="1819"/>
      <c r="O83" s="1819"/>
      <c r="P83" s="1819"/>
      <c r="Q83" s="1819"/>
      <c r="R83" s="1820"/>
      <c r="S83" s="1820"/>
      <c r="T83" s="1820"/>
      <c r="U83" s="1819"/>
      <c r="V83" s="1819"/>
      <c r="W83" s="1819"/>
      <c r="X83" s="1821"/>
      <c r="Y83" s="1822"/>
      <c r="Z83" s="1819"/>
      <c r="AA83" s="1819"/>
      <c r="AB83" s="1819"/>
      <c r="AC83" s="1819"/>
      <c r="AF83" s="2"/>
      <c r="AG83" s="2"/>
      <c r="AH83" s="2"/>
      <c r="AI83" s="2"/>
      <c r="AJ83" s="2"/>
      <c r="AK83" s="2"/>
      <c r="AL83" s="2"/>
      <c r="AM83" s="2"/>
      <c r="AN83" s="2"/>
      <c r="AO83" s="2"/>
      <c r="AP83" s="2"/>
    </row>
    <row r="84" spans="1:42">
      <c r="A84" s="1126"/>
      <c r="B84" s="1174"/>
      <c r="C84" s="415"/>
      <c r="D84" s="422"/>
      <c r="E84" s="422"/>
      <c r="F84" s="422"/>
      <c r="G84" s="831"/>
      <c r="H84" s="1178"/>
      <c r="I84" s="1178"/>
      <c r="J84" s="1178"/>
      <c r="K84" s="1178"/>
      <c r="L84" s="1178"/>
      <c r="M84" s="1178"/>
      <c r="N84" s="1178"/>
      <c r="O84" s="1178"/>
      <c r="P84" s="1178"/>
      <c r="Q84" s="1178"/>
      <c r="R84" s="442"/>
      <c r="S84" s="442"/>
      <c r="T84" s="442"/>
      <c r="U84" s="1178"/>
      <c r="V84" s="1178"/>
      <c r="W84" s="1178"/>
      <c r="X84" s="1829"/>
      <c r="Y84" s="1830"/>
      <c r="Z84" s="1178"/>
      <c r="AA84" s="1178"/>
      <c r="AB84" s="1178"/>
      <c r="AC84" s="1178"/>
      <c r="AF84" s="2"/>
      <c r="AG84" s="2"/>
      <c r="AH84" s="2"/>
      <c r="AI84" s="2"/>
      <c r="AJ84" s="2"/>
      <c r="AK84" s="2"/>
      <c r="AL84" s="2"/>
      <c r="AM84" s="2"/>
      <c r="AN84" s="2"/>
      <c r="AO84" s="2"/>
      <c r="AP84" s="2"/>
    </row>
    <row r="85" spans="1:42" ht="15.75" thickBot="1">
      <c r="A85" s="1126"/>
      <c r="B85" s="1174"/>
      <c r="C85" s="415"/>
      <c r="D85" s="422"/>
      <c r="E85" s="422"/>
      <c r="F85" s="422"/>
      <c r="G85" s="831"/>
      <c r="H85" s="1178"/>
      <c r="I85" s="1178"/>
      <c r="J85" s="1178"/>
      <c r="K85" s="1178"/>
      <c r="L85" s="1178"/>
      <c r="M85" s="1178"/>
      <c r="N85" s="1178"/>
      <c r="O85" s="1178"/>
      <c r="P85" s="1178"/>
      <c r="Q85" s="1178"/>
      <c r="R85" s="442"/>
      <c r="S85" s="442"/>
      <c r="T85" s="442"/>
      <c r="U85" s="1178"/>
      <c r="V85" s="1178"/>
      <c r="W85" s="1178"/>
      <c r="X85" s="1829"/>
      <c r="Y85" s="1830"/>
      <c r="Z85" s="1178"/>
      <c r="AA85" s="1178"/>
      <c r="AB85" s="1178"/>
      <c r="AC85" s="1178"/>
      <c r="AF85" s="2"/>
      <c r="AG85" s="2"/>
      <c r="AH85" s="2"/>
      <c r="AI85" s="2"/>
      <c r="AJ85" s="2"/>
      <c r="AK85" s="2"/>
      <c r="AL85" s="2"/>
      <c r="AM85" s="2"/>
      <c r="AN85" s="2"/>
      <c r="AO85" s="2"/>
      <c r="AP85" s="2"/>
    </row>
    <row r="86" spans="1:42" ht="16.5" thickTop="1" thickBot="1">
      <c r="A86" s="2331" t="s">
        <v>763</v>
      </c>
      <c r="B86" s="2332"/>
      <c r="C86" s="298"/>
      <c r="D86" s="12"/>
      <c r="E86" s="12"/>
      <c r="F86" s="12"/>
      <c r="G86" s="26"/>
      <c r="H86" s="20"/>
      <c r="I86" s="20"/>
      <c r="J86" s="20"/>
      <c r="K86" s="20"/>
      <c r="L86" s="20"/>
      <c r="M86" s="20"/>
      <c r="N86" s="20"/>
      <c r="O86" s="20"/>
      <c r="P86" s="20"/>
      <c r="Q86" s="20"/>
      <c r="R86" s="24"/>
      <c r="S86" s="24"/>
      <c r="T86" s="24"/>
      <c r="U86" s="20"/>
      <c r="V86" s="20"/>
      <c r="W86" s="20"/>
      <c r="X86" s="651"/>
      <c r="Y86" s="655"/>
      <c r="Z86" s="20"/>
      <c r="AA86" s="20"/>
      <c r="AB86" s="20"/>
      <c r="AC86" s="20"/>
    </row>
    <row r="87" spans="1:42" ht="15.75" thickTop="1">
      <c r="A87" s="1124"/>
      <c r="B87" s="1105" t="s">
        <v>764</v>
      </c>
      <c r="C87" s="415"/>
      <c r="D87" s="422"/>
      <c r="E87" s="422"/>
      <c r="F87" s="422"/>
      <c r="G87" s="831"/>
      <c r="H87" s="1178"/>
      <c r="I87" s="1178"/>
      <c r="J87" s="1178"/>
      <c r="K87" s="1178"/>
      <c r="L87" s="1178"/>
      <c r="M87" s="1178"/>
      <c r="N87" s="1178"/>
      <c r="O87" s="1178"/>
      <c r="P87" s="1178"/>
      <c r="Q87" s="1178"/>
      <c r="R87" s="442"/>
      <c r="S87" s="442"/>
      <c r="T87" s="442"/>
      <c r="U87" s="1178"/>
      <c r="V87" s="1178"/>
      <c r="W87" s="1178"/>
      <c r="X87" s="1829"/>
      <c r="Y87" s="1830"/>
      <c r="Z87" s="1178"/>
      <c r="AA87" s="1178"/>
      <c r="AB87" s="1178"/>
      <c r="AC87" s="1178"/>
    </row>
    <row r="88" spans="1:42">
      <c r="A88" s="1124"/>
      <c r="B88" s="1105" t="s">
        <v>765</v>
      </c>
      <c r="C88" s="415"/>
      <c r="D88" s="422"/>
      <c r="E88" s="422"/>
      <c r="F88" s="422"/>
      <c r="G88" s="831"/>
      <c r="H88" s="1178"/>
      <c r="I88" s="1178"/>
      <c r="J88" s="1178"/>
      <c r="K88" s="1178"/>
      <c r="L88" s="1178"/>
      <c r="M88" s="1178"/>
      <c r="N88" s="1178"/>
      <c r="O88" s="1178"/>
      <c r="P88" s="1178"/>
      <c r="Q88" s="1178"/>
      <c r="R88" s="442"/>
      <c r="S88" s="442"/>
      <c r="T88" s="442"/>
      <c r="U88" s="1178"/>
      <c r="V88" s="1178"/>
      <c r="W88" s="1178"/>
      <c r="X88" s="1829"/>
      <c r="Y88" s="1830"/>
      <c r="Z88" s="1178"/>
      <c r="AA88" s="1178"/>
      <c r="AB88" s="1178"/>
      <c r="AC88" s="1178"/>
    </row>
    <row r="89" spans="1:42">
      <c r="A89" s="1124"/>
      <c r="B89" s="1105" t="s">
        <v>766</v>
      </c>
      <c r="C89" s="415"/>
      <c r="D89" s="422"/>
      <c r="E89" s="422"/>
      <c r="F89" s="422"/>
      <c r="G89" s="831"/>
      <c r="H89" s="1178"/>
      <c r="I89" s="1178"/>
      <c r="J89" s="1178"/>
      <c r="K89" s="1178"/>
      <c r="L89" s="1178"/>
      <c r="M89" s="1178"/>
      <c r="N89" s="1178"/>
      <c r="O89" s="1178"/>
      <c r="P89" s="1178"/>
      <c r="Q89" s="1178"/>
      <c r="R89" s="442"/>
      <c r="S89" s="442"/>
      <c r="T89" s="442"/>
      <c r="U89" s="1178"/>
      <c r="V89" s="1178"/>
      <c r="W89" s="1178"/>
      <c r="X89" s="1829"/>
      <c r="Y89" s="1830"/>
      <c r="Z89" s="1178"/>
      <c r="AA89" s="1178"/>
      <c r="AB89" s="1178"/>
      <c r="AC89" s="1178"/>
    </row>
    <row r="90" spans="1:42">
      <c r="A90" s="1124"/>
      <c r="B90" s="1105" t="s">
        <v>767</v>
      </c>
      <c r="C90" s="415"/>
      <c r="D90" s="422"/>
      <c r="E90" s="422"/>
      <c r="F90" s="422"/>
      <c r="G90" s="831"/>
      <c r="H90" s="1178"/>
      <c r="I90" s="1178"/>
      <c r="J90" s="1178"/>
      <c r="K90" s="1178"/>
      <c r="L90" s="1178"/>
      <c r="M90" s="1178"/>
      <c r="N90" s="1178"/>
      <c r="O90" s="1178"/>
      <c r="P90" s="1178"/>
      <c r="Q90" s="1178"/>
      <c r="R90" s="442"/>
      <c r="S90" s="442"/>
      <c r="T90" s="442"/>
      <c r="U90" s="1178"/>
      <c r="V90" s="1178"/>
      <c r="W90" s="1178"/>
      <c r="X90" s="1829"/>
      <c r="Y90" s="1830"/>
      <c r="Z90" s="1178"/>
      <c r="AA90" s="1178"/>
      <c r="AB90" s="1178"/>
      <c r="AC90" s="1178"/>
    </row>
    <row r="91" spans="1:42" ht="15.75" thickBot="1">
      <c r="A91" s="443"/>
      <c r="B91" s="421"/>
      <c r="C91" s="23"/>
      <c r="D91" s="86"/>
      <c r="E91" s="86"/>
      <c r="F91" s="86"/>
      <c r="G91" s="27"/>
      <c r="H91" s="444"/>
      <c r="I91" s="444"/>
      <c r="J91" s="444"/>
      <c r="K91" s="444"/>
      <c r="L91" s="444"/>
      <c r="M91" s="444"/>
      <c r="N91" s="444"/>
      <c r="O91" s="444"/>
      <c r="P91" s="444"/>
      <c r="Q91" s="444"/>
      <c r="R91" s="25"/>
      <c r="S91" s="25"/>
      <c r="T91" s="25"/>
      <c r="U91" s="444"/>
      <c r="V91" s="444"/>
      <c r="W91" s="444"/>
      <c r="X91" s="652"/>
      <c r="Y91" s="656"/>
      <c r="Z91" s="444"/>
      <c r="AA91" s="444"/>
      <c r="AB91" s="444"/>
      <c r="AC91" s="444"/>
    </row>
    <row r="92" spans="1:42" ht="16.5" thickTop="1" thickBot="1">
      <c r="A92" s="72" t="s">
        <v>768</v>
      </c>
      <c r="B92" s="73"/>
      <c r="C92" s="298"/>
      <c r="D92" s="12"/>
      <c r="E92" s="12"/>
      <c r="F92" s="12"/>
      <c r="G92" s="26"/>
      <c r="H92" s="20"/>
      <c r="I92" s="20"/>
      <c r="J92" s="20"/>
      <c r="K92" s="20"/>
      <c r="L92" s="20"/>
      <c r="M92" s="20"/>
      <c r="N92" s="20"/>
      <c r="O92" s="20"/>
      <c r="P92" s="20"/>
      <c r="Q92" s="20"/>
      <c r="R92" s="24"/>
      <c r="S92" s="24"/>
      <c r="T92" s="24"/>
      <c r="U92" s="20"/>
      <c r="V92" s="20"/>
      <c r="W92" s="20"/>
      <c r="X92" s="651"/>
      <c r="Y92" s="655"/>
      <c r="Z92" s="20"/>
      <c r="AA92" s="20"/>
      <c r="AB92" s="20"/>
      <c r="AC92" s="20"/>
    </row>
    <row r="93" spans="1:42" ht="15.75" thickTop="1">
      <c r="A93" s="1817"/>
      <c r="B93" s="1831" t="s">
        <v>769</v>
      </c>
      <c r="C93" s="925"/>
      <c r="D93" s="1740"/>
      <c r="E93" s="1740"/>
      <c r="F93" s="1740"/>
      <c r="G93" s="1818"/>
      <c r="H93" s="1832"/>
      <c r="I93" s="1832"/>
      <c r="J93" s="1832"/>
      <c r="K93" s="1832"/>
      <c r="L93" s="1832"/>
      <c r="M93" s="1832"/>
      <c r="N93" s="1832"/>
      <c r="O93" s="1832"/>
      <c r="P93" s="1832"/>
      <c r="Q93" s="1832"/>
      <c r="R93" s="1833"/>
      <c r="S93" s="1833"/>
      <c r="T93" s="1833"/>
      <c r="U93" s="1832"/>
      <c r="V93" s="1832"/>
      <c r="W93" s="1832"/>
      <c r="X93" s="1827"/>
      <c r="Y93" s="1834"/>
      <c r="Z93" s="1832"/>
      <c r="AA93" s="1832"/>
      <c r="AB93" s="1832"/>
      <c r="AC93" s="1832"/>
    </row>
    <row r="94" spans="1:42">
      <c r="A94" s="1124"/>
      <c r="B94" s="1105" t="s">
        <v>770</v>
      </c>
      <c r="C94" s="415"/>
      <c r="D94" s="422"/>
      <c r="E94" s="422"/>
      <c r="F94" s="422"/>
      <c r="G94" s="831"/>
      <c r="H94" s="1182"/>
      <c r="I94" s="1182"/>
      <c r="J94" s="1182"/>
      <c r="K94" s="1182"/>
      <c r="L94" s="1182"/>
      <c r="M94" s="1182"/>
      <c r="N94" s="1182"/>
      <c r="O94" s="1182"/>
      <c r="P94" s="1182"/>
      <c r="Q94" s="1182"/>
      <c r="R94" s="445"/>
      <c r="S94" s="445"/>
      <c r="T94" s="445"/>
      <c r="U94" s="1182"/>
      <c r="V94" s="1182"/>
      <c r="W94" s="1182"/>
      <c r="X94" s="1126"/>
      <c r="Y94" s="1835"/>
      <c r="Z94" s="1182"/>
      <c r="AA94" s="1182"/>
      <c r="AB94" s="1182"/>
      <c r="AC94" s="1182"/>
    </row>
    <row r="95" spans="1:42" ht="15.75" thickBot="1">
      <c r="A95" s="1308"/>
      <c r="B95" s="1136" t="s">
        <v>771</v>
      </c>
      <c r="C95" s="935"/>
      <c r="D95" s="938"/>
      <c r="E95" s="938"/>
      <c r="F95" s="938"/>
      <c r="G95" s="939"/>
      <c r="H95" s="1140"/>
      <c r="I95" s="1140"/>
      <c r="J95" s="1140"/>
      <c r="K95" s="1140"/>
      <c r="L95" s="1140"/>
      <c r="M95" s="1140"/>
      <c r="N95" s="1140"/>
      <c r="O95" s="1140"/>
      <c r="P95" s="1140"/>
      <c r="Q95" s="1140"/>
      <c r="R95" s="940"/>
      <c r="S95" s="940"/>
      <c r="T95" s="940"/>
      <c r="U95" s="1140"/>
      <c r="V95" s="1140"/>
      <c r="W95" s="1140"/>
      <c r="X95" s="1836"/>
      <c r="Y95" s="1837"/>
      <c r="Z95" s="1140"/>
      <c r="AA95" s="1140"/>
      <c r="AB95" s="1140"/>
      <c r="AC95" s="1140"/>
    </row>
    <row r="96" spans="1:42" ht="16.5" thickTop="1" thickBot="1">
      <c r="F96" s="2"/>
      <c r="G96" s="2"/>
      <c r="H96" s="2"/>
      <c r="I96" s="2"/>
      <c r="J96" s="2"/>
      <c r="K96" s="2"/>
      <c r="L96" s="2"/>
      <c r="M96" s="2"/>
      <c r="N96" s="2"/>
      <c r="O96" s="2"/>
      <c r="P96" s="2"/>
      <c r="Q96" s="2"/>
      <c r="R96" s="2"/>
      <c r="S96" s="2"/>
      <c r="T96" s="2"/>
      <c r="U96" s="2"/>
      <c r="V96" s="2"/>
      <c r="W96" s="2"/>
      <c r="X96" s="2"/>
      <c r="Y96" s="2"/>
      <c r="Z96" s="2"/>
      <c r="AA96" s="2"/>
      <c r="AB96" s="2"/>
      <c r="AC96" s="2"/>
    </row>
    <row r="97" spans="1:29" ht="16.5" thickTop="1" thickBot="1">
      <c r="A97" s="37" t="s">
        <v>772</v>
      </c>
      <c r="B97" s="39"/>
      <c r="F97" s="2"/>
      <c r="G97" s="2"/>
      <c r="H97" s="2"/>
      <c r="I97" s="2"/>
      <c r="J97" s="2"/>
      <c r="K97" s="2"/>
      <c r="L97" s="2"/>
      <c r="M97" s="2"/>
      <c r="N97" s="2"/>
      <c r="O97" s="2"/>
      <c r="P97" s="2"/>
      <c r="Q97" s="2"/>
      <c r="R97" s="2"/>
      <c r="S97" s="2"/>
      <c r="T97" s="2"/>
      <c r="U97" s="2"/>
      <c r="V97" s="2"/>
      <c r="W97" s="2"/>
      <c r="X97" s="2"/>
      <c r="Y97" s="2"/>
      <c r="Z97" s="2"/>
      <c r="AA97" s="2"/>
      <c r="AB97" s="2"/>
      <c r="AC97" s="2"/>
    </row>
    <row r="98" spans="1:29" ht="15.75" thickTop="1">
      <c r="A98" s="38" t="s">
        <v>693</v>
      </c>
      <c r="B98" s="1277" t="str">
        <f>P5</f>
        <v>Skyline Cabinetry</v>
      </c>
      <c r="F98" s="2"/>
      <c r="G98" s="2"/>
      <c r="H98" s="2"/>
      <c r="I98" s="2"/>
      <c r="J98" s="2"/>
      <c r="K98" s="2"/>
      <c r="L98" s="2"/>
      <c r="M98" s="2"/>
      <c r="N98" s="2"/>
      <c r="O98" s="2"/>
      <c r="P98" s="2"/>
      <c r="Q98" s="2"/>
      <c r="R98" s="2"/>
      <c r="S98" s="2"/>
      <c r="T98" s="2"/>
      <c r="U98" s="2"/>
      <c r="V98" s="2"/>
      <c r="W98" s="2"/>
      <c r="X98" s="2"/>
      <c r="Y98" s="2"/>
      <c r="Z98" s="2"/>
      <c r="AA98" s="2"/>
      <c r="AB98" s="2"/>
      <c r="AC98" s="2"/>
    </row>
    <row r="99" spans="1:29">
      <c r="A99" s="1142" t="s">
        <v>702</v>
      </c>
      <c r="B99" s="1277" t="str">
        <f>P6</f>
        <v>Travis T Miller</v>
      </c>
      <c r="F99" s="2"/>
      <c r="G99" s="2"/>
      <c r="H99" s="2"/>
      <c r="I99" s="2"/>
      <c r="J99" s="2"/>
      <c r="K99" s="2"/>
      <c r="L99" s="2"/>
      <c r="M99" s="2"/>
      <c r="N99" s="2"/>
      <c r="O99" s="2"/>
      <c r="P99" s="2"/>
      <c r="Q99" s="2"/>
      <c r="R99" s="2"/>
      <c r="S99" s="2"/>
      <c r="T99" s="2"/>
      <c r="U99" s="2"/>
      <c r="V99" s="2"/>
      <c r="W99" s="2"/>
      <c r="X99" s="2"/>
      <c r="Y99" s="2"/>
      <c r="Z99" s="2"/>
      <c r="AA99" s="2"/>
      <c r="AB99" s="2"/>
      <c r="AC99" s="2"/>
    </row>
    <row r="100" spans="1:29">
      <c r="A100" s="1191" t="s">
        <v>708</v>
      </c>
      <c r="B100" s="1192" t="str">
        <f>P7</f>
        <v>407-766-6420</v>
      </c>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c r="A101" s="1191" t="s">
        <v>713</v>
      </c>
      <c r="B101" s="1278" t="str">
        <f>P8</f>
        <v>Travism@skylinecabinetry.com</v>
      </c>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ht="15.75" thickBot="1">
      <c r="A102" s="1145" t="s">
        <v>69</v>
      </c>
      <c r="B102" s="1146">
        <f>P9</f>
        <v>785367.17940000002</v>
      </c>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ht="15.75" thickTop="1">
      <c r="AB103" s="270"/>
      <c r="AC103" s="270"/>
    </row>
    <row r="104" spans="1:29">
      <c r="L104"/>
      <c r="M104"/>
      <c r="N104"/>
      <c r="O104"/>
      <c r="AB104" s="270"/>
      <c r="AC104" s="270"/>
    </row>
  </sheetData>
  <mergeCells count="90">
    <mergeCell ref="A79:B79"/>
    <mergeCell ref="A82:B82"/>
    <mergeCell ref="A86:B86"/>
    <mergeCell ref="V2:W2"/>
    <mergeCell ref="T2:U2"/>
    <mergeCell ref="T3:U3"/>
    <mergeCell ref="P3:Q3"/>
    <mergeCell ref="P2:Q2"/>
    <mergeCell ref="H3:I3"/>
    <mergeCell ref="H2:I2"/>
    <mergeCell ref="V9:W9"/>
    <mergeCell ref="P9:Q9"/>
    <mergeCell ref="V7:W7"/>
    <mergeCell ref="L3:M3"/>
    <mergeCell ref="L4:M4"/>
    <mergeCell ref="V3:W3"/>
    <mergeCell ref="L2:M2"/>
    <mergeCell ref="X6:Y6"/>
    <mergeCell ref="X3:Y3"/>
    <mergeCell ref="X7:Y7"/>
    <mergeCell ref="X8:Y8"/>
    <mergeCell ref="X5:Y5"/>
    <mergeCell ref="X4:Y4"/>
    <mergeCell ref="R5:S5"/>
    <mergeCell ref="N5:O5"/>
    <mergeCell ref="N6:O6"/>
    <mergeCell ref="N7:O7"/>
    <mergeCell ref="N8:O8"/>
    <mergeCell ref="N4:O4"/>
    <mergeCell ref="N3:O3"/>
    <mergeCell ref="A71:B71"/>
    <mergeCell ref="A75:B75"/>
    <mergeCell ref="P6:Q6"/>
    <mergeCell ref="T7:U7"/>
    <mergeCell ref="H7:I7"/>
    <mergeCell ref="P7:Q7"/>
    <mergeCell ref="H9:I9"/>
    <mergeCell ref="L6:M6"/>
    <mergeCell ref="L7:M7"/>
    <mergeCell ref="L9:M9"/>
    <mergeCell ref="T8:U8"/>
    <mergeCell ref="H8:I8"/>
    <mergeCell ref="T9:U9"/>
    <mergeCell ref="N9:O9"/>
    <mergeCell ref="L8:M8"/>
    <mergeCell ref="J9:K9"/>
    <mergeCell ref="V1:W1"/>
    <mergeCell ref="P8:Q8"/>
    <mergeCell ref="T5:U5"/>
    <mergeCell ref="H5:I5"/>
    <mergeCell ref="V5:W5"/>
    <mergeCell ref="P5:Q5"/>
    <mergeCell ref="T4:U4"/>
    <mergeCell ref="H4:I4"/>
    <mergeCell ref="V4:W4"/>
    <mergeCell ref="P4:Q4"/>
    <mergeCell ref="T6:U6"/>
    <mergeCell ref="H6:I6"/>
    <mergeCell ref="V6:W6"/>
    <mergeCell ref="L5:M5"/>
    <mergeCell ref="V8:W8"/>
    <mergeCell ref="J3:K3"/>
    <mergeCell ref="J5:K5"/>
    <mergeCell ref="J6:K6"/>
    <mergeCell ref="J7:K7"/>
    <mergeCell ref="J8:K8"/>
    <mergeCell ref="J4:K4"/>
    <mergeCell ref="AB2:AC2"/>
    <mergeCell ref="AB3:AC3"/>
    <mergeCell ref="AB4:AC4"/>
    <mergeCell ref="AB5:AC5"/>
    <mergeCell ref="R6:S6"/>
    <mergeCell ref="R4:S4"/>
    <mergeCell ref="Z2:AA2"/>
    <mergeCell ref="Z6:AA6"/>
    <mergeCell ref="Z5:AA5"/>
    <mergeCell ref="Z4:AA4"/>
    <mergeCell ref="Z3:AA3"/>
    <mergeCell ref="AB6:AC6"/>
    <mergeCell ref="AB7:AC7"/>
    <mergeCell ref="AB8:AC8"/>
    <mergeCell ref="AB9:AC9"/>
    <mergeCell ref="R3:S3"/>
    <mergeCell ref="R7:S7"/>
    <mergeCell ref="R8:S8"/>
    <mergeCell ref="R9:S9"/>
    <mergeCell ref="Z9:AA9"/>
    <mergeCell ref="X9:Y9"/>
    <mergeCell ref="Z7:AA7"/>
    <mergeCell ref="Z8:AA8"/>
  </mergeCells>
  <conditionalFormatting sqref="H11:H19">
    <cfRule type="cellIs" dxfId="313" priority="80" operator="equal">
      <formula>"I"</formula>
    </cfRule>
    <cfRule type="cellIs" dxfId="312" priority="79" operator="equal">
      <formula>"X"</formula>
    </cfRule>
  </conditionalFormatting>
  <conditionalFormatting sqref="H21:H62 L21:L62 P21:P62 T21:T62 V21:V62 X21:X62 Z21:Z62">
    <cfRule type="cellIs" dxfId="311" priority="100" operator="equal">
      <formula>"I"</formula>
    </cfRule>
    <cfRule type="cellIs" dxfId="310" priority="99" operator="equal">
      <formula>"X"</formula>
    </cfRule>
  </conditionalFormatting>
  <conditionalFormatting sqref="H81">
    <cfRule type="cellIs" dxfId="309" priority="74" operator="equal">
      <formula>"I"</formula>
    </cfRule>
    <cfRule type="cellIs" dxfId="308" priority="73" operator="equal">
      <formula>"X"</formula>
    </cfRule>
  </conditionalFormatting>
  <conditionalFormatting sqref="J11:J18">
    <cfRule type="cellIs" dxfId="307" priority="68" operator="equal">
      <formula>"I"</formula>
    </cfRule>
    <cfRule type="cellIs" dxfId="306" priority="67" operator="equal">
      <formula>"X"</formula>
    </cfRule>
  </conditionalFormatting>
  <conditionalFormatting sqref="J22:J24">
    <cfRule type="cellIs" dxfId="305" priority="66" operator="equal">
      <formula>"I"</formula>
    </cfRule>
    <cfRule type="cellIs" dxfId="304" priority="65" operator="equal">
      <formula>"X"</formula>
    </cfRule>
  </conditionalFormatting>
  <conditionalFormatting sqref="J26:J29">
    <cfRule type="cellIs" dxfId="303" priority="63" operator="equal">
      <formula>"X"</formula>
    </cfRule>
    <cfRule type="cellIs" dxfId="302" priority="64" operator="equal">
      <formula>"I"</formula>
    </cfRule>
  </conditionalFormatting>
  <conditionalFormatting sqref="J31:J52">
    <cfRule type="cellIs" dxfId="301" priority="49" operator="equal">
      <formula>"X"</formula>
    </cfRule>
    <cfRule type="cellIs" dxfId="300" priority="50" operator="equal">
      <formula>"I"</formula>
    </cfRule>
  </conditionalFormatting>
  <conditionalFormatting sqref="J54:J59">
    <cfRule type="cellIs" dxfId="299" priority="33" operator="equal">
      <formula>"X"</formula>
    </cfRule>
    <cfRule type="cellIs" dxfId="298" priority="34" operator="equal">
      <formula>"I"</formula>
    </cfRule>
  </conditionalFormatting>
  <conditionalFormatting sqref="L11:L19">
    <cfRule type="cellIs" dxfId="297" priority="92" operator="equal">
      <formula>"I"</formula>
    </cfRule>
    <cfRule type="cellIs" dxfId="296" priority="91" operator="equal">
      <formula>"X"</formula>
    </cfRule>
  </conditionalFormatting>
  <conditionalFormatting sqref="N12:N18">
    <cfRule type="cellIs" dxfId="295" priority="45" operator="equal">
      <formula>"X"</formula>
    </cfRule>
    <cfRule type="cellIs" dxfId="294" priority="46" operator="equal">
      <formula>"I"</formula>
    </cfRule>
  </conditionalFormatting>
  <conditionalFormatting sqref="N22:N29">
    <cfRule type="cellIs" dxfId="293" priority="43" operator="equal">
      <formula>"X"</formula>
    </cfRule>
    <cfRule type="cellIs" dxfId="292" priority="44" operator="equal">
      <formula>"I"</formula>
    </cfRule>
  </conditionalFormatting>
  <conditionalFormatting sqref="N31:N52">
    <cfRule type="cellIs" dxfId="291" priority="26" operator="equal">
      <formula>"I"</formula>
    </cfRule>
    <cfRule type="cellIs" dxfId="290" priority="25" operator="equal">
      <formula>"X"</formula>
    </cfRule>
  </conditionalFormatting>
  <conditionalFormatting sqref="N54:N59">
    <cfRule type="cellIs" dxfId="289" priority="32" operator="equal">
      <formula>"I"</formula>
    </cfRule>
    <cfRule type="cellIs" dxfId="288" priority="31" operator="equal">
      <formula>"X"</formula>
    </cfRule>
  </conditionalFormatting>
  <conditionalFormatting sqref="P11:P19">
    <cfRule type="cellIs" dxfId="287" priority="87" operator="equal">
      <formula>"X"</formula>
    </cfRule>
    <cfRule type="cellIs" dxfId="286" priority="88" operator="equal">
      <formula>"I"</formula>
    </cfRule>
  </conditionalFormatting>
  <conditionalFormatting sqref="P81">
    <cfRule type="cellIs" dxfId="285" priority="71" operator="equal">
      <formula>"X"</formula>
    </cfRule>
    <cfRule type="cellIs" dxfId="284" priority="72" operator="equal">
      <formula>"I"</formula>
    </cfRule>
  </conditionalFormatting>
  <conditionalFormatting sqref="R12:R18">
    <cfRule type="cellIs" dxfId="283" priority="23" operator="equal">
      <formula>"X"</formula>
    </cfRule>
    <cfRule type="cellIs" dxfId="282" priority="24" operator="equal">
      <formula>"I"</formula>
    </cfRule>
  </conditionalFormatting>
  <conditionalFormatting sqref="R22:R24">
    <cfRule type="cellIs" dxfId="281" priority="22" operator="equal">
      <formula>"I"</formula>
    </cfRule>
    <cfRule type="cellIs" dxfId="280" priority="21" operator="equal">
      <formula>"X"</formula>
    </cfRule>
  </conditionalFormatting>
  <conditionalFormatting sqref="R26:R29">
    <cfRule type="cellIs" dxfId="279" priority="20" operator="equal">
      <formula>"I"</formula>
    </cfRule>
    <cfRule type="cellIs" dxfId="278" priority="19" operator="equal">
      <formula>"X"</formula>
    </cfRule>
  </conditionalFormatting>
  <conditionalFormatting sqref="R31:R52">
    <cfRule type="cellIs" dxfId="277" priority="9" operator="equal">
      <formula>"X"</formula>
    </cfRule>
    <cfRule type="cellIs" dxfId="276" priority="10" operator="equal">
      <formula>"I"</formula>
    </cfRule>
  </conditionalFormatting>
  <conditionalFormatting sqref="R54:R59">
    <cfRule type="cellIs" dxfId="275" priority="7" operator="equal">
      <formula>"X"</formula>
    </cfRule>
    <cfRule type="cellIs" dxfId="274" priority="8" operator="equal">
      <formula>"I"</formula>
    </cfRule>
  </conditionalFormatting>
  <conditionalFormatting sqref="T11:T19">
    <cfRule type="cellIs" dxfId="273" priority="77" operator="equal">
      <formula>"X"</formula>
    </cfRule>
    <cfRule type="cellIs" dxfId="272" priority="78" operator="equal">
      <formula>"I"</formula>
    </cfRule>
  </conditionalFormatting>
  <conditionalFormatting sqref="V11:V19">
    <cfRule type="cellIs" dxfId="271" priority="89" operator="equal">
      <formula>"X"</formula>
    </cfRule>
    <cfRule type="cellIs" dxfId="270" priority="90" operator="equal">
      <formula>"I"</formula>
    </cfRule>
  </conditionalFormatting>
  <conditionalFormatting sqref="V81">
    <cfRule type="cellIs" dxfId="269" priority="75" operator="equal">
      <formula>"X"</formula>
    </cfRule>
    <cfRule type="cellIs" dxfId="268" priority="76" operator="equal">
      <formula>"I"</formula>
    </cfRule>
  </conditionalFormatting>
  <conditionalFormatting sqref="X11:X19">
    <cfRule type="cellIs" dxfId="267" priority="83" operator="equal">
      <formula>"X"</formula>
    </cfRule>
    <cfRule type="cellIs" dxfId="266" priority="84" operator="equal">
      <formula>"I"</formula>
    </cfRule>
  </conditionalFormatting>
  <conditionalFormatting sqref="Z11:Z19">
    <cfRule type="cellIs" dxfId="265" priority="81" operator="equal">
      <formula>"X"</formula>
    </cfRule>
    <cfRule type="cellIs" dxfId="264" priority="82" operator="equal">
      <formula>"I"</formula>
    </cfRule>
  </conditionalFormatting>
  <conditionalFormatting sqref="AB11:AB19">
    <cfRule type="cellIs" dxfId="263" priority="4" operator="equal">
      <formula>"I"</formula>
    </cfRule>
    <cfRule type="cellIs" dxfId="262" priority="3" operator="equal">
      <formula>"X"</formula>
    </cfRule>
  </conditionalFormatting>
  <conditionalFormatting sqref="AB21:AB62">
    <cfRule type="cellIs" dxfId="261" priority="5" operator="equal">
      <formula>"X"</formula>
    </cfRule>
    <cfRule type="cellIs" dxfId="260" priority="6" operator="equal">
      <formula>"I"</formula>
    </cfRule>
  </conditionalFormatting>
  <hyperlinks>
    <hyperlink ref="B4" location="'Cost Summary'!A1" display="BACK TO SUMMARY SHEET" xr:uid="{760A7E8B-1C45-4621-8C19-003AB9DBF615}"/>
    <hyperlink ref="Z8:AA8" r:id="rId1" display="marygwen@mgcontractresources.com" xr:uid="{3F21824F-0FAB-44E7-AC63-ABEE3080A26F}"/>
    <hyperlink ref="L8:M8" r:id="rId2" display="marygwen@mgcontractresources.com" xr:uid="{02D31780-C1A7-4BEF-BDF5-522BE8749E18}"/>
    <hyperlink ref="V8:W8" r:id="rId3" display="Michael@nationalkb.com&gt; " xr:uid="{918ADE90-2B5E-40F2-BC6A-4603589EF691}"/>
    <hyperlink ref="H8:I8" r:id="rId4" display="hanna@asterakb.com" xr:uid="{78C4EB40-F27B-4A89-82CD-3696966B0B9B}"/>
    <hyperlink ref="P7:Q7" r:id="rId5" display="Travism@skylinecabinetry.com" xr:uid="{53851E64-7AD7-4FC7-95C1-465D3C013D65}"/>
    <hyperlink ref="P8:Q8" r:id="rId6" display="Travism@skylinecabinetry.com" xr:uid="{FB054635-4635-4786-8E6C-CC444A4640D6}"/>
    <hyperlink ref="T8:U8" r:id="rId7" display="&lt;issacb@alliedinteriorsolutions.com&gt; " xr:uid="{13FEEB6A-C306-4ABA-B1E9-578009CDDA0A}"/>
    <hyperlink ref="X8:Y8" r:id="rId8" display="Chyna@aprocg.com" xr:uid="{54961E24-5BA7-46A1-A5F8-724AA5438990}"/>
    <hyperlink ref="J8:K8" r:id="rId9" display="hanna@asterakb.com" xr:uid="{C29D1438-D105-4061-8D21-C593047942D3}"/>
    <hyperlink ref="N8:O8" r:id="rId10" display="marygwen@mgcontractresources.com" xr:uid="{CECE83A1-743D-4BE4-BCFF-81F25BDC1E63}"/>
    <hyperlink ref="R7:S7" r:id="rId11" display="Travism@skylinecabinetry.com" xr:uid="{5365FFFC-116E-455A-ABFB-C718FD00406D}"/>
    <hyperlink ref="R8:S8" r:id="rId12" display="Travism@skylinecabinetry.com" xr:uid="{8E1F5469-2B73-437A-AA95-1865D9084542}"/>
    <hyperlink ref="AB8:AC8" r:id="rId13" display="&lt;lis@condesaspaces.com&gt;" xr:uid="{29520038-33C5-4A91-8E29-01AECE3FED46}"/>
  </hyperlinks>
  <pageMargins left="0.7" right="0.7" top="0.75" bottom="0.75" header="0.3" footer="0.3"/>
  <pageSetup orientation="portrait" r:id="rId14"/>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B9E24-EAF5-4033-8398-DA3A2858B576}">
  <sheetPr>
    <tabColor theme="7" tint="0.39997558519241921"/>
  </sheetPr>
  <dimension ref="A1:AU105"/>
  <sheetViews>
    <sheetView zoomScale="90" zoomScaleNormal="90" workbookViewId="0">
      <pane xSplit="2" ySplit="10" topLeftCell="C69" activePane="bottomRight" state="frozen"/>
      <selection pane="topRight" activeCell="C1" sqref="C1"/>
      <selection pane="bottomLeft" activeCell="A11" sqref="A11"/>
      <selection pane="bottomRight" activeCell="B4" sqref="B4"/>
    </sheetView>
  </sheetViews>
  <sheetFormatPr defaultRowHeight="15"/>
  <cols>
    <col min="1" max="1" width="11" customWidth="1"/>
    <col min="2" max="2" width="70.7109375" style="1" customWidth="1"/>
    <col min="3" max="3" width="12.7109375" style="2" customWidth="1"/>
    <col min="4" max="4" width="8.28515625" style="2" customWidth="1"/>
    <col min="5" max="5" width="7.7109375" style="2" customWidth="1"/>
    <col min="6" max="6" width="12.7109375" style="281" customWidth="1"/>
    <col min="7" max="7" width="15.7109375" style="270" customWidth="1"/>
    <col min="8" max="8" width="6.85546875" style="270" customWidth="1"/>
    <col min="9" max="9" width="15.7109375" style="270" customWidth="1"/>
    <col min="10" max="10" width="8.28515625" style="270" customWidth="1"/>
    <col min="11" max="11" width="15.7109375" style="270" customWidth="1"/>
    <col min="12" max="12" width="8.140625" style="270" customWidth="1"/>
    <col min="13" max="13" width="15.7109375" style="270" customWidth="1"/>
    <col min="14" max="14" width="7.28515625" style="270" customWidth="1"/>
    <col min="15" max="15" width="15.7109375" style="270" customWidth="1"/>
    <col min="16" max="16" width="7.7109375" style="270" customWidth="1"/>
    <col min="17" max="17" width="15.7109375" style="270" customWidth="1"/>
    <col min="18" max="18" width="8.7109375" style="270" customWidth="1"/>
    <col min="19" max="19" width="15.7109375" style="270" customWidth="1"/>
    <col min="20" max="20" width="7.28515625" style="270" customWidth="1"/>
    <col min="21" max="21" width="17" style="270" bestFit="1" customWidth="1"/>
    <col min="22" max="22" width="7.5703125" style="270" customWidth="1"/>
    <col min="23" max="23" width="14.28515625" style="270" customWidth="1"/>
    <col min="24" max="24" width="7.28515625" customWidth="1"/>
    <col min="25" max="25" width="13.42578125" customWidth="1"/>
    <col min="26" max="26" width="7.42578125" customWidth="1"/>
    <col min="27" max="27" width="16.85546875" customWidth="1"/>
    <col min="28" max="28" width="6.85546875" customWidth="1"/>
    <col min="29" max="29" width="18.140625" customWidth="1"/>
  </cols>
  <sheetData>
    <row r="1" spans="1:29">
      <c r="D1" s="260"/>
      <c r="E1" s="68"/>
      <c r="F1" s="275"/>
      <c r="G1" s="269" t="s">
        <v>679</v>
      </c>
      <c r="L1" s="2387"/>
      <c r="M1" s="2387"/>
      <c r="X1" s="270"/>
      <c r="Y1" s="270"/>
      <c r="Z1" s="270"/>
      <c r="AA1" s="270"/>
      <c r="AB1" s="270"/>
      <c r="AC1" s="270"/>
    </row>
    <row r="2" spans="1:29">
      <c r="D2" s="260"/>
      <c r="E2" s="68"/>
      <c r="F2" s="276" t="s">
        <v>680</v>
      </c>
      <c r="G2" s="269" t="s">
        <v>681</v>
      </c>
      <c r="H2" s="2386"/>
      <c r="I2" s="2386"/>
      <c r="J2" s="2387" t="s">
        <v>1988</v>
      </c>
      <c r="K2" s="2387"/>
      <c r="L2" s="2388"/>
      <c r="M2" s="2388"/>
      <c r="P2" s="2386" t="s">
        <v>1989</v>
      </c>
      <c r="Q2" s="2386"/>
      <c r="R2" s="281"/>
      <c r="S2" s="281"/>
      <c r="X2" s="270"/>
      <c r="Y2" s="270"/>
      <c r="Z2" s="270"/>
      <c r="AA2" s="270"/>
      <c r="AB2" s="270"/>
      <c r="AC2" s="270"/>
    </row>
    <row r="3" spans="1:29" ht="15.75" thickBot="1">
      <c r="D3" s="260"/>
      <c r="E3" s="68"/>
      <c r="F3" s="277" t="s">
        <v>682</v>
      </c>
      <c r="G3" s="269" t="s">
        <v>683</v>
      </c>
      <c r="H3" s="2345" t="s">
        <v>1988</v>
      </c>
      <c r="I3" s="2345"/>
      <c r="J3" s="2345" t="s">
        <v>1925</v>
      </c>
      <c r="K3" s="2345"/>
      <c r="L3" s="2345" t="s">
        <v>1988</v>
      </c>
      <c r="M3" s="2345"/>
      <c r="N3" s="2345" t="s">
        <v>1988</v>
      </c>
      <c r="O3" s="2345"/>
      <c r="P3" s="2345" t="s">
        <v>1988</v>
      </c>
      <c r="Q3" s="2345"/>
      <c r="R3" s="2345" t="s">
        <v>1927</v>
      </c>
      <c r="S3" s="2345"/>
      <c r="T3" s="2345" t="s">
        <v>1988</v>
      </c>
      <c r="U3" s="2345"/>
      <c r="V3" s="2345" t="s">
        <v>1988</v>
      </c>
      <c r="W3" s="2345"/>
      <c r="X3" s="2345" t="s">
        <v>1990</v>
      </c>
      <c r="Y3" s="2345"/>
      <c r="Z3" s="2345" t="s">
        <v>1990</v>
      </c>
      <c r="AA3" s="2345"/>
      <c r="AB3" s="2345"/>
      <c r="AC3" s="2345"/>
    </row>
    <row r="4" spans="1:29" ht="15.75" thickBot="1">
      <c r="B4" s="262" t="s">
        <v>684</v>
      </c>
      <c r="D4" s="260"/>
      <c r="E4" s="68"/>
      <c r="F4" s="278"/>
      <c r="G4" s="270" t="s">
        <v>685</v>
      </c>
      <c r="H4" s="2323" t="s">
        <v>686</v>
      </c>
      <c r="I4" s="2324"/>
      <c r="J4" s="2323" t="s">
        <v>686</v>
      </c>
      <c r="K4" s="2324"/>
      <c r="L4" s="2319" t="s">
        <v>687</v>
      </c>
      <c r="M4" s="2320"/>
      <c r="N4" s="2319" t="s">
        <v>688</v>
      </c>
      <c r="O4" s="2320"/>
      <c r="P4" s="2319" t="s">
        <v>689</v>
      </c>
      <c r="Q4" s="2320"/>
      <c r="R4" s="2319" t="s">
        <v>689</v>
      </c>
      <c r="S4" s="2320"/>
      <c r="T4" s="2319" t="s">
        <v>690</v>
      </c>
      <c r="U4" s="2320"/>
      <c r="V4" s="2319" t="s">
        <v>691</v>
      </c>
      <c r="W4" s="2320"/>
      <c r="X4" s="2319" t="s">
        <v>806</v>
      </c>
      <c r="Y4" s="2320"/>
      <c r="Z4" s="2319" t="s">
        <v>808</v>
      </c>
      <c r="AA4" s="2320"/>
      <c r="AB4" s="2319" t="s">
        <v>808</v>
      </c>
      <c r="AC4" s="2320"/>
    </row>
    <row r="5" spans="1:29" ht="15.75" customHeight="1" thickTop="1">
      <c r="A5" s="292" t="s">
        <v>692</v>
      </c>
      <c r="B5" s="299" t="str">
        <f>'Area Calculations'!B4</f>
        <v>ERAU Residential Hall &amp; Garage Building</v>
      </c>
      <c r="C5" s="294"/>
      <c r="D5" s="263"/>
      <c r="E5" s="264"/>
      <c r="F5" s="279"/>
      <c r="G5" s="271" t="s">
        <v>693</v>
      </c>
      <c r="H5" s="2313" t="s">
        <v>1127</v>
      </c>
      <c r="I5" s="2314"/>
      <c r="J5" s="2313" t="s">
        <v>1127</v>
      </c>
      <c r="K5" s="2314"/>
      <c r="L5" s="2313" t="s">
        <v>1128</v>
      </c>
      <c r="M5" s="2314"/>
      <c r="N5" s="2333" t="s">
        <v>1930</v>
      </c>
      <c r="O5" s="2334"/>
      <c r="P5" s="2313" t="s">
        <v>253</v>
      </c>
      <c r="Q5" s="2314"/>
      <c r="R5" s="2313" t="s">
        <v>253</v>
      </c>
      <c r="S5" s="2314"/>
      <c r="T5" s="2333" t="s">
        <v>1931</v>
      </c>
      <c r="U5" s="2334"/>
      <c r="V5" s="2313" t="s">
        <v>1991</v>
      </c>
      <c r="W5" s="2314"/>
      <c r="X5" s="2313" t="s">
        <v>1992</v>
      </c>
      <c r="Y5" s="2314"/>
      <c r="Z5" s="2313" t="s">
        <v>1993</v>
      </c>
      <c r="AA5" s="2314"/>
      <c r="AB5" s="2313" t="s">
        <v>1932</v>
      </c>
      <c r="AC5" s="2314"/>
    </row>
    <row r="6" spans="1:29">
      <c r="A6" s="1082" t="s">
        <v>700</v>
      </c>
      <c r="B6" s="1196" t="s">
        <v>349</v>
      </c>
      <c r="C6" s="415"/>
      <c r="D6" s="416"/>
      <c r="E6" s="417"/>
      <c r="F6" s="418"/>
      <c r="G6" s="419" t="s">
        <v>702</v>
      </c>
      <c r="H6" s="2313" t="s">
        <v>1131</v>
      </c>
      <c r="I6" s="2314"/>
      <c r="J6" s="2313" t="s">
        <v>1131</v>
      </c>
      <c r="K6" s="2314"/>
      <c r="L6" s="2313" t="s">
        <v>1132</v>
      </c>
      <c r="M6" s="2314"/>
      <c r="N6" s="2313" t="s">
        <v>1935</v>
      </c>
      <c r="O6" s="2314"/>
      <c r="P6" s="2313" t="s">
        <v>1934</v>
      </c>
      <c r="Q6" s="2314"/>
      <c r="R6" s="2313" t="s">
        <v>1934</v>
      </c>
      <c r="S6" s="2314"/>
      <c r="T6" s="2313" t="s">
        <v>1936</v>
      </c>
      <c r="U6" s="2314"/>
      <c r="V6" s="2313" t="s">
        <v>1133</v>
      </c>
      <c r="W6" s="2314"/>
      <c r="X6" s="2313" t="s">
        <v>1994</v>
      </c>
      <c r="Y6" s="2314"/>
      <c r="Z6" s="2313" t="s">
        <v>1995</v>
      </c>
      <c r="AA6" s="2314"/>
      <c r="AB6" s="2313" t="s">
        <v>1937</v>
      </c>
      <c r="AC6" s="2314"/>
    </row>
    <row r="7" spans="1:29">
      <c r="A7" s="1082" t="s">
        <v>706</v>
      </c>
      <c r="B7" s="1197" t="s">
        <v>348</v>
      </c>
      <c r="C7" s="415"/>
      <c r="D7" s="416"/>
      <c r="E7" s="417"/>
      <c r="F7" s="418"/>
      <c r="G7" s="829" t="s">
        <v>708</v>
      </c>
      <c r="H7" s="2313" t="s">
        <v>1135</v>
      </c>
      <c r="I7" s="2314"/>
      <c r="J7" s="2313" t="s">
        <v>1135</v>
      </c>
      <c r="K7" s="2314"/>
      <c r="L7" s="2313" t="s">
        <v>1136</v>
      </c>
      <c r="M7" s="2314"/>
      <c r="N7" s="2313" t="s">
        <v>1941</v>
      </c>
      <c r="O7" s="2314"/>
      <c r="P7" s="2313" t="s">
        <v>1940</v>
      </c>
      <c r="Q7" s="2314"/>
      <c r="R7" s="2313" t="s">
        <v>1940</v>
      </c>
      <c r="S7" s="2314"/>
      <c r="T7" s="2313" t="s">
        <v>1942</v>
      </c>
      <c r="U7" s="2314"/>
      <c r="V7" s="2313" t="s">
        <v>1137</v>
      </c>
      <c r="W7" s="2314"/>
      <c r="X7" s="2313" t="s">
        <v>1996</v>
      </c>
      <c r="Y7" s="2314"/>
      <c r="Z7" s="2313"/>
      <c r="AA7" s="2314"/>
      <c r="AB7" s="2313"/>
      <c r="AC7" s="2314"/>
    </row>
    <row r="8" spans="1:29">
      <c r="A8" s="1082" t="s">
        <v>712</v>
      </c>
      <c r="B8" s="1198"/>
      <c r="C8" s="415"/>
      <c r="D8" s="416"/>
      <c r="E8" s="417"/>
      <c r="F8" s="418"/>
      <c r="G8" s="829" t="s">
        <v>713</v>
      </c>
      <c r="H8" s="2327" t="s">
        <v>1138</v>
      </c>
      <c r="I8" s="2346"/>
      <c r="J8" s="2327" t="s">
        <v>1138</v>
      </c>
      <c r="K8" s="2346"/>
      <c r="L8" s="2327" t="s">
        <v>1139</v>
      </c>
      <c r="M8" s="2346"/>
      <c r="N8" s="2343" t="s">
        <v>1945</v>
      </c>
      <c r="O8" s="2344"/>
      <c r="P8" s="2327" t="s">
        <v>1944</v>
      </c>
      <c r="Q8" s="2346"/>
      <c r="R8" s="2327" t="s">
        <v>1944</v>
      </c>
      <c r="S8" s="2346"/>
      <c r="T8" s="2343" t="s">
        <v>1946</v>
      </c>
      <c r="U8" s="2344"/>
      <c r="V8" s="2327" t="s">
        <v>1140</v>
      </c>
      <c r="W8" s="2346"/>
      <c r="X8" s="2327" t="s">
        <v>1997</v>
      </c>
      <c r="Y8" s="2346"/>
      <c r="Z8" s="2327"/>
      <c r="AA8" s="2346"/>
      <c r="AB8" s="2327" t="s">
        <v>1947</v>
      </c>
      <c r="AC8" s="2346"/>
    </row>
    <row r="9" spans="1:29" ht="15.75" thickBot="1">
      <c r="A9" s="420"/>
      <c r="B9" s="421"/>
      <c r="C9" s="23"/>
      <c r="D9" s="265"/>
      <c r="E9" s="266"/>
      <c r="F9" s="283"/>
      <c r="G9" s="284" t="s">
        <v>717</v>
      </c>
      <c r="H9" s="2317">
        <f>I57</f>
        <v>382670.83500000002</v>
      </c>
      <c r="I9" s="2318"/>
      <c r="J9" s="2317">
        <f>K57</f>
        <v>550958.4066000001</v>
      </c>
      <c r="K9" s="2318"/>
      <c r="L9" s="2317">
        <f>M57</f>
        <v>529734.34</v>
      </c>
      <c r="M9" s="2318"/>
      <c r="N9" s="2330">
        <f>O57</f>
        <v>390244</v>
      </c>
      <c r="O9" s="2330"/>
      <c r="P9" s="2317">
        <f>Q57</f>
        <v>642149.01</v>
      </c>
      <c r="Q9" s="2318"/>
      <c r="R9" s="2317">
        <f>S57</f>
        <v>562156.18999999994</v>
      </c>
      <c r="S9" s="2318"/>
      <c r="T9" s="2317">
        <f>U57</f>
        <v>535798.40999999992</v>
      </c>
      <c r="U9" s="2318"/>
      <c r="V9" s="2317">
        <f>W57</f>
        <v>703892</v>
      </c>
      <c r="W9" s="2318"/>
      <c r="X9" s="2317">
        <f>Y57</f>
        <v>144516</v>
      </c>
      <c r="Y9" s="2318"/>
      <c r="Z9" s="2330">
        <f>AA57</f>
        <v>165892</v>
      </c>
      <c r="AA9" s="2330"/>
      <c r="AB9" s="2330">
        <f>AC57</f>
        <v>437511.16</v>
      </c>
      <c r="AC9" s="2330"/>
    </row>
    <row r="10" spans="1:29" s="267" customFormat="1" ht="32.1" customHeight="1" thickBot="1">
      <c r="A10" s="293"/>
      <c r="B10" s="300"/>
      <c r="C10" s="295" t="s">
        <v>718</v>
      </c>
      <c r="D10" s="287" t="s">
        <v>719</v>
      </c>
      <c r="E10" s="286" t="s">
        <v>720</v>
      </c>
      <c r="F10" s="288" t="s">
        <v>721</v>
      </c>
      <c r="G10" s="289" t="s">
        <v>722</v>
      </c>
      <c r="H10" s="290" t="s">
        <v>723</v>
      </c>
      <c r="I10" s="291" t="s">
        <v>724</v>
      </c>
      <c r="J10" s="650"/>
      <c r="K10" s="650"/>
      <c r="L10" s="290" t="s">
        <v>723</v>
      </c>
      <c r="M10" s="290" t="s">
        <v>724</v>
      </c>
      <c r="N10" s="290" t="s">
        <v>723</v>
      </c>
      <c r="O10" s="290" t="s">
        <v>724</v>
      </c>
      <c r="P10" s="290" t="s">
        <v>723</v>
      </c>
      <c r="Q10" s="290" t="s">
        <v>724</v>
      </c>
      <c r="R10" s="290"/>
      <c r="S10" s="290"/>
      <c r="T10" s="290" t="s">
        <v>723</v>
      </c>
      <c r="U10" s="290" t="s">
        <v>724</v>
      </c>
      <c r="V10" s="290" t="s">
        <v>723</v>
      </c>
      <c r="W10" s="290" t="s">
        <v>724</v>
      </c>
      <c r="X10" s="290" t="s">
        <v>723</v>
      </c>
      <c r="Y10" s="290" t="s">
        <v>724</v>
      </c>
      <c r="Z10" s="290" t="s">
        <v>723</v>
      </c>
      <c r="AA10" s="290" t="s">
        <v>724</v>
      </c>
      <c r="AB10" s="290" t="s">
        <v>723</v>
      </c>
      <c r="AC10" s="290" t="s">
        <v>724</v>
      </c>
    </row>
    <row r="11" spans="1:29" ht="15.75">
      <c r="A11" s="1838"/>
      <c r="B11" s="1839" t="s">
        <v>725</v>
      </c>
      <c r="C11" s="928"/>
      <c r="D11" s="1840"/>
      <c r="E11" s="1840"/>
      <c r="F11" s="1841"/>
      <c r="G11" s="1842"/>
      <c r="H11" s="1843"/>
      <c r="I11" s="1844"/>
      <c r="J11" s="1844"/>
      <c r="K11" s="1844"/>
      <c r="L11" s="1843"/>
      <c r="M11" s="1844"/>
      <c r="N11" s="1843"/>
      <c r="O11" s="1844"/>
      <c r="P11" s="1843"/>
      <c r="Q11" s="352"/>
      <c r="R11" s="1843"/>
      <c r="S11" s="352"/>
      <c r="T11" s="1843"/>
      <c r="U11" s="1845"/>
      <c r="V11" s="1843"/>
      <c r="W11" s="1844"/>
      <c r="X11" s="1843"/>
      <c r="Y11" s="1845"/>
      <c r="Z11" s="1843"/>
      <c r="AA11" s="1844"/>
      <c r="AB11" s="1843"/>
      <c r="AC11" s="1844"/>
    </row>
    <row r="12" spans="1:29">
      <c r="A12" s="1838"/>
      <c r="B12" s="1263" t="s">
        <v>726</v>
      </c>
      <c r="C12" s="446"/>
      <c r="D12" s="422"/>
      <c r="E12" s="422"/>
      <c r="F12" s="418"/>
      <c r="G12" s="423"/>
      <c r="H12" s="1264" t="s">
        <v>727</v>
      </c>
      <c r="I12" s="1844"/>
      <c r="J12" s="1264" t="s">
        <v>727</v>
      </c>
      <c r="K12" s="1844"/>
      <c r="L12" s="1264" t="s">
        <v>727</v>
      </c>
      <c r="M12" s="1844"/>
      <c r="N12" s="1264" t="s">
        <v>727</v>
      </c>
      <c r="O12" s="1844"/>
      <c r="P12" s="1264" t="s">
        <v>727</v>
      </c>
      <c r="Q12" s="1844"/>
      <c r="R12" s="1264" t="s">
        <v>727</v>
      </c>
      <c r="S12" s="1844"/>
      <c r="T12" s="1264" t="s">
        <v>727</v>
      </c>
      <c r="U12" s="1845"/>
      <c r="V12" s="1264" t="s">
        <v>727</v>
      </c>
      <c r="W12" s="1844"/>
      <c r="X12" s="1264" t="s">
        <v>727</v>
      </c>
      <c r="Y12" s="1845"/>
      <c r="Z12" s="1264" t="s">
        <v>727</v>
      </c>
      <c r="AA12" s="1844"/>
      <c r="AB12" s="1264" t="s">
        <v>727</v>
      </c>
      <c r="AC12" s="1844"/>
    </row>
    <row r="13" spans="1:29">
      <c r="A13" s="1097"/>
      <c r="B13" s="1263" t="s">
        <v>728</v>
      </c>
      <c r="C13" s="446"/>
      <c r="D13" s="422"/>
      <c r="E13" s="422"/>
      <c r="F13" s="418"/>
      <c r="G13" s="423"/>
      <c r="H13" s="1264" t="s">
        <v>727</v>
      </c>
      <c r="I13" s="1844"/>
      <c r="J13" s="1264" t="s">
        <v>727</v>
      </c>
      <c r="K13" s="1844"/>
      <c r="L13" s="1264" t="s">
        <v>727</v>
      </c>
      <c r="M13" s="1844"/>
      <c r="N13" s="1264" t="s">
        <v>727</v>
      </c>
      <c r="O13" s="1844"/>
      <c r="P13" s="1264" t="s">
        <v>727</v>
      </c>
      <c r="Q13" s="1844"/>
      <c r="R13" s="1264" t="s">
        <v>727</v>
      </c>
      <c r="S13" s="1844"/>
      <c r="T13" s="1264" t="s">
        <v>727</v>
      </c>
      <c r="U13" s="1845"/>
      <c r="V13" s="1264" t="s">
        <v>727</v>
      </c>
      <c r="W13" s="1844"/>
      <c r="X13" s="1264" t="s">
        <v>727</v>
      </c>
      <c r="Y13" s="1845"/>
      <c r="Z13" s="1264" t="s">
        <v>727</v>
      </c>
      <c r="AA13" s="1844"/>
      <c r="AB13" s="1264" t="s">
        <v>727</v>
      </c>
      <c r="AC13" s="1844"/>
    </row>
    <row r="14" spans="1:29">
      <c r="A14" s="1838"/>
      <c r="B14" s="1265" t="s">
        <v>729</v>
      </c>
      <c r="C14" s="446"/>
      <c r="D14" s="422"/>
      <c r="E14" s="422"/>
      <c r="F14" s="418"/>
      <c r="G14" s="423"/>
      <c r="H14" s="1264" t="s">
        <v>730</v>
      </c>
      <c r="I14" s="1846" t="s">
        <v>1780</v>
      </c>
      <c r="J14" s="1264" t="s">
        <v>730</v>
      </c>
      <c r="K14" s="1846" t="s">
        <v>1780</v>
      </c>
      <c r="L14" s="1264" t="s">
        <v>730</v>
      </c>
      <c r="M14" s="1844" t="s">
        <v>1998</v>
      </c>
      <c r="N14" s="1264" t="s">
        <v>730</v>
      </c>
      <c r="O14" s="1844"/>
      <c r="P14" s="1264" t="s">
        <v>730</v>
      </c>
      <c r="Q14" s="1844"/>
      <c r="R14" s="1264" t="s">
        <v>730</v>
      </c>
      <c r="S14" s="1844"/>
      <c r="T14" s="1264" t="s">
        <v>730</v>
      </c>
      <c r="U14" s="1845" t="s">
        <v>1813</v>
      </c>
      <c r="V14" s="1264" t="s">
        <v>730</v>
      </c>
      <c r="W14" s="1844"/>
      <c r="X14" s="1264" t="s">
        <v>730</v>
      </c>
      <c r="Y14" s="1845"/>
      <c r="Z14" s="1264" t="s">
        <v>730</v>
      </c>
      <c r="AA14" s="1844"/>
      <c r="AB14" s="1264" t="s">
        <v>730</v>
      </c>
      <c r="AC14" s="1844"/>
    </row>
    <row r="15" spans="1:29">
      <c r="A15" s="1097"/>
      <c r="B15" s="1265" t="s">
        <v>731</v>
      </c>
      <c r="C15" s="446"/>
      <c r="D15" s="422"/>
      <c r="E15" s="422"/>
      <c r="F15" s="418"/>
      <c r="G15" s="423"/>
      <c r="H15" s="1264" t="s">
        <v>727</v>
      </c>
      <c r="I15" s="1845"/>
      <c r="J15" s="1264" t="s">
        <v>727</v>
      </c>
      <c r="K15" s="1845"/>
      <c r="L15" s="1264" t="s">
        <v>727</v>
      </c>
      <c r="M15" s="1845"/>
      <c r="N15" s="1264" t="s">
        <v>727</v>
      </c>
      <c r="O15" s="1845"/>
      <c r="P15" s="1264" t="s">
        <v>727</v>
      </c>
      <c r="Q15" s="1845"/>
      <c r="R15" s="1264" t="s">
        <v>727</v>
      </c>
      <c r="S15" s="1845"/>
      <c r="T15" s="1264" t="s">
        <v>727</v>
      </c>
      <c r="U15" s="1845"/>
      <c r="V15" s="1264" t="s">
        <v>727</v>
      </c>
      <c r="W15" s="1845"/>
      <c r="X15" s="1264" t="s">
        <v>727</v>
      </c>
      <c r="Y15" s="1845"/>
      <c r="Z15" s="1264" t="s">
        <v>727</v>
      </c>
      <c r="AA15" s="1845"/>
      <c r="AB15" s="1264" t="s">
        <v>727</v>
      </c>
      <c r="AC15" s="1845"/>
    </row>
    <row r="16" spans="1:29">
      <c r="A16" s="1838"/>
      <c r="B16" s="1265" t="s">
        <v>732</v>
      </c>
      <c r="C16" s="446"/>
      <c r="D16" s="422"/>
      <c r="E16" s="422"/>
      <c r="F16" s="418"/>
      <c r="G16" s="423"/>
      <c r="H16" s="1264" t="s">
        <v>727</v>
      </c>
      <c r="I16" s="1844"/>
      <c r="J16" s="1264" t="s">
        <v>727</v>
      </c>
      <c r="K16" s="1844"/>
      <c r="L16" s="1264" t="s">
        <v>727</v>
      </c>
      <c r="M16" s="1844"/>
      <c r="N16" s="1264" t="s">
        <v>727</v>
      </c>
      <c r="O16" s="1844"/>
      <c r="P16" s="1264" t="s">
        <v>727</v>
      </c>
      <c r="Q16" s="1844"/>
      <c r="R16" s="1264" t="s">
        <v>727</v>
      </c>
      <c r="S16" s="1844"/>
      <c r="T16" s="1264" t="s">
        <v>727</v>
      </c>
      <c r="U16" s="1845"/>
      <c r="V16" s="1264" t="s">
        <v>727</v>
      </c>
      <c r="W16" s="1844"/>
      <c r="X16" s="1264" t="s">
        <v>727</v>
      </c>
      <c r="Y16" s="1845"/>
      <c r="Z16" s="1264" t="s">
        <v>727</v>
      </c>
      <c r="AA16" s="1844"/>
      <c r="AB16" s="1264" t="s">
        <v>727</v>
      </c>
      <c r="AC16" s="1844"/>
    </row>
    <row r="17" spans="1:47">
      <c r="A17" s="1097"/>
      <c r="B17" s="1265" t="s">
        <v>733</v>
      </c>
      <c r="C17" s="446"/>
      <c r="D17" s="422"/>
      <c r="E17" s="422"/>
      <c r="F17" s="418"/>
      <c r="G17" s="423"/>
      <c r="H17" s="1264" t="s">
        <v>727</v>
      </c>
      <c r="I17" s="1844"/>
      <c r="J17" s="1264" t="s">
        <v>727</v>
      </c>
      <c r="K17" s="1844"/>
      <c r="L17" s="1264" t="s">
        <v>727</v>
      </c>
      <c r="M17" s="1844"/>
      <c r="N17" s="1264" t="s">
        <v>727</v>
      </c>
      <c r="O17" s="1844"/>
      <c r="P17" s="1264" t="s">
        <v>727</v>
      </c>
      <c r="Q17" s="1844"/>
      <c r="R17" s="1264" t="s">
        <v>727</v>
      </c>
      <c r="S17" s="1844"/>
      <c r="T17" s="1264" t="s">
        <v>727</v>
      </c>
      <c r="U17" s="1845"/>
      <c r="V17" s="1264" t="s">
        <v>727</v>
      </c>
      <c r="W17" s="1844"/>
      <c r="X17" s="1264" t="s">
        <v>727</v>
      </c>
      <c r="Y17" s="1845"/>
      <c r="Z17" s="1264" t="s">
        <v>727</v>
      </c>
      <c r="AA17" s="1844"/>
      <c r="AB17" s="1264" t="s">
        <v>727</v>
      </c>
      <c r="AC17" s="1844"/>
    </row>
    <row r="18" spans="1:47">
      <c r="A18" s="1838"/>
      <c r="B18" s="534" t="s">
        <v>734</v>
      </c>
      <c r="C18" s="446"/>
      <c r="D18" s="422"/>
      <c r="E18" s="422"/>
      <c r="F18" s="418"/>
      <c r="G18" s="423"/>
      <c r="H18" s="1264" t="s">
        <v>730</v>
      </c>
      <c r="I18" s="1844" t="s">
        <v>917</v>
      </c>
      <c r="J18" s="1264" t="s">
        <v>730</v>
      </c>
      <c r="K18" s="1844" t="s">
        <v>917</v>
      </c>
      <c r="L18" s="1264" t="s">
        <v>727</v>
      </c>
      <c r="M18" s="1844" t="s">
        <v>1780</v>
      </c>
      <c r="N18" s="1264" t="s">
        <v>730</v>
      </c>
      <c r="O18" s="1844"/>
      <c r="P18" s="1264" t="s">
        <v>730</v>
      </c>
      <c r="Q18" s="1844" t="s">
        <v>838</v>
      </c>
      <c r="R18" s="1264" t="s">
        <v>730</v>
      </c>
      <c r="S18" s="1844" t="s">
        <v>838</v>
      </c>
      <c r="T18" s="1264" t="s">
        <v>730</v>
      </c>
      <c r="U18" s="1845"/>
      <c r="V18" s="1264" t="s">
        <v>730</v>
      </c>
      <c r="W18" s="1844"/>
      <c r="X18" s="1264" t="s">
        <v>730</v>
      </c>
      <c r="Y18" s="1845"/>
      <c r="Z18" s="1264" t="s">
        <v>730</v>
      </c>
      <c r="AA18" s="1844"/>
      <c r="AB18" s="1264" t="s">
        <v>730</v>
      </c>
      <c r="AC18" s="1844"/>
    </row>
    <row r="19" spans="1:47">
      <c r="A19" s="1838"/>
      <c r="B19" s="1154" t="s">
        <v>736</v>
      </c>
      <c r="C19" s="446"/>
      <c r="D19" s="422"/>
      <c r="E19" s="422"/>
      <c r="F19" s="418"/>
      <c r="G19" s="423"/>
      <c r="H19" s="1264"/>
      <c r="I19" s="1844"/>
      <c r="J19" s="1844"/>
      <c r="K19" s="1844"/>
      <c r="L19" s="1264"/>
      <c r="M19" s="1844"/>
      <c r="N19" s="1264"/>
      <c r="O19" s="1844"/>
      <c r="P19" s="1264"/>
      <c r="Q19" s="1844"/>
      <c r="R19" s="1844"/>
      <c r="S19" s="1844"/>
      <c r="T19" s="1264"/>
      <c r="U19" s="1845"/>
      <c r="V19" s="1264"/>
      <c r="W19" s="1844"/>
      <c r="X19" s="1264"/>
      <c r="Y19" s="1845"/>
      <c r="Z19" s="1264"/>
      <c r="AA19" s="1844"/>
      <c r="AB19" s="1264"/>
      <c r="AC19" s="1844"/>
    </row>
    <row r="20" spans="1:47">
      <c r="A20" s="1097"/>
      <c r="B20" s="1847" t="s">
        <v>737</v>
      </c>
      <c r="C20" s="447"/>
      <c r="D20" s="425"/>
      <c r="E20" s="425"/>
      <c r="F20" s="426"/>
      <c r="G20" s="427"/>
      <c r="H20" s="1156"/>
      <c r="I20" s="1848"/>
      <c r="J20" s="1848"/>
      <c r="K20" s="1848"/>
      <c r="L20" s="1156"/>
      <c r="M20" s="1848"/>
      <c r="N20" s="1156"/>
      <c r="O20" s="1848">
        <f>200584+8342+9889+756+56</f>
        <v>219627</v>
      </c>
      <c r="P20" s="1156"/>
      <c r="Q20" s="1848">
        <v>238331.69</v>
      </c>
      <c r="R20" s="1848"/>
      <c r="S20" s="1848">
        <v>562156.18999999994</v>
      </c>
      <c r="T20" s="1156"/>
      <c r="U20" s="1849">
        <v>317031.40999999997</v>
      </c>
      <c r="V20" s="1156"/>
      <c r="W20" s="1848"/>
      <c r="X20" s="1156"/>
      <c r="Y20" s="1849">
        <f>139128+5388</f>
        <v>144516</v>
      </c>
      <c r="Z20" s="1156"/>
      <c r="AA20" s="1848">
        <v>165892</v>
      </c>
      <c r="AB20" s="1156"/>
      <c r="AC20" s="1848">
        <f>157500</f>
        <v>157500</v>
      </c>
    </row>
    <row r="21" spans="1:47">
      <c r="A21" s="1838"/>
      <c r="B21" s="1163"/>
      <c r="C21" s="415"/>
      <c r="D21" s="430"/>
      <c r="E21" s="422"/>
      <c r="F21" s="431"/>
      <c r="G21" s="1805"/>
      <c r="H21" s="1264"/>
      <c r="I21" s="1844"/>
      <c r="J21" s="1844"/>
      <c r="K21" s="1844"/>
      <c r="L21" s="1264"/>
      <c r="M21" s="1844"/>
      <c r="N21" s="1264"/>
      <c r="O21" s="1844"/>
      <c r="P21" s="1264"/>
      <c r="Q21" s="1844"/>
      <c r="R21" s="1844"/>
      <c r="S21" s="1844"/>
      <c r="T21" s="1264"/>
      <c r="U21" s="1844"/>
      <c r="V21" s="1264"/>
      <c r="W21" s="1844"/>
      <c r="X21" s="1264"/>
      <c r="Y21" s="1844"/>
      <c r="Z21" s="1264"/>
      <c r="AA21" s="1844"/>
      <c r="AB21" s="1264"/>
      <c r="AC21" s="1844"/>
    </row>
    <row r="22" spans="1:47">
      <c r="A22" s="1838"/>
      <c r="B22" s="460" t="s">
        <v>1020</v>
      </c>
      <c r="C22" s="415"/>
      <c r="D22" s="430"/>
      <c r="E22" s="422"/>
      <c r="F22" s="431"/>
      <c r="G22" s="1805"/>
      <c r="H22" s="1264" t="s">
        <v>727</v>
      </c>
      <c r="I22" s="1844"/>
      <c r="J22" s="1264" t="s">
        <v>727</v>
      </c>
      <c r="K22" s="1844"/>
      <c r="L22" s="1264" t="s">
        <v>727</v>
      </c>
      <c r="M22" s="1844"/>
      <c r="N22" s="1264" t="s">
        <v>727</v>
      </c>
      <c r="O22" s="1844"/>
      <c r="P22" s="1264" t="s">
        <v>727</v>
      </c>
      <c r="Q22" s="1844"/>
      <c r="R22" s="1264" t="s">
        <v>727</v>
      </c>
      <c r="S22" s="1844"/>
      <c r="T22" s="1264" t="s">
        <v>727</v>
      </c>
      <c r="U22" s="1844"/>
      <c r="V22" s="1264" t="s">
        <v>727</v>
      </c>
      <c r="W22" s="1844"/>
      <c r="X22" s="1264" t="s">
        <v>727</v>
      </c>
      <c r="Y22" s="1844"/>
      <c r="Z22" s="1264" t="s">
        <v>727</v>
      </c>
      <c r="AA22" s="1844"/>
      <c r="AB22" s="1264" t="s">
        <v>727</v>
      </c>
      <c r="AC22" s="1844"/>
    </row>
    <row r="23" spans="1:47">
      <c r="A23" s="1838"/>
      <c r="B23" s="460" t="s">
        <v>1021</v>
      </c>
      <c r="C23" s="415"/>
      <c r="D23" s="430"/>
      <c r="E23" s="422"/>
      <c r="F23" s="431"/>
      <c r="G23" s="1805"/>
      <c r="H23" s="1264" t="s">
        <v>727</v>
      </c>
      <c r="I23" s="1844"/>
      <c r="J23" s="1264" t="s">
        <v>727</v>
      </c>
      <c r="K23" s="1844"/>
      <c r="L23" s="1264" t="s">
        <v>727</v>
      </c>
      <c r="M23" s="1844"/>
      <c r="N23" s="1264" t="s">
        <v>727</v>
      </c>
      <c r="O23" s="1844"/>
      <c r="P23" s="1264" t="s">
        <v>727</v>
      </c>
      <c r="Q23" s="1844"/>
      <c r="R23" s="1264" t="s">
        <v>727</v>
      </c>
      <c r="S23" s="1844"/>
      <c r="T23" s="1264" t="s">
        <v>727</v>
      </c>
      <c r="U23" s="1844"/>
      <c r="V23" s="1264" t="s">
        <v>727</v>
      </c>
      <c r="W23" s="1844"/>
      <c r="X23" s="1264" t="s">
        <v>727</v>
      </c>
      <c r="Y23" s="1844"/>
      <c r="Z23" s="1264" t="s">
        <v>727</v>
      </c>
      <c r="AA23" s="1844"/>
      <c r="AB23" s="1264" t="s">
        <v>727</v>
      </c>
      <c r="AC23" s="1844"/>
    </row>
    <row r="24" spans="1:47">
      <c r="A24" s="1838"/>
      <c r="B24" s="460" t="s">
        <v>1022</v>
      </c>
      <c r="C24" s="415"/>
      <c r="D24" s="430"/>
      <c r="E24" s="422"/>
      <c r="F24" s="431"/>
      <c r="G24" s="1805"/>
      <c r="H24" s="1264" t="s">
        <v>727</v>
      </c>
      <c r="I24" s="1844"/>
      <c r="J24" s="1264" t="s">
        <v>727</v>
      </c>
      <c r="K24" s="1844"/>
      <c r="L24" s="1264" t="s">
        <v>727</v>
      </c>
      <c r="M24" s="1844"/>
      <c r="N24" s="1264" t="s">
        <v>727</v>
      </c>
      <c r="O24" s="1844"/>
      <c r="P24" s="1264" t="s">
        <v>727</v>
      </c>
      <c r="Q24" s="1844"/>
      <c r="R24" s="1264" t="s">
        <v>727</v>
      </c>
      <c r="S24" s="1844"/>
      <c r="T24" s="1264" t="s">
        <v>727</v>
      </c>
      <c r="U24" s="1844"/>
      <c r="V24" s="1264" t="s">
        <v>727</v>
      </c>
      <c r="W24" s="1844"/>
      <c r="X24" s="1264" t="s">
        <v>727</v>
      </c>
      <c r="Y24" s="1844"/>
      <c r="Z24" s="1264" t="s">
        <v>727</v>
      </c>
      <c r="AA24" s="1844"/>
      <c r="AB24" s="1264" t="s">
        <v>727</v>
      </c>
      <c r="AC24" s="1844"/>
    </row>
    <row r="25" spans="1:47">
      <c r="A25" s="1838"/>
      <c r="B25" s="1163"/>
      <c r="C25" s="415"/>
      <c r="D25" s="430"/>
      <c r="E25" s="422"/>
      <c r="F25" s="431"/>
      <c r="G25" s="1805"/>
      <c r="H25" s="1264"/>
      <c r="I25" s="1844"/>
      <c r="J25" s="1844"/>
      <c r="K25" s="1844"/>
      <c r="L25" s="1264"/>
      <c r="M25" s="1844"/>
      <c r="N25" s="1264"/>
      <c r="O25" s="1844"/>
      <c r="P25" s="1264"/>
      <c r="Q25" s="1844"/>
      <c r="R25" s="1844"/>
      <c r="S25" s="1844"/>
      <c r="T25" s="1264"/>
      <c r="U25" s="1844"/>
      <c r="V25" s="1264"/>
      <c r="W25" s="1844"/>
      <c r="X25" s="1264"/>
      <c r="Y25" s="1844"/>
      <c r="Z25" s="1264"/>
      <c r="AA25" s="1844"/>
      <c r="AB25" s="1264"/>
      <c r="AC25" s="1844"/>
    </row>
    <row r="26" spans="1:47" s="69" customFormat="1">
      <c r="A26" s="1838"/>
      <c r="B26" s="1271" t="s">
        <v>1999</v>
      </c>
      <c r="C26" s="415"/>
      <c r="D26" s="430"/>
      <c r="E26" s="422"/>
      <c r="F26" s="431"/>
      <c r="G26" s="1805"/>
      <c r="H26" s="1264" t="s">
        <v>727</v>
      </c>
      <c r="I26" s="1844">
        <f>75800+300+13200+17000</f>
        <v>106300</v>
      </c>
      <c r="J26" s="1264" t="s">
        <v>727</v>
      </c>
      <c r="K26" s="1844">
        <f>75800+300+13200</f>
        <v>89300</v>
      </c>
      <c r="L26" s="1264" t="s">
        <v>727</v>
      </c>
      <c r="M26" s="1844">
        <f>97099.2+5614.84+1414.14+541.02+1253.66</f>
        <v>105922.86</v>
      </c>
      <c r="N26" s="1264" t="s">
        <v>727</v>
      </c>
      <c r="O26" s="1844"/>
      <c r="P26" s="1264" t="s">
        <v>727</v>
      </c>
      <c r="Q26" s="1844"/>
      <c r="R26" s="1264" t="s">
        <v>727</v>
      </c>
      <c r="S26" s="1844"/>
      <c r="T26" s="1264" t="s">
        <v>727</v>
      </c>
      <c r="U26" s="1844"/>
      <c r="V26" s="1264" t="s">
        <v>727</v>
      </c>
      <c r="W26" s="1844"/>
      <c r="X26" s="1264" t="s">
        <v>730</v>
      </c>
      <c r="Y26" s="1844"/>
      <c r="Z26" s="1264" t="s">
        <v>730</v>
      </c>
      <c r="AA26" s="1844"/>
      <c r="AB26" s="1264" t="s">
        <v>727</v>
      </c>
      <c r="AC26" s="1844"/>
      <c r="AD26"/>
      <c r="AE26"/>
      <c r="AF26"/>
      <c r="AG26"/>
      <c r="AH26"/>
      <c r="AI26"/>
      <c r="AJ26"/>
      <c r="AK26"/>
      <c r="AL26"/>
      <c r="AM26"/>
      <c r="AN26"/>
      <c r="AO26"/>
      <c r="AP26"/>
      <c r="AQ26"/>
      <c r="AR26" s="413"/>
      <c r="AS26" s="413"/>
      <c r="AT26" s="413"/>
      <c r="AU26" s="413"/>
    </row>
    <row r="27" spans="1:47">
      <c r="A27" s="1838"/>
      <c r="B27" s="1163" t="s">
        <v>2000</v>
      </c>
      <c r="C27" s="465" t="s">
        <v>2001</v>
      </c>
      <c r="D27" s="430"/>
      <c r="E27" s="422"/>
      <c r="F27" s="431"/>
      <c r="G27" s="1805"/>
      <c r="H27" s="1264" t="s">
        <v>727</v>
      </c>
      <c r="I27" s="1844" t="s">
        <v>2002</v>
      </c>
      <c r="J27" s="1264" t="s">
        <v>727</v>
      </c>
      <c r="K27" s="1844" t="s">
        <v>2002</v>
      </c>
      <c r="L27" s="1264" t="s">
        <v>727</v>
      </c>
      <c r="M27" s="1844" t="s">
        <v>2003</v>
      </c>
      <c r="N27" s="1264" t="s">
        <v>727</v>
      </c>
      <c r="O27" s="1844"/>
      <c r="P27" s="1264" t="s">
        <v>727</v>
      </c>
      <c r="Q27" s="1844" t="s">
        <v>2003</v>
      </c>
      <c r="R27" s="1264" t="s">
        <v>727</v>
      </c>
      <c r="S27" s="1844" t="s">
        <v>2003</v>
      </c>
      <c r="T27" s="1264" t="s">
        <v>727</v>
      </c>
      <c r="U27" s="1844"/>
      <c r="V27" s="1264" t="s">
        <v>727</v>
      </c>
      <c r="W27" s="1844"/>
      <c r="X27" s="1264" t="s">
        <v>730</v>
      </c>
      <c r="Y27" s="1844"/>
      <c r="Z27" s="1264" t="s">
        <v>730</v>
      </c>
      <c r="AA27" s="1844"/>
      <c r="AB27" s="1264" t="s">
        <v>727</v>
      </c>
      <c r="AC27" s="1844"/>
    </row>
    <row r="28" spans="1:47">
      <c r="A28" s="1838"/>
      <c r="B28" s="1163" t="s">
        <v>2004</v>
      </c>
      <c r="C28" s="415"/>
      <c r="D28" s="509">
        <v>1</v>
      </c>
      <c r="E28" s="422" t="s">
        <v>1181</v>
      </c>
      <c r="F28" s="431">
        <v>45000</v>
      </c>
      <c r="G28" s="1805">
        <f>F28*D28</f>
        <v>45000</v>
      </c>
      <c r="H28" s="1273" t="str">
        <f>L28</f>
        <v>P</v>
      </c>
      <c r="I28" s="1807">
        <f>G28</f>
        <v>45000</v>
      </c>
      <c r="J28" s="1264" t="s">
        <v>727</v>
      </c>
      <c r="K28" s="1844">
        <v>89400</v>
      </c>
      <c r="L28" s="1273" t="str">
        <f>P28</f>
        <v>P</v>
      </c>
      <c r="M28" s="1807">
        <f>G28</f>
        <v>45000</v>
      </c>
      <c r="N28" s="1264" t="s">
        <v>727</v>
      </c>
      <c r="O28" s="1844"/>
      <c r="P28" s="1273" t="s">
        <v>1035</v>
      </c>
      <c r="Q28" s="1807">
        <f>G28</f>
        <v>45000</v>
      </c>
      <c r="R28" s="1264" t="s">
        <v>727</v>
      </c>
      <c r="S28" s="1844"/>
      <c r="T28" s="1264" t="s">
        <v>727</v>
      </c>
      <c r="U28" s="1844"/>
      <c r="V28" s="1264" t="s">
        <v>727</v>
      </c>
      <c r="W28" s="1844"/>
      <c r="X28" s="1264" t="s">
        <v>730</v>
      </c>
      <c r="Y28" s="1844"/>
      <c r="Z28" s="1264" t="s">
        <v>730</v>
      </c>
      <c r="AA28" s="1844"/>
      <c r="AB28" s="1273" t="s">
        <v>1035</v>
      </c>
      <c r="AC28" s="1807">
        <f>K28</f>
        <v>89400</v>
      </c>
    </row>
    <row r="29" spans="1:47">
      <c r="A29" s="1838"/>
      <c r="B29" s="1163" t="s">
        <v>2005</v>
      </c>
      <c r="C29" s="415"/>
      <c r="D29" s="430"/>
      <c r="E29" s="422"/>
      <c r="F29" s="431"/>
      <c r="G29" s="1805"/>
      <c r="H29" s="1264" t="s">
        <v>727</v>
      </c>
      <c r="I29" s="1844" t="s">
        <v>2002</v>
      </c>
      <c r="J29" s="1264" t="s">
        <v>727</v>
      </c>
      <c r="K29" s="1844" t="s">
        <v>2002</v>
      </c>
      <c r="L29" s="1264" t="s">
        <v>727</v>
      </c>
      <c r="M29" s="1844" t="s">
        <v>2003</v>
      </c>
      <c r="N29" s="1264" t="s">
        <v>727</v>
      </c>
      <c r="O29" s="1844" t="s">
        <v>2002</v>
      </c>
      <c r="P29" s="1264" t="s">
        <v>727</v>
      </c>
      <c r="Q29" s="1844"/>
      <c r="R29" s="1264" t="s">
        <v>727</v>
      </c>
      <c r="S29" s="1844"/>
      <c r="T29" s="1264" t="s">
        <v>727</v>
      </c>
      <c r="U29" s="1844" t="s">
        <v>2002</v>
      </c>
      <c r="V29" s="1264" t="s">
        <v>727</v>
      </c>
      <c r="W29" s="1844"/>
      <c r="X29" s="1264" t="s">
        <v>730</v>
      </c>
      <c r="Y29" s="1844"/>
      <c r="Z29" s="1264" t="s">
        <v>730</v>
      </c>
      <c r="AA29" s="1844"/>
      <c r="AB29" s="1264" t="s">
        <v>727</v>
      </c>
      <c r="AC29" s="1844"/>
    </row>
    <row r="30" spans="1:47">
      <c r="A30" s="1838"/>
      <c r="B30" s="1163" t="s">
        <v>2006</v>
      </c>
      <c r="C30" s="23"/>
      <c r="D30" s="430"/>
      <c r="E30" s="422"/>
      <c r="F30" s="431"/>
      <c r="G30" s="1805"/>
      <c r="H30" s="1264" t="s">
        <v>727</v>
      </c>
      <c r="I30" s="1844"/>
      <c r="J30" s="1264" t="s">
        <v>727</v>
      </c>
      <c r="K30" s="1844"/>
      <c r="L30" s="1264" t="s">
        <v>727</v>
      </c>
      <c r="M30" s="1844"/>
      <c r="N30" s="1264" t="s">
        <v>727</v>
      </c>
      <c r="O30" s="1844"/>
      <c r="P30" s="1264" t="s">
        <v>727</v>
      </c>
      <c r="Q30" s="1844"/>
      <c r="R30" s="1264" t="s">
        <v>727</v>
      </c>
      <c r="S30" s="1844"/>
      <c r="T30" s="1264" t="s">
        <v>727</v>
      </c>
      <c r="U30" s="1844"/>
      <c r="V30" s="1264" t="s">
        <v>727</v>
      </c>
      <c r="W30" s="1844"/>
      <c r="X30" s="1264" t="s">
        <v>730</v>
      </c>
      <c r="Y30" s="1844"/>
      <c r="Z30" s="1264" t="s">
        <v>730</v>
      </c>
      <c r="AA30" s="1844"/>
      <c r="AB30" s="1264" t="s">
        <v>727</v>
      </c>
      <c r="AC30" s="1844"/>
    </row>
    <row r="31" spans="1:47">
      <c r="A31" s="1838"/>
      <c r="B31" s="1163" t="s">
        <v>2007</v>
      </c>
      <c r="C31" s="23"/>
      <c r="D31" s="87"/>
      <c r="E31" s="86"/>
      <c r="F31" s="431"/>
      <c r="G31" s="1805"/>
      <c r="H31" s="1264" t="s">
        <v>727</v>
      </c>
      <c r="I31" s="1844"/>
      <c r="J31" s="1264" t="s">
        <v>727</v>
      </c>
      <c r="K31" s="1844"/>
      <c r="L31" s="1264" t="s">
        <v>727</v>
      </c>
      <c r="M31" s="1844"/>
      <c r="N31" s="1264" t="s">
        <v>727</v>
      </c>
      <c r="O31" s="1844"/>
      <c r="P31" s="1264" t="s">
        <v>727</v>
      </c>
      <c r="Q31" s="1844"/>
      <c r="R31" s="1264" t="s">
        <v>727</v>
      </c>
      <c r="S31" s="1844"/>
      <c r="T31" s="1264" t="s">
        <v>727</v>
      </c>
      <c r="U31" s="1844"/>
      <c r="V31" s="1264" t="s">
        <v>727</v>
      </c>
      <c r="W31" s="1844"/>
      <c r="X31" s="1264" t="s">
        <v>730</v>
      </c>
      <c r="Y31" s="1844"/>
      <c r="Z31" s="1264" t="s">
        <v>730</v>
      </c>
      <c r="AA31" s="1844"/>
      <c r="AB31" s="1264" t="s">
        <v>727</v>
      </c>
      <c r="AC31" s="1844"/>
    </row>
    <row r="32" spans="1:47">
      <c r="A32" s="1838"/>
      <c r="B32" s="1163" t="s">
        <v>2008</v>
      </c>
      <c r="C32" s="465" t="s">
        <v>2009</v>
      </c>
      <c r="D32" s="87">
        <f>15*107</f>
        <v>1605</v>
      </c>
      <c r="E32" s="86" t="s">
        <v>843</v>
      </c>
      <c r="F32" s="431">
        <v>30</v>
      </c>
      <c r="G32" s="1805">
        <f>F32*D32</f>
        <v>48150</v>
      </c>
      <c r="H32" s="1273" t="s">
        <v>1035</v>
      </c>
      <c r="I32" s="1850">
        <f>$G$32</f>
        <v>48150</v>
      </c>
      <c r="J32" s="1273" t="s">
        <v>1035</v>
      </c>
      <c r="K32" s="1807">
        <v>188200.32000000001</v>
      </c>
      <c r="L32" s="1273" t="s">
        <v>1035</v>
      </c>
      <c r="M32" s="1807">
        <f>K32</f>
        <v>188200.32000000001</v>
      </c>
      <c r="N32" s="1264" t="s">
        <v>727</v>
      </c>
      <c r="O32" s="1844"/>
      <c r="P32" s="1273" t="s">
        <v>1035</v>
      </c>
      <c r="Q32" s="1807">
        <f>M32</f>
        <v>188200.32000000001</v>
      </c>
      <c r="R32" s="1264" t="s">
        <v>727</v>
      </c>
      <c r="S32" s="1844"/>
      <c r="T32" s="1273" t="s">
        <v>1035</v>
      </c>
      <c r="U32" s="1807">
        <f>$G$32</f>
        <v>48150</v>
      </c>
      <c r="V32" s="1264" t="s">
        <v>727</v>
      </c>
      <c r="W32" s="1844"/>
      <c r="X32" s="1264"/>
      <c r="Y32" s="1844"/>
      <c r="Z32" s="1264"/>
      <c r="AA32" s="1844"/>
      <c r="AB32" s="1264"/>
      <c r="AC32" s="1844"/>
    </row>
    <row r="33" spans="1:29">
      <c r="A33" s="1838"/>
      <c r="B33" s="1163" t="s">
        <v>2010</v>
      </c>
      <c r="C33" s="465" t="s">
        <v>2011</v>
      </c>
      <c r="D33" s="509">
        <f>93+10+2*2</f>
        <v>107</v>
      </c>
      <c r="E33" s="86" t="s">
        <v>847</v>
      </c>
      <c r="F33" s="431"/>
      <c r="G33" s="1805"/>
      <c r="H33" s="1264" t="s">
        <v>727</v>
      </c>
      <c r="I33" s="1844">
        <v>10700</v>
      </c>
      <c r="J33" s="1264" t="s">
        <v>727</v>
      </c>
      <c r="K33" s="1844">
        <v>10700</v>
      </c>
      <c r="L33" s="1264" t="s">
        <v>727</v>
      </c>
      <c r="M33" s="1844">
        <f>16319.16+3675</f>
        <v>19994.16</v>
      </c>
      <c r="N33" s="1264" t="s">
        <v>727</v>
      </c>
      <c r="O33" s="1844"/>
      <c r="P33" s="1264" t="s">
        <v>727</v>
      </c>
      <c r="Q33" s="1844"/>
      <c r="R33" s="1264" t="s">
        <v>727</v>
      </c>
      <c r="S33" s="1844"/>
      <c r="T33" s="1264" t="s">
        <v>727</v>
      </c>
      <c r="U33" s="1844"/>
      <c r="V33" s="1264" t="s">
        <v>727</v>
      </c>
      <c r="W33" s="1844"/>
      <c r="X33" s="1264" t="s">
        <v>730</v>
      </c>
      <c r="Y33" s="1844"/>
      <c r="Z33" s="1264" t="s">
        <v>730</v>
      </c>
      <c r="AA33" s="1844"/>
      <c r="AB33" s="1273" t="s">
        <v>1035</v>
      </c>
      <c r="AC33" s="1807">
        <f>M33</f>
        <v>19994.16</v>
      </c>
    </row>
    <row r="34" spans="1:29">
      <c r="A34" s="1838"/>
      <c r="B34" s="1163" t="s">
        <v>2012</v>
      </c>
      <c r="C34" s="465"/>
      <c r="D34" s="509"/>
      <c r="E34" s="86"/>
      <c r="F34" s="431"/>
      <c r="G34" s="1805"/>
      <c r="H34" s="1273" t="s">
        <v>1035</v>
      </c>
      <c r="I34" s="1807">
        <f>M34</f>
        <v>4725</v>
      </c>
      <c r="J34" s="1273" t="s">
        <v>1035</v>
      </c>
      <c r="K34" s="1807">
        <f>O34</f>
        <v>4725</v>
      </c>
      <c r="L34" s="1264" t="s">
        <v>727</v>
      </c>
      <c r="M34" s="1844">
        <v>4725</v>
      </c>
      <c r="N34" s="1273" t="s">
        <v>1035</v>
      </c>
      <c r="O34" s="1807">
        <f>U34</f>
        <v>4725</v>
      </c>
      <c r="P34" s="1273" t="s">
        <v>1035</v>
      </c>
      <c r="Q34" s="1807">
        <f>M34</f>
        <v>4725</v>
      </c>
      <c r="R34" s="1264" t="s">
        <v>727</v>
      </c>
      <c r="S34" s="1844"/>
      <c r="T34" s="1273" t="s">
        <v>1035</v>
      </c>
      <c r="U34" s="1807">
        <f>M34</f>
        <v>4725</v>
      </c>
      <c r="V34" s="1264" t="s">
        <v>727</v>
      </c>
      <c r="W34" s="1844"/>
      <c r="X34" s="1264" t="s">
        <v>730</v>
      </c>
      <c r="Y34" s="1844"/>
      <c r="Z34" s="1264" t="s">
        <v>730</v>
      </c>
      <c r="AA34" s="1844"/>
      <c r="AB34" s="1273" t="s">
        <v>1035</v>
      </c>
      <c r="AC34" s="1807">
        <f>M34</f>
        <v>4725</v>
      </c>
    </row>
    <row r="35" spans="1:29">
      <c r="A35" s="1838"/>
      <c r="B35" s="1163"/>
      <c r="C35" s="415"/>
      <c r="D35" s="87"/>
      <c r="E35" s="86"/>
      <c r="F35" s="431"/>
      <c r="G35" s="1805"/>
      <c r="H35" s="1264"/>
      <c r="I35" s="1844"/>
      <c r="J35" s="1844"/>
      <c r="K35" s="1844"/>
      <c r="L35" s="1264"/>
      <c r="M35" s="1844"/>
      <c r="N35" s="1264"/>
      <c r="O35" s="1844"/>
      <c r="P35" s="1264"/>
      <c r="Q35" s="1844"/>
      <c r="R35" s="1844"/>
      <c r="S35" s="1844"/>
      <c r="T35" s="1264"/>
      <c r="U35" s="1844"/>
      <c r="V35" s="1264"/>
      <c r="W35" s="1844"/>
      <c r="X35" s="1264"/>
      <c r="Y35" s="1844"/>
      <c r="Z35" s="1264"/>
      <c r="AA35" s="1844"/>
      <c r="AB35" s="1264"/>
      <c r="AC35" s="1844"/>
    </row>
    <row r="36" spans="1:29" ht="25.5">
      <c r="A36" s="1838"/>
      <c r="B36" s="1163" t="s">
        <v>2013</v>
      </c>
      <c r="C36" s="465"/>
      <c r="D36" s="509">
        <f>(19+30)*93</f>
        <v>4557</v>
      </c>
      <c r="E36" s="86" t="s">
        <v>843</v>
      </c>
      <c r="F36" s="431"/>
      <c r="G36" s="1805"/>
      <c r="H36" s="1264" t="s">
        <v>727</v>
      </c>
      <c r="I36" s="1844"/>
      <c r="J36" s="1264" t="s">
        <v>727</v>
      </c>
      <c r="K36" s="1844"/>
      <c r="L36" s="1264" t="s">
        <v>727</v>
      </c>
      <c r="M36" s="1844"/>
      <c r="N36" s="1264" t="s">
        <v>727</v>
      </c>
      <c r="O36" s="1844"/>
      <c r="P36" s="1264" t="s">
        <v>727</v>
      </c>
      <c r="Q36" s="1844"/>
      <c r="R36" s="1264" t="s">
        <v>727</v>
      </c>
      <c r="S36" s="1844"/>
      <c r="T36" s="1264" t="s">
        <v>727</v>
      </c>
      <c r="U36" s="1844"/>
      <c r="V36" s="1264" t="s">
        <v>727</v>
      </c>
      <c r="W36" s="1844">
        <v>465000</v>
      </c>
      <c r="X36" s="1264" t="s">
        <v>730</v>
      </c>
      <c r="Y36" s="1844"/>
      <c r="Z36" s="1264" t="s">
        <v>730</v>
      </c>
      <c r="AA36" s="1844"/>
      <c r="AB36" s="1264" t="s">
        <v>727</v>
      </c>
      <c r="AC36" s="1844"/>
    </row>
    <row r="37" spans="1:29">
      <c r="A37" s="1838"/>
      <c r="B37" s="1163" t="s">
        <v>2014</v>
      </c>
      <c r="C37" s="465"/>
      <c r="D37" s="509">
        <f>(19+27)*10</f>
        <v>460</v>
      </c>
      <c r="E37" s="86" t="s">
        <v>843</v>
      </c>
      <c r="F37" s="431"/>
      <c r="G37" s="1805"/>
      <c r="H37" s="1264" t="s">
        <v>727</v>
      </c>
      <c r="I37" s="1844"/>
      <c r="J37" s="1264" t="s">
        <v>727</v>
      </c>
      <c r="K37" s="1844"/>
      <c r="L37" s="1264" t="s">
        <v>727</v>
      </c>
      <c r="M37" s="1844"/>
      <c r="N37" s="1264" t="s">
        <v>727</v>
      </c>
      <c r="O37" s="1844"/>
      <c r="P37" s="1264" t="s">
        <v>727</v>
      </c>
      <c r="Q37" s="1844"/>
      <c r="R37" s="1264" t="s">
        <v>727</v>
      </c>
      <c r="S37" s="1844"/>
      <c r="T37" s="1264" t="s">
        <v>727</v>
      </c>
      <c r="U37" s="1844"/>
      <c r="V37" s="1264" t="s">
        <v>727</v>
      </c>
      <c r="W37" s="1844">
        <v>50000</v>
      </c>
      <c r="X37" s="1264" t="s">
        <v>730</v>
      </c>
      <c r="Y37" s="1844"/>
      <c r="Z37" s="1264" t="s">
        <v>730</v>
      </c>
      <c r="AA37" s="1844"/>
      <c r="AB37" s="1264" t="s">
        <v>727</v>
      </c>
      <c r="AC37" s="1844"/>
    </row>
    <row r="38" spans="1:29">
      <c r="A38" s="1838"/>
      <c r="B38" s="1163" t="s">
        <v>2015</v>
      </c>
      <c r="C38" s="465"/>
      <c r="D38" s="509">
        <f>(39+45)*2</f>
        <v>168</v>
      </c>
      <c r="E38" s="86" t="s">
        <v>843</v>
      </c>
      <c r="F38" s="431"/>
      <c r="G38" s="1805"/>
      <c r="H38" s="1264" t="s">
        <v>727</v>
      </c>
      <c r="I38" s="1844"/>
      <c r="J38" s="1264" t="s">
        <v>727</v>
      </c>
      <c r="K38" s="1844"/>
      <c r="L38" s="1264" t="s">
        <v>727</v>
      </c>
      <c r="M38" s="1844"/>
      <c r="N38" s="1264" t="s">
        <v>727</v>
      </c>
      <c r="O38" s="1844"/>
      <c r="P38" s="1264" t="s">
        <v>727</v>
      </c>
      <c r="Q38" s="1844"/>
      <c r="R38" s="1264" t="s">
        <v>727</v>
      </c>
      <c r="S38" s="1844"/>
      <c r="T38" s="1264" t="s">
        <v>727</v>
      </c>
      <c r="U38" s="1844"/>
      <c r="V38" s="1264" t="s">
        <v>727</v>
      </c>
      <c r="W38" s="1844">
        <f>2*11500</f>
        <v>23000</v>
      </c>
      <c r="X38" s="1264" t="s">
        <v>730</v>
      </c>
      <c r="Y38" s="1844"/>
      <c r="Z38" s="1264" t="s">
        <v>730</v>
      </c>
      <c r="AA38" s="1844"/>
      <c r="AB38" s="1264" t="s">
        <v>727</v>
      </c>
      <c r="AC38" s="1844"/>
    </row>
    <row r="39" spans="1:29" ht="23.25" customHeight="1">
      <c r="A39" s="1838"/>
      <c r="B39" s="1163" t="s">
        <v>2016</v>
      </c>
      <c r="C39" s="465"/>
      <c r="D39" s="509">
        <f>(39+16)*2</f>
        <v>110</v>
      </c>
      <c r="E39" s="86" t="s">
        <v>843</v>
      </c>
      <c r="F39" s="431"/>
      <c r="G39" s="1805"/>
      <c r="H39" s="1264" t="s">
        <v>727</v>
      </c>
      <c r="I39" s="1844"/>
      <c r="J39" s="1264" t="s">
        <v>727</v>
      </c>
      <c r="K39" s="1844"/>
      <c r="L39" s="1264" t="s">
        <v>727</v>
      </c>
      <c r="M39" s="1844"/>
      <c r="N39" s="1264" t="s">
        <v>727</v>
      </c>
      <c r="O39" s="1844"/>
      <c r="P39" s="1264" t="s">
        <v>727</v>
      </c>
      <c r="Q39" s="1844"/>
      <c r="R39" s="1264" t="s">
        <v>727</v>
      </c>
      <c r="S39" s="1844"/>
      <c r="T39" s="1264" t="s">
        <v>727</v>
      </c>
      <c r="U39" s="1844" t="s">
        <v>2017</v>
      </c>
      <c r="V39" s="1264" t="s">
        <v>727</v>
      </c>
      <c r="W39" s="1844"/>
      <c r="X39" s="1264" t="s">
        <v>730</v>
      </c>
      <c r="Y39" s="1844"/>
      <c r="Z39" s="1264" t="s">
        <v>730</v>
      </c>
      <c r="AA39" s="1844"/>
      <c r="AB39" s="1264" t="s">
        <v>727</v>
      </c>
      <c r="AC39" s="1844"/>
    </row>
    <row r="40" spans="1:29">
      <c r="A40" s="1838"/>
      <c r="B40" s="1163"/>
      <c r="C40" s="465"/>
      <c r="D40" s="509"/>
      <c r="E40" s="86"/>
      <c r="F40" s="431"/>
      <c r="G40" s="1805"/>
      <c r="H40" s="1264"/>
      <c r="I40" s="1844"/>
      <c r="J40" s="1844"/>
      <c r="K40" s="1844"/>
      <c r="L40" s="1264"/>
      <c r="M40" s="1844"/>
      <c r="N40" s="1264"/>
      <c r="O40" s="1844"/>
      <c r="P40" s="1264"/>
      <c r="Q40" s="1844"/>
      <c r="R40" s="1844"/>
      <c r="S40" s="1844"/>
      <c r="T40" s="1264"/>
      <c r="U40" s="1844"/>
      <c r="V40" s="1264"/>
      <c r="W40" s="1844"/>
      <c r="X40" s="1264"/>
      <c r="Y40" s="1844"/>
      <c r="Z40" s="1264"/>
      <c r="AA40" s="1844"/>
      <c r="AB40" s="1264"/>
      <c r="AC40" s="1844"/>
    </row>
    <row r="41" spans="1:29">
      <c r="A41" s="1838"/>
      <c r="B41" s="1271" t="s">
        <v>2018</v>
      </c>
      <c r="C41" s="465" t="s">
        <v>2019</v>
      </c>
      <c r="D41" s="87"/>
      <c r="E41" s="86"/>
      <c r="F41" s="431"/>
      <c r="G41" s="1805"/>
      <c r="H41" s="1851" t="s">
        <v>1035</v>
      </c>
      <c r="I41" s="1844" t="s">
        <v>1990</v>
      </c>
      <c r="J41" s="1851" t="s">
        <v>1035</v>
      </c>
      <c r="K41" s="1844" t="s">
        <v>1990</v>
      </c>
      <c r="L41" s="1851" t="s">
        <v>1035</v>
      </c>
      <c r="M41" s="1844" t="s">
        <v>1990</v>
      </c>
      <c r="N41" s="1851" t="s">
        <v>1035</v>
      </c>
      <c r="O41" s="1844" t="s">
        <v>1990</v>
      </c>
      <c r="P41" s="1851" t="s">
        <v>1035</v>
      </c>
      <c r="Q41" s="1844" t="s">
        <v>1990</v>
      </c>
      <c r="R41" s="1851" t="s">
        <v>1035</v>
      </c>
      <c r="S41" s="1844" t="s">
        <v>1990</v>
      </c>
      <c r="T41" s="1851" t="s">
        <v>1035</v>
      </c>
      <c r="U41" s="1844" t="s">
        <v>1990</v>
      </c>
      <c r="V41" s="1851" t="s">
        <v>1035</v>
      </c>
      <c r="W41" s="1844" t="s">
        <v>1990</v>
      </c>
      <c r="X41" s="1264" t="s">
        <v>727</v>
      </c>
      <c r="Y41" s="1844"/>
      <c r="Z41" s="1264" t="s">
        <v>727</v>
      </c>
      <c r="AA41" s="1844"/>
      <c r="AB41" s="1264" t="s">
        <v>727</v>
      </c>
      <c r="AC41" s="1844"/>
    </row>
    <row r="42" spans="1:29">
      <c r="A42" s="1838"/>
      <c r="B42" s="1163" t="s">
        <v>2020</v>
      </c>
      <c r="C42" s="23"/>
      <c r="D42" s="87"/>
      <c r="E42" s="86"/>
      <c r="F42" s="431"/>
      <c r="G42" s="1805"/>
      <c r="H42" s="1851" t="s">
        <v>1035</v>
      </c>
      <c r="I42" s="1852">
        <f>$Z$9</f>
        <v>165892</v>
      </c>
      <c r="J42" s="1851" t="s">
        <v>1035</v>
      </c>
      <c r="K42" s="1852">
        <f>$Z$9</f>
        <v>165892</v>
      </c>
      <c r="L42" s="1851" t="s">
        <v>1035</v>
      </c>
      <c r="M42" s="1852">
        <f>$Z$9</f>
        <v>165892</v>
      </c>
      <c r="N42" s="1851" t="s">
        <v>1035</v>
      </c>
      <c r="O42" s="1852">
        <f>$Z$9</f>
        <v>165892</v>
      </c>
      <c r="P42" s="1851" t="s">
        <v>1035</v>
      </c>
      <c r="Q42" s="1852">
        <f>$Z$9</f>
        <v>165892</v>
      </c>
      <c r="R42" s="1851" t="s">
        <v>1035</v>
      </c>
      <c r="S42" s="1852"/>
      <c r="T42" s="1851" t="s">
        <v>1035</v>
      </c>
      <c r="U42" s="1852">
        <f>$Z$9</f>
        <v>165892</v>
      </c>
      <c r="V42" s="1851" t="s">
        <v>1035</v>
      </c>
      <c r="W42" s="1852">
        <f>$Z$9</f>
        <v>165892</v>
      </c>
      <c r="X42" s="1264" t="s">
        <v>727</v>
      </c>
      <c r="Y42" s="1844" t="s">
        <v>2021</v>
      </c>
      <c r="Z42" s="1264" t="s">
        <v>727</v>
      </c>
      <c r="AA42" s="1844" t="s">
        <v>2021</v>
      </c>
      <c r="AB42" s="1851" t="s">
        <v>1035</v>
      </c>
      <c r="AC42" s="1852">
        <f>$Z$9</f>
        <v>165892</v>
      </c>
    </row>
    <row r="43" spans="1:29">
      <c r="A43" s="1838"/>
      <c r="B43" s="1163" t="s">
        <v>2022</v>
      </c>
      <c r="C43" s="23"/>
      <c r="D43" s="87"/>
      <c r="E43" s="86"/>
      <c r="F43" s="431"/>
      <c r="G43" s="1805"/>
      <c r="H43" s="1851" t="s">
        <v>1035</v>
      </c>
      <c r="I43" s="1844"/>
      <c r="J43" s="1851" t="s">
        <v>1035</v>
      </c>
      <c r="K43" s="1844"/>
      <c r="L43" s="1851" t="s">
        <v>1035</v>
      </c>
      <c r="M43" s="1844"/>
      <c r="N43" s="1851" t="s">
        <v>1035</v>
      </c>
      <c r="O43" s="1844"/>
      <c r="P43" s="1851" t="s">
        <v>1035</v>
      </c>
      <c r="Q43" s="1844"/>
      <c r="R43" s="1851" t="s">
        <v>1035</v>
      </c>
      <c r="S43" s="1844"/>
      <c r="T43" s="1851" t="s">
        <v>1035</v>
      </c>
      <c r="U43" s="1844"/>
      <c r="V43" s="1851" t="s">
        <v>1035</v>
      </c>
      <c r="W43" s="1844"/>
      <c r="X43" s="1264" t="s">
        <v>727</v>
      </c>
      <c r="Y43" s="1844"/>
      <c r="Z43" s="1264" t="s">
        <v>727</v>
      </c>
      <c r="AA43" s="1844"/>
      <c r="AB43" s="1264" t="s">
        <v>727</v>
      </c>
      <c r="AC43" s="1844"/>
    </row>
    <row r="44" spans="1:29">
      <c r="A44" s="1838"/>
      <c r="B44" s="1163" t="s">
        <v>2023</v>
      </c>
      <c r="C44" s="23"/>
      <c r="D44" s="87"/>
      <c r="E44" s="86"/>
      <c r="F44" s="431"/>
      <c r="G44" s="1805"/>
      <c r="H44" s="1387"/>
      <c r="I44" s="1844"/>
      <c r="J44" s="1264"/>
      <c r="K44" s="1844"/>
      <c r="L44" s="1264"/>
      <c r="M44" s="1844"/>
      <c r="N44" s="1264"/>
      <c r="O44" s="1844"/>
      <c r="P44" s="1264"/>
      <c r="Q44" s="1844"/>
      <c r="R44" s="1264"/>
      <c r="S44" s="1844"/>
      <c r="T44" s="1264"/>
      <c r="U44" s="1844"/>
      <c r="V44" s="1264"/>
      <c r="W44" s="1844"/>
      <c r="X44" s="1264" t="s">
        <v>727</v>
      </c>
      <c r="Y44" s="1844"/>
      <c r="Z44" s="1264" t="s">
        <v>727</v>
      </c>
      <c r="AA44" s="1844"/>
      <c r="AB44" s="1264" t="s">
        <v>727</v>
      </c>
      <c r="AC44" s="1844"/>
    </row>
    <row r="45" spans="1:29" ht="35.25" customHeight="1">
      <c r="A45" s="1838"/>
      <c r="B45" s="1163" t="s">
        <v>2024</v>
      </c>
      <c r="C45" s="23"/>
      <c r="D45" s="509">
        <f>93*4+10*4+3*2</f>
        <v>418</v>
      </c>
      <c r="E45" s="86" t="s">
        <v>847</v>
      </c>
      <c r="F45" s="431"/>
      <c r="G45" s="1805"/>
      <c r="H45" s="1851" t="s">
        <v>1035</v>
      </c>
      <c r="I45" s="1844"/>
      <c r="J45" s="1851" t="s">
        <v>1035</v>
      </c>
      <c r="K45" s="1844"/>
      <c r="L45" s="1851" t="s">
        <v>1035</v>
      </c>
      <c r="M45" s="1844"/>
      <c r="N45" s="1851" t="s">
        <v>1035</v>
      </c>
      <c r="O45" s="1844"/>
      <c r="P45" s="1851" t="s">
        <v>1035</v>
      </c>
      <c r="Q45" s="1844"/>
      <c r="R45" s="1851" t="s">
        <v>1035</v>
      </c>
      <c r="S45" s="1844"/>
      <c r="T45" s="1851" t="s">
        <v>1035</v>
      </c>
      <c r="U45" s="1844"/>
      <c r="V45" s="1851" t="s">
        <v>1035</v>
      </c>
      <c r="W45" s="1844"/>
      <c r="X45" s="1264" t="s">
        <v>727</v>
      </c>
      <c r="Y45" s="1844"/>
      <c r="Z45" s="1264" t="s">
        <v>727</v>
      </c>
      <c r="AA45" s="1844"/>
      <c r="AB45" s="1264" t="s">
        <v>727</v>
      </c>
      <c r="AC45" s="1844"/>
    </row>
    <row r="46" spans="1:29">
      <c r="A46" s="1838"/>
      <c r="B46" s="1163"/>
      <c r="C46" s="23"/>
      <c r="D46" s="509"/>
      <c r="E46" s="86"/>
      <c r="F46" s="431"/>
      <c r="G46" s="1805"/>
      <c r="H46" s="1851"/>
      <c r="I46" s="1844"/>
      <c r="J46" s="1851"/>
      <c r="K46" s="1844"/>
      <c r="L46" s="1851"/>
      <c r="M46" s="1844"/>
      <c r="N46" s="1851"/>
      <c r="O46" s="1844"/>
      <c r="P46" s="1851"/>
      <c r="Q46" s="1844"/>
      <c r="R46" s="1851"/>
      <c r="S46" s="1844"/>
      <c r="T46" s="1851"/>
      <c r="U46" s="1844"/>
      <c r="V46" s="1851"/>
      <c r="W46" s="1844"/>
      <c r="X46" s="1264"/>
      <c r="Y46" s="1844"/>
      <c r="Z46" s="1264"/>
      <c r="AA46" s="1844"/>
      <c r="AB46" s="1264"/>
      <c r="AC46" s="1844"/>
    </row>
    <row r="47" spans="1:29">
      <c r="A47" s="1838"/>
      <c r="B47" s="1163" t="s">
        <v>2025</v>
      </c>
      <c r="C47" s="23"/>
      <c r="D47" s="509">
        <f>5*93*4</f>
        <v>1860</v>
      </c>
      <c r="E47" s="86" t="s">
        <v>843</v>
      </c>
      <c r="F47" s="431"/>
      <c r="G47" s="1805"/>
      <c r="H47" s="1851" t="s">
        <v>1035</v>
      </c>
      <c r="I47" s="1844"/>
      <c r="J47" s="1851" t="s">
        <v>1035</v>
      </c>
      <c r="K47" s="1844"/>
      <c r="L47" s="1851" t="s">
        <v>1035</v>
      </c>
      <c r="M47" s="1844"/>
      <c r="N47" s="1851" t="s">
        <v>1035</v>
      </c>
      <c r="O47" s="1844"/>
      <c r="P47" s="1851" t="s">
        <v>1035</v>
      </c>
      <c r="Q47" s="1844"/>
      <c r="R47" s="1851" t="s">
        <v>1035</v>
      </c>
      <c r="S47" s="1844"/>
      <c r="T47" s="1851" t="s">
        <v>1035</v>
      </c>
      <c r="U47" s="1844"/>
      <c r="V47" s="1851" t="s">
        <v>1035</v>
      </c>
      <c r="W47" s="1844"/>
      <c r="X47" s="1264" t="s">
        <v>727</v>
      </c>
      <c r="Y47" s="1844"/>
      <c r="Z47" s="1264" t="s">
        <v>727</v>
      </c>
      <c r="AA47" s="1844"/>
      <c r="AB47" s="1264" t="s">
        <v>727</v>
      </c>
      <c r="AC47" s="1844"/>
    </row>
    <row r="48" spans="1:29">
      <c r="A48" s="1838"/>
      <c r="B48" s="1163" t="s">
        <v>2026</v>
      </c>
      <c r="C48" s="377" t="s">
        <v>2027</v>
      </c>
      <c r="D48" s="509">
        <v>0</v>
      </c>
      <c r="E48" s="86" t="s">
        <v>843</v>
      </c>
      <c r="F48" s="431"/>
      <c r="G48" s="1805"/>
      <c r="H48" s="1851" t="s">
        <v>1035</v>
      </c>
      <c r="I48" s="1844"/>
      <c r="J48" s="1851" t="s">
        <v>1035</v>
      </c>
      <c r="K48" s="1844"/>
      <c r="L48" s="1851" t="s">
        <v>1035</v>
      </c>
      <c r="M48" s="1844"/>
      <c r="N48" s="1851" t="s">
        <v>1035</v>
      </c>
      <c r="O48" s="1844"/>
      <c r="P48" s="1851" t="s">
        <v>1035</v>
      </c>
      <c r="Q48" s="1844"/>
      <c r="R48" s="1851" t="s">
        <v>1035</v>
      </c>
      <c r="S48" s="1844"/>
      <c r="T48" s="1851" t="s">
        <v>1035</v>
      </c>
      <c r="U48" s="1844"/>
      <c r="V48" s="1851" t="s">
        <v>1035</v>
      </c>
      <c r="W48" s="1844"/>
      <c r="X48" s="1264" t="s">
        <v>727</v>
      </c>
      <c r="Y48" s="1844"/>
      <c r="Z48" s="1264" t="s">
        <v>727</v>
      </c>
      <c r="AA48" s="1844"/>
      <c r="AB48" s="1264" t="s">
        <v>727</v>
      </c>
      <c r="AC48" s="1844"/>
    </row>
    <row r="49" spans="1:29">
      <c r="A49" s="1838"/>
      <c r="B49" s="1163" t="s">
        <v>2028</v>
      </c>
      <c r="C49" s="23"/>
      <c r="D49" s="509">
        <f>5*3*2</f>
        <v>30</v>
      </c>
      <c r="E49" s="86" t="s">
        <v>843</v>
      </c>
      <c r="F49" s="431"/>
      <c r="G49" s="1805"/>
      <c r="H49" s="1851" t="s">
        <v>1035</v>
      </c>
      <c r="I49" s="1844"/>
      <c r="J49" s="1851" t="s">
        <v>1035</v>
      </c>
      <c r="K49" s="1844"/>
      <c r="L49" s="1851" t="s">
        <v>1035</v>
      </c>
      <c r="M49" s="1844"/>
      <c r="N49" s="1851" t="s">
        <v>1035</v>
      </c>
      <c r="O49" s="1844"/>
      <c r="P49" s="1851" t="s">
        <v>1035</v>
      </c>
      <c r="Q49" s="1844"/>
      <c r="R49" s="1851" t="s">
        <v>1035</v>
      </c>
      <c r="S49" s="1844"/>
      <c r="T49" s="1851" t="s">
        <v>1035</v>
      </c>
      <c r="U49" s="1844"/>
      <c r="V49" s="1851" t="s">
        <v>1035</v>
      </c>
      <c r="W49" s="1844"/>
      <c r="X49" s="1264" t="s">
        <v>727</v>
      </c>
      <c r="Y49" s="1844"/>
      <c r="Z49" s="1264" t="s">
        <v>727</v>
      </c>
      <c r="AA49" s="1844"/>
      <c r="AB49" s="1264" t="s">
        <v>727</v>
      </c>
      <c r="AC49" s="1844"/>
    </row>
    <row r="50" spans="1:29">
      <c r="A50" s="1838"/>
      <c r="B50" s="1163" t="s">
        <v>2029</v>
      </c>
      <c r="C50" s="23"/>
      <c r="D50" s="509">
        <f>5*3*2</f>
        <v>30</v>
      </c>
      <c r="E50" s="86" t="s">
        <v>843</v>
      </c>
      <c r="F50" s="431"/>
      <c r="G50" s="1805"/>
      <c r="H50" s="1851" t="s">
        <v>1035</v>
      </c>
      <c r="I50" s="1844"/>
      <c r="J50" s="1851" t="s">
        <v>1035</v>
      </c>
      <c r="K50" s="1844"/>
      <c r="L50" s="1851" t="s">
        <v>1035</v>
      </c>
      <c r="M50" s="1844"/>
      <c r="N50" s="1851" t="s">
        <v>1035</v>
      </c>
      <c r="O50" s="1844"/>
      <c r="P50" s="1851" t="s">
        <v>1035</v>
      </c>
      <c r="Q50" s="1844"/>
      <c r="R50" s="1851" t="s">
        <v>1035</v>
      </c>
      <c r="S50" s="1844"/>
      <c r="T50" s="1851" t="s">
        <v>1035</v>
      </c>
      <c r="U50" s="1844"/>
      <c r="V50" s="1851" t="s">
        <v>1035</v>
      </c>
      <c r="W50" s="1844"/>
      <c r="X50" s="1264" t="s">
        <v>727</v>
      </c>
      <c r="Y50" s="1844"/>
      <c r="Z50" s="1264" t="s">
        <v>727</v>
      </c>
      <c r="AA50" s="1844"/>
      <c r="AB50" s="1264" t="s">
        <v>727</v>
      </c>
      <c r="AC50" s="1844"/>
    </row>
    <row r="51" spans="1:29">
      <c r="A51" s="1838"/>
      <c r="B51" s="1163"/>
      <c r="C51" s="23"/>
      <c r="D51" s="87"/>
      <c r="E51" s="86"/>
      <c r="F51" s="431"/>
      <c r="G51" s="1805"/>
      <c r="H51" s="1264"/>
      <c r="I51" s="1844"/>
      <c r="J51" s="1844"/>
      <c r="K51" s="1844"/>
      <c r="L51" s="1264"/>
      <c r="M51" s="1844"/>
      <c r="N51" s="1264"/>
      <c r="O51" s="1844"/>
      <c r="P51" s="1264"/>
      <c r="Q51" s="1844"/>
      <c r="R51" s="1844"/>
      <c r="S51" s="1844"/>
      <c r="T51" s="1264"/>
      <c r="U51" s="1844"/>
      <c r="V51" s="1264"/>
      <c r="W51" s="1844"/>
      <c r="X51" s="1264"/>
      <c r="Y51" s="1844"/>
      <c r="Z51" s="1264"/>
      <c r="AA51" s="1844"/>
      <c r="AB51" s="1264"/>
      <c r="AC51" s="1844"/>
    </row>
    <row r="52" spans="1:29" ht="15.75" thickBot="1">
      <c r="A52" s="1838"/>
      <c r="B52" s="1163"/>
      <c r="C52" s="23"/>
      <c r="D52" s="87"/>
      <c r="E52" s="86"/>
      <c r="F52" s="431"/>
      <c r="G52" s="830"/>
      <c r="H52" s="1264"/>
      <c r="I52" s="1844"/>
      <c r="J52" s="1844"/>
      <c r="K52" s="1844"/>
      <c r="L52" s="1264"/>
      <c r="M52" s="1844"/>
      <c r="N52" s="1264"/>
      <c r="O52" s="1844"/>
      <c r="P52" s="1264"/>
      <c r="Q52" s="1844"/>
      <c r="R52" s="1844"/>
      <c r="S52" s="1844"/>
      <c r="T52" s="1264"/>
      <c r="U52" s="1844"/>
      <c r="V52" s="1264"/>
      <c r="W52" s="1844"/>
      <c r="X52" s="1264"/>
      <c r="Y52" s="1844"/>
      <c r="Z52" s="1264"/>
      <c r="AA52" s="1844"/>
      <c r="AB52" s="1264"/>
      <c r="AC52" s="1844"/>
    </row>
    <row r="53" spans="1:29" ht="15.75" thickTop="1">
      <c r="A53" s="296"/>
      <c r="B53" s="301"/>
      <c r="C53" s="297"/>
      <c r="D53" s="15"/>
      <c r="E53" s="16"/>
      <c r="F53" s="282" t="s">
        <v>753</v>
      </c>
      <c r="G53" s="272"/>
      <c r="H53" s="273"/>
      <c r="I53" s="273">
        <f>SUM(I12:I52)</f>
        <v>380767</v>
      </c>
      <c r="J53" s="273"/>
      <c r="K53" s="273">
        <f>SUM(K12:K52)</f>
        <v>548217.32000000007</v>
      </c>
      <c r="L53" s="273"/>
      <c r="M53" s="273">
        <f>SUM(M12:M52)</f>
        <v>529734.34</v>
      </c>
      <c r="N53" s="273"/>
      <c r="O53" s="273">
        <f>SUM(O12:O52)</f>
        <v>390244</v>
      </c>
      <c r="P53" s="273"/>
      <c r="Q53" s="273">
        <f>SUM(Q12:Q52)</f>
        <v>642149.01</v>
      </c>
      <c r="R53" s="273"/>
      <c r="S53" s="273">
        <f>SUM(S12:S52)</f>
        <v>562156.18999999994</v>
      </c>
      <c r="T53" s="273"/>
      <c r="U53" s="273">
        <f>SUM(U12:U52)</f>
        <v>535798.40999999992</v>
      </c>
      <c r="V53" s="273"/>
      <c r="W53" s="273">
        <f>SUM(W12:W52)</f>
        <v>703892</v>
      </c>
      <c r="X53" s="273"/>
      <c r="Y53" s="273">
        <f>SUM(Y12:Y52)</f>
        <v>144516</v>
      </c>
      <c r="Z53" s="273"/>
      <c r="AA53" s="273">
        <f>SUM(AA12:AA52)</f>
        <v>165892</v>
      </c>
      <c r="AB53" s="273"/>
      <c r="AC53" s="273">
        <f>SUM(AC12:AC52)</f>
        <v>437511.16</v>
      </c>
    </row>
    <row r="54" spans="1:29">
      <c r="A54" s="1114"/>
      <c r="B54" s="1164"/>
      <c r="C54" s="432"/>
      <c r="D54" s="433"/>
      <c r="E54" s="434"/>
      <c r="F54" s="435" t="s">
        <v>754</v>
      </c>
      <c r="G54" s="436"/>
      <c r="H54" s="1395">
        <v>5.0000000000000001E-3</v>
      </c>
      <c r="I54" s="1166"/>
      <c r="J54" s="1395">
        <v>5.0000000000000001E-3</v>
      </c>
      <c r="K54" s="1166"/>
      <c r="L54" s="1395">
        <v>0</v>
      </c>
      <c r="M54" s="1166"/>
      <c r="N54" s="1395">
        <v>0</v>
      </c>
      <c r="O54" s="1166"/>
      <c r="P54" s="1395">
        <v>0</v>
      </c>
      <c r="Q54" s="1166"/>
      <c r="R54" s="1395">
        <v>0</v>
      </c>
      <c r="S54" s="1166"/>
      <c r="T54" s="1395">
        <v>0</v>
      </c>
      <c r="U54" s="1166"/>
      <c r="V54" s="1395">
        <v>0</v>
      </c>
      <c r="W54" s="1166"/>
      <c r="X54" s="1395">
        <v>0</v>
      </c>
      <c r="Y54" s="1166"/>
      <c r="Z54" s="1395">
        <v>0</v>
      </c>
      <c r="AA54" s="1166"/>
      <c r="AB54" s="1395">
        <v>0</v>
      </c>
      <c r="AC54" s="1166"/>
    </row>
    <row r="55" spans="1:29">
      <c r="A55" s="1114"/>
      <c r="B55" s="1164"/>
      <c r="C55" s="432"/>
      <c r="D55" s="433"/>
      <c r="E55" s="434"/>
      <c r="F55" s="435" t="s">
        <v>755</v>
      </c>
      <c r="G55" s="436"/>
      <c r="H55" s="1166"/>
      <c r="I55" s="1166">
        <f>H54*I53</f>
        <v>1903.835</v>
      </c>
      <c r="J55" s="1166"/>
      <c r="K55" s="1166">
        <f>J54*K53</f>
        <v>2741.0866000000005</v>
      </c>
      <c r="L55" s="1166"/>
      <c r="M55" s="1166">
        <f>L54*M53</f>
        <v>0</v>
      </c>
      <c r="N55" s="1166"/>
      <c r="O55" s="1166">
        <f>N54*O53</f>
        <v>0</v>
      </c>
      <c r="P55" s="1166"/>
      <c r="Q55" s="1166">
        <f>P54*Q53</f>
        <v>0</v>
      </c>
      <c r="R55" s="1166"/>
      <c r="S55" s="1166">
        <f>R54*S53</f>
        <v>0</v>
      </c>
      <c r="T55" s="1166"/>
      <c r="U55" s="1166">
        <f>T54*U53</f>
        <v>0</v>
      </c>
      <c r="V55" s="1166"/>
      <c r="W55" s="1166">
        <f>V54*W53</f>
        <v>0</v>
      </c>
      <c r="X55" s="1166"/>
      <c r="Y55" s="1166">
        <f>X54*Y53</f>
        <v>0</v>
      </c>
      <c r="Z55" s="1166"/>
      <c r="AA55" s="1166">
        <f>Z54*AA53</f>
        <v>0</v>
      </c>
      <c r="AB55" s="1166"/>
      <c r="AC55" s="1166">
        <f>AB54*AC53</f>
        <v>0</v>
      </c>
    </row>
    <row r="56" spans="1:29">
      <c r="A56" s="1114"/>
      <c r="B56" s="1164"/>
      <c r="C56" s="432"/>
      <c r="D56" s="433"/>
      <c r="E56" s="434"/>
      <c r="F56" s="435"/>
      <c r="G56" s="436"/>
      <c r="H56" s="1166"/>
      <c r="I56" s="1166"/>
      <c r="J56" s="1166"/>
      <c r="K56" s="1166"/>
      <c r="L56" s="1166"/>
      <c r="M56" s="1166"/>
      <c r="N56" s="1166"/>
      <c r="O56" s="1166"/>
      <c r="P56" s="1166"/>
      <c r="Q56" s="1166"/>
      <c r="R56" s="1166"/>
      <c r="S56" s="1166"/>
      <c r="T56" s="1166"/>
      <c r="U56" s="1166"/>
      <c r="V56" s="1166"/>
      <c r="W56" s="1166"/>
      <c r="X56" s="1166"/>
      <c r="Y56" s="1166"/>
      <c r="Z56" s="1166"/>
      <c r="AA56" s="1166"/>
      <c r="AB56" s="1166"/>
      <c r="AC56" s="1166"/>
    </row>
    <row r="57" spans="1:29">
      <c r="A57" s="1114"/>
      <c r="B57" s="1164"/>
      <c r="C57" s="432"/>
      <c r="D57" s="433"/>
      <c r="E57" s="434"/>
      <c r="F57" s="435" t="s">
        <v>756</v>
      </c>
      <c r="G57" s="436"/>
      <c r="H57" s="1166"/>
      <c r="I57" s="1166">
        <f>SUM(I53:I55)</f>
        <v>382670.83500000002</v>
      </c>
      <c r="J57" s="1166"/>
      <c r="K57" s="1166">
        <f>SUM(K53:K55)</f>
        <v>550958.4066000001</v>
      </c>
      <c r="L57" s="1166"/>
      <c r="M57" s="1166">
        <f>SUM(M53:M55)</f>
        <v>529734.34</v>
      </c>
      <c r="N57" s="1166"/>
      <c r="O57" s="1166">
        <f>SUM(O53:O55)</f>
        <v>390244</v>
      </c>
      <c r="P57" s="1166"/>
      <c r="Q57" s="1166">
        <f>SUM(Q53:Q55)</f>
        <v>642149.01</v>
      </c>
      <c r="R57" s="1166"/>
      <c r="S57" s="1166">
        <f>SUM(S53:S55)</f>
        <v>562156.18999999994</v>
      </c>
      <c r="T57" s="1166"/>
      <c r="U57" s="1166">
        <f>SUM(U53:U55)</f>
        <v>535798.40999999992</v>
      </c>
      <c r="V57" s="1166"/>
      <c r="W57" s="1166">
        <f>SUM(W53:W55)</f>
        <v>703892</v>
      </c>
      <c r="X57" s="1166"/>
      <c r="Y57" s="1166">
        <f>SUM(Y53:Y55)</f>
        <v>144516</v>
      </c>
      <c r="Z57" s="1166"/>
      <c r="AA57" s="1166">
        <f>SUM(AA53:AA55)</f>
        <v>165892</v>
      </c>
      <c r="AB57" s="1166"/>
      <c r="AC57" s="1166">
        <f>SUM(AC53:AC55)</f>
        <v>437511.16</v>
      </c>
    </row>
    <row r="58" spans="1:29">
      <c r="A58" s="1114"/>
      <c r="B58" s="1164"/>
      <c r="C58" s="432"/>
      <c r="D58" s="433"/>
      <c r="E58" s="434"/>
      <c r="F58" s="437" t="s">
        <v>757</v>
      </c>
      <c r="G58" s="438"/>
      <c r="H58" s="1167"/>
      <c r="I58" s="1167" t="e">
        <f>I57/'Cost Summary'!#REF!</f>
        <v>#REF!</v>
      </c>
      <c r="J58" s="1167"/>
      <c r="K58" s="1167" t="e">
        <f>K57/'Cost Summary'!#REF!</f>
        <v>#REF!</v>
      </c>
      <c r="L58" s="1167"/>
      <c r="M58" s="1167" t="e">
        <f>M57/'Cost Summary'!#REF!</f>
        <v>#REF!</v>
      </c>
      <c r="N58" s="1167"/>
      <c r="O58" s="1167" t="e">
        <f>O57/'Cost Summary'!#REF!</f>
        <v>#REF!</v>
      </c>
      <c r="P58" s="1167"/>
      <c r="Q58" s="1167" t="e">
        <f>Q57/'Cost Summary'!#REF!</f>
        <v>#REF!</v>
      </c>
      <c r="R58" s="1167"/>
      <c r="S58" s="1167" t="e">
        <f>S57/'Cost Summary'!#REF!</f>
        <v>#REF!</v>
      </c>
      <c r="T58" s="1167"/>
      <c r="U58" s="1167" t="e">
        <f>U57/'Cost Summary'!#REF!</f>
        <v>#REF!</v>
      </c>
      <c r="V58" s="1167"/>
      <c r="W58" s="1167" t="e">
        <f>W57/'Cost Summary'!#REF!</f>
        <v>#REF!</v>
      </c>
      <c r="X58" s="1167"/>
      <c r="Y58" s="1167" t="e">
        <f>Y57/'Cost Summary'!#REF!</f>
        <v>#REF!</v>
      </c>
      <c r="Z58" s="1167"/>
      <c r="AA58" s="1167" t="e">
        <f>AA57/'Cost Summary'!#REF!</f>
        <v>#REF!</v>
      </c>
      <c r="AB58" s="1167"/>
      <c r="AC58" s="1167" t="e">
        <f>AC57/'Cost Summary'!#REF!</f>
        <v>#REF!</v>
      </c>
    </row>
    <row r="59" spans="1:29">
      <c r="A59" s="1114"/>
      <c r="B59" s="1164"/>
      <c r="C59" s="432"/>
      <c r="D59" s="433"/>
      <c r="E59" s="434"/>
      <c r="F59" s="437" t="s">
        <v>758</v>
      </c>
      <c r="G59" s="438"/>
      <c r="H59" s="1167"/>
      <c r="I59" s="1167" t="e">
        <f>I57/'Cost Summary'!#REF!</f>
        <v>#REF!</v>
      </c>
      <c r="J59" s="1167"/>
      <c r="K59" s="1167" t="e">
        <f>K57/'Cost Summary'!#REF!</f>
        <v>#REF!</v>
      </c>
      <c r="L59" s="1167"/>
      <c r="M59" s="1167" t="e">
        <f>M57/'Cost Summary'!#REF!</f>
        <v>#REF!</v>
      </c>
      <c r="N59" s="1167"/>
      <c r="O59" s="1167" t="e">
        <f>O57/'Cost Summary'!#REF!</f>
        <v>#REF!</v>
      </c>
      <c r="P59" s="1167"/>
      <c r="Q59" s="1167" t="e">
        <f>Q57/'Cost Summary'!#REF!</f>
        <v>#REF!</v>
      </c>
      <c r="R59" s="1167"/>
      <c r="S59" s="1167" t="e">
        <f>S57/'Cost Summary'!#REF!</f>
        <v>#REF!</v>
      </c>
      <c r="T59" s="1167"/>
      <c r="U59" s="1167" t="e">
        <f>U57/'Cost Summary'!#REF!</f>
        <v>#REF!</v>
      </c>
      <c r="V59" s="1167"/>
      <c r="W59" s="1167" t="e">
        <f>W57/'Cost Summary'!#REF!</f>
        <v>#REF!</v>
      </c>
      <c r="X59" s="1167"/>
      <c r="Y59" s="1167" t="e">
        <f>Y57/'Cost Summary'!#REF!</f>
        <v>#REF!</v>
      </c>
      <c r="Z59" s="1167"/>
      <c r="AA59" s="1167" t="e">
        <f>AA57/'Cost Summary'!#REF!</f>
        <v>#REF!</v>
      </c>
      <c r="AB59" s="1167"/>
      <c r="AC59" s="1167" t="e">
        <f>AC57/'Cost Summary'!#REF!</f>
        <v>#REF!</v>
      </c>
    </row>
    <row r="60" spans="1:29" ht="15.75" thickBot="1">
      <c r="A60" s="1114"/>
      <c r="B60" s="1164"/>
      <c r="C60" s="432"/>
      <c r="D60" s="433"/>
      <c r="E60" s="434"/>
      <c r="F60" s="439"/>
      <c r="G60" s="436"/>
      <c r="H60" s="1168"/>
      <c r="I60" s="1168"/>
      <c r="J60" s="1168"/>
      <c r="K60" s="1168"/>
      <c r="L60" s="1168"/>
      <c r="M60" s="1168"/>
      <c r="N60" s="1168"/>
      <c r="O60" s="1168"/>
      <c r="P60" s="1168"/>
      <c r="Q60" s="1168"/>
      <c r="R60" s="1168"/>
      <c r="S60" s="1168"/>
      <c r="T60" s="1168"/>
      <c r="U60" s="1168"/>
      <c r="V60" s="1168"/>
      <c r="W60" s="1168"/>
      <c r="X60" s="1168"/>
      <c r="Y60" s="1168"/>
      <c r="Z60" s="1168"/>
      <c r="AA60" s="1168"/>
      <c r="AB60" s="1168"/>
      <c r="AC60" s="1168"/>
    </row>
    <row r="61" spans="1:29" ht="16.5" thickTop="1" thickBot="1">
      <c r="A61" s="2331" t="s">
        <v>759</v>
      </c>
      <c r="B61" s="2332"/>
      <c r="C61" s="298"/>
      <c r="D61" s="12"/>
      <c r="E61" s="12"/>
      <c r="F61" s="12"/>
      <c r="G61" s="26"/>
      <c r="H61" s="20"/>
      <c r="I61" s="20"/>
      <c r="J61" s="20"/>
      <c r="K61" s="20"/>
      <c r="L61" s="20"/>
      <c r="M61" s="20"/>
      <c r="N61" s="20"/>
      <c r="O61" s="20"/>
      <c r="P61" s="20"/>
      <c r="Q61" s="20"/>
      <c r="R61" s="24"/>
      <c r="S61" s="24"/>
      <c r="T61" s="24"/>
      <c r="U61" s="20"/>
      <c r="V61" s="20"/>
      <c r="W61" s="20"/>
      <c r="X61" s="24"/>
      <c r="Y61" s="20"/>
      <c r="Z61" s="20"/>
      <c r="AA61" s="20"/>
      <c r="AB61" s="20"/>
      <c r="AC61" s="20"/>
    </row>
    <row r="62" spans="1:29" ht="15.75" thickTop="1">
      <c r="A62" s="1817"/>
      <c r="B62" s="1105" t="s">
        <v>2030</v>
      </c>
      <c r="C62" s="927"/>
      <c r="D62" s="1840"/>
      <c r="E62" s="1840"/>
      <c r="F62" s="1840"/>
      <c r="G62" s="1818"/>
      <c r="H62" s="1819"/>
      <c r="I62" s="1819"/>
      <c r="J62" s="1819"/>
      <c r="K62" s="1819"/>
      <c r="L62" s="1819"/>
      <c r="M62" s="1819"/>
      <c r="N62" s="1819"/>
      <c r="O62" s="1819"/>
      <c r="P62" s="1819"/>
      <c r="Q62" s="1819"/>
      <c r="R62" s="1820"/>
      <c r="S62" s="1820"/>
      <c r="T62" s="1820"/>
      <c r="U62" s="1819"/>
      <c r="V62" s="1819"/>
      <c r="W62" s="1819"/>
      <c r="X62" s="1820"/>
      <c r="Y62" s="1819"/>
      <c r="Z62" s="1819"/>
      <c r="AA62" s="1819"/>
      <c r="AB62" s="1819"/>
      <c r="AC62" s="1819"/>
    </row>
    <row r="63" spans="1:29">
      <c r="A63" s="1817"/>
      <c r="B63" s="1105"/>
      <c r="C63" s="927"/>
      <c r="D63" s="1840"/>
      <c r="E63" s="1840"/>
      <c r="F63" s="1840"/>
      <c r="G63" s="1818"/>
      <c r="H63" s="1819"/>
      <c r="I63" s="1819"/>
      <c r="J63" s="1819"/>
      <c r="K63" s="1819"/>
      <c r="L63" s="1819"/>
      <c r="M63" s="1819"/>
      <c r="N63" s="1819"/>
      <c r="O63" s="1819"/>
      <c r="P63" s="1819"/>
      <c r="Q63" s="1819"/>
      <c r="R63" s="1820"/>
      <c r="S63" s="1820"/>
      <c r="T63" s="1820"/>
      <c r="U63" s="1819"/>
      <c r="V63" s="1819"/>
      <c r="W63" s="1819"/>
      <c r="X63" s="1820"/>
      <c r="Y63" s="1819"/>
      <c r="Z63" s="1819"/>
      <c r="AA63" s="1819"/>
      <c r="AB63" s="1819"/>
      <c r="AC63" s="1819"/>
    </row>
    <row r="64" spans="1:29" ht="15.75" thickBot="1">
      <c r="A64" s="1817"/>
      <c r="B64" s="1105"/>
      <c r="C64" s="927"/>
      <c r="D64" s="1840"/>
      <c r="E64" s="1840"/>
      <c r="F64" s="1840"/>
      <c r="G64" s="1818"/>
      <c r="H64" s="1819"/>
      <c r="I64" s="1819"/>
      <c r="J64" s="1819"/>
      <c r="K64" s="1819"/>
      <c r="L64" s="1819"/>
      <c r="M64" s="1819"/>
      <c r="N64" s="1819"/>
      <c r="O64" s="1819"/>
      <c r="P64" s="1819"/>
      <c r="Q64" s="1819"/>
      <c r="R64" s="1820"/>
      <c r="S64" s="1820"/>
      <c r="T64" s="1820"/>
      <c r="U64" s="1819"/>
      <c r="V64" s="1819"/>
      <c r="W64" s="1819"/>
      <c r="X64" s="1820"/>
      <c r="Y64" s="1819"/>
      <c r="Z64" s="1819"/>
      <c r="AA64" s="1819"/>
      <c r="AB64" s="1819"/>
      <c r="AC64" s="1819"/>
    </row>
    <row r="65" spans="1:36" s="2" customFormat="1" ht="16.5" thickTop="1" thickBot="1">
      <c r="A65" s="2331" t="s">
        <v>760</v>
      </c>
      <c r="B65" s="2332"/>
      <c r="C65" s="298"/>
      <c r="D65" s="12"/>
      <c r="E65" s="12"/>
      <c r="F65" s="12"/>
      <c r="G65" s="26"/>
      <c r="H65" s="20"/>
      <c r="I65" s="20"/>
      <c r="J65" s="20"/>
      <c r="K65" s="20"/>
      <c r="L65" s="20"/>
      <c r="M65" s="20"/>
      <c r="N65" s="20"/>
      <c r="O65" s="20"/>
      <c r="P65" s="20"/>
      <c r="Q65" s="20"/>
      <c r="R65" s="24"/>
      <c r="S65" s="24"/>
      <c r="T65" s="24"/>
      <c r="U65" s="20"/>
      <c r="V65" s="20"/>
      <c r="W65" s="20"/>
      <c r="X65" s="24"/>
      <c r="Y65" s="20"/>
      <c r="Z65" s="20"/>
      <c r="AA65" s="20"/>
      <c r="AB65" s="20"/>
      <c r="AC65" s="20"/>
      <c r="AD65"/>
      <c r="AE65"/>
      <c r="AF65"/>
      <c r="AG65"/>
      <c r="AH65"/>
      <c r="AI65"/>
      <c r="AJ65"/>
    </row>
    <row r="66" spans="1:36" s="2" customFormat="1" ht="15.75" thickTop="1">
      <c r="A66" s="1817"/>
      <c r="B66" s="1105"/>
      <c r="C66" s="927"/>
      <c r="D66" s="1840"/>
      <c r="E66" s="1840"/>
      <c r="F66" s="1840"/>
      <c r="G66" s="1818"/>
      <c r="H66" s="1819"/>
      <c r="I66" s="1819"/>
      <c r="J66" s="1819"/>
      <c r="K66" s="1819"/>
      <c r="L66" s="1819"/>
      <c r="M66" s="1819"/>
      <c r="N66" s="1819"/>
      <c r="O66" s="1819"/>
      <c r="P66" s="1819"/>
      <c r="Q66" s="1819"/>
      <c r="R66" s="1820"/>
      <c r="S66" s="1820"/>
      <c r="T66" s="1820"/>
      <c r="U66" s="1819"/>
      <c r="V66" s="1819"/>
      <c r="W66" s="1819"/>
      <c r="X66" s="1820"/>
      <c r="Y66" s="1819"/>
      <c r="Z66" s="1819"/>
      <c r="AA66" s="1819"/>
      <c r="AB66" s="1819"/>
      <c r="AC66" s="1819"/>
      <c r="AD66"/>
      <c r="AE66"/>
      <c r="AF66"/>
      <c r="AG66"/>
      <c r="AH66"/>
      <c r="AI66"/>
      <c r="AJ66"/>
    </row>
    <row r="67" spans="1:36" s="2" customFormat="1">
      <c r="A67" s="1817"/>
      <c r="B67" s="1105"/>
      <c r="C67" s="927"/>
      <c r="D67" s="1840"/>
      <c r="E67" s="1840"/>
      <c r="F67" s="1840"/>
      <c r="G67" s="1818"/>
      <c r="H67" s="1819"/>
      <c r="I67" s="1819"/>
      <c r="J67" s="1819"/>
      <c r="K67" s="1819"/>
      <c r="L67" s="1819"/>
      <c r="M67" s="1819"/>
      <c r="N67" s="1819"/>
      <c r="O67" s="1819"/>
      <c r="P67" s="1819"/>
      <c r="Q67" s="1819"/>
      <c r="R67" s="1820"/>
      <c r="S67" s="1820"/>
      <c r="T67" s="1820"/>
      <c r="U67" s="1819"/>
      <c r="V67" s="1819"/>
      <c r="W67" s="1819"/>
      <c r="X67" s="1820"/>
      <c r="Y67" s="1819"/>
      <c r="Z67" s="1819"/>
      <c r="AA67" s="1819"/>
      <c r="AB67" s="1819"/>
      <c r="AC67" s="1819"/>
      <c r="AD67"/>
      <c r="AE67"/>
      <c r="AF67"/>
      <c r="AG67"/>
      <c r="AH67"/>
      <c r="AI67"/>
      <c r="AJ67"/>
    </row>
    <row r="68" spans="1:36" ht="15.75" thickBot="1">
      <c r="A68" s="1817"/>
      <c r="B68" s="1105"/>
      <c r="C68" s="927"/>
      <c r="D68" s="1840"/>
      <c r="E68" s="1840"/>
      <c r="F68" s="1840"/>
      <c r="G68" s="1818"/>
      <c r="H68" s="1819"/>
      <c r="I68" s="1819"/>
      <c r="J68" s="1819"/>
      <c r="K68" s="1819"/>
      <c r="L68" s="1819"/>
      <c r="M68" s="1819"/>
      <c r="N68" s="1819"/>
      <c r="O68" s="1819"/>
      <c r="P68" s="1819"/>
      <c r="Q68" s="1819"/>
      <c r="R68" s="1820"/>
      <c r="S68" s="1820"/>
      <c r="T68" s="1820"/>
      <c r="U68" s="1819"/>
      <c r="V68" s="1819"/>
      <c r="W68" s="1819"/>
      <c r="X68" s="1820"/>
      <c r="Y68" s="1819"/>
      <c r="Z68" s="1819"/>
      <c r="AA68" s="1819"/>
      <c r="AB68" s="1819"/>
      <c r="AC68" s="1819"/>
    </row>
    <row r="69" spans="1:36" s="2" customFormat="1" ht="16.5" thickTop="1" thickBot="1">
      <c r="A69" s="2331" t="s">
        <v>761</v>
      </c>
      <c r="B69" s="2332"/>
      <c r="C69" s="298"/>
      <c r="D69" s="12"/>
      <c r="E69" s="12"/>
      <c r="F69" s="12"/>
      <c r="G69" s="26"/>
      <c r="H69" s="20"/>
      <c r="I69" s="20"/>
      <c r="J69" s="20"/>
      <c r="K69" s="20"/>
      <c r="L69" s="20"/>
      <c r="M69" s="20"/>
      <c r="N69" s="20"/>
      <c r="O69" s="20"/>
      <c r="P69" s="20"/>
      <c r="Q69" s="20"/>
      <c r="R69" s="24"/>
      <c r="S69" s="24"/>
      <c r="T69" s="24"/>
      <c r="U69" s="20"/>
      <c r="V69" s="20"/>
      <c r="W69" s="20"/>
      <c r="X69" s="24"/>
      <c r="Y69" s="20"/>
      <c r="Z69" s="20"/>
      <c r="AA69" s="20"/>
      <c r="AB69" s="20"/>
      <c r="AC69" s="20"/>
      <c r="AD69"/>
      <c r="AE69"/>
      <c r="AF69"/>
      <c r="AG69"/>
      <c r="AH69"/>
      <c r="AI69"/>
      <c r="AJ69"/>
    </row>
    <row r="70" spans="1:36" s="2" customFormat="1" ht="15.75" thickTop="1">
      <c r="A70" s="1817"/>
      <c r="B70" s="1105" t="s">
        <v>2031</v>
      </c>
      <c r="C70" s="927"/>
      <c r="D70" s="1840"/>
      <c r="E70" s="1840"/>
      <c r="F70" s="1840"/>
      <c r="G70" s="1818"/>
      <c r="H70" s="1819"/>
      <c r="I70" s="1819">
        <f>-SUM(I26:I34)+(3200*37)</f>
        <v>-96475</v>
      </c>
      <c r="J70" s="1819"/>
      <c r="K70" s="1819"/>
      <c r="L70" s="1819"/>
      <c r="M70" s="1819"/>
      <c r="N70" s="1819"/>
      <c r="O70" s="1819"/>
      <c r="P70" s="1819"/>
      <c r="Q70" s="1819"/>
      <c r="R70" s="1820"/>
      <c r="S70" s="1820"/>
      <c r="T70" s="1820"/>
      <c r="U70" s="1819"/>
      <c r="V70" s="1819"/>
      <c r="W70" s="1819"/>
      <c r="X70" s="1820"/>
      <c r="Y70" s="1819"/>
      <c r="Z70" s="1264" t="s">
        <v>727</v>
      </c>
      <c r="AA70" s="1819">
        <f>SUM(D36:D39,D32)*50</f>
        <v>345000</v>
      </c>
      <c r="AB70" s="1264" t="s">
        <v>727</v>
      </c>
      <c r="AC70" s="1819">
        <f>SUM(F36:F39,F32)*50</f>
        <v>1500</v>
      </c>
      <c r="AD70"/>
      <c r="AE70"/>
      <c r="AF70"/>
      <c r="AG70"/>
      <c r="AH70"/>
      <c r="AI70"/>
      <c r="AJ70"/>
    </row>
    <row r="71" spans="1:36" s="2" customFormat="1">
      <c r="A71" s="1124"/>
      <c r="B71" s="1105" t="s">
        <v>1986</v>
      </c>
      <c r="C71" s="415"/>
      <c r="D71" s="422"/>
      <c r="E71" s="422"/>
      <c r="F71" s="422"/>
      <c r="G71" s="831"/>
      <c r="H71" s="1173"/>
      <c r="I71" s="1173"/>
      <c r="J71" s="1173"/>
      <c r="K71" s="1173"/>
      <c r="L71" s="1173"/>
      <c r="M71" s="1173"/>
      <c r="N71" s="1173"/>
      <c r="O71" s="1173"/>
      <c r="P71" s="1173"/>
      <c r="Q71" s="1173"/>
      <c r="R71" s="440"/>
      <c r="S71" s="440"/>
      <c r="T71" s="440"/>
      <c r="U71" s="1173"/>
      <c r="V71" s="1173"/>
      <c r="W71" s="1173"/>
      <c r="X71" s="440"/>
      <c r="Y71" s="1173"/>
      <c r="Z71" s="1173"/>
      <c r="AA71" s="1173"/>
      <c r="AB71" s="1173"/>
      <c r="AC71" s="1173"/>
      <c r="AD71"/>
      <c r="AE71"/>
      <c r="AF71"/>
      <c r="AG71"/>
      <c r="AH71"/>
      <c r="AI71"/>
      <c r="AJ71"/>
    </row>
    <row r="72" spans="1:36" s="2" customFormat="1" ht="15.75" thickBot="1">
      <c r="A72" s="1126"/>
      <c r="B72" s="1105"/>
      <c r="C72" s="415"/>
      <c r="D72" s="422"/>
      <c r="E72" s="422"/>
      <c r="F72" s="422"/>
      <c r="G72" s="831"/>
      <c r="H72" s="1175"/>
      <c r="I72" s="1175"/>
      <c r="J72" s="1175"/>
      <c r="K72" s="1175"/>
      <c r="L72" s="1175"/>
      <c r="M72" s="1175"/>
      <c r="N72" s="1175"/>
      <c r="O72" s="1175"/>
      <c r="P72" s="1175"/>
      <c r="Q72" s="1175"/>
      <c r="R72" s="441"/>
      <c r="S72" s="441"/>
      <c r="T72" s="441"/>
      <c r="U72" s="1175"/>
      <c r="V72" s="1175"/>
      <c r="W72" s="1175"/>
      <c r="X72" s="441"/>
      <c r="Y72" s="1175"/>
      <c r="Z72" s="1175"/>
      <c r="AA72" s="1175"/>
      <c r="AB72" s="1175"/>
      <c r="AC72" s="1175"/>
    </row>
    <row r="73" spans="1:36" s="2" customFormat="1" ht="16.5" thickTop="1" thickBot="1">
      <c r="A73" s="2331" t="s">
        <v>762</v>
      </c>
      <c r="B73" s="2332"/>
      <c r="C73" s="298"/>
      <c r="D73" s="12"/>
      <c r="E73" s="12"/>
      <c r="F73" s="12"/>
      <c r="G73" s="26"/>
      <c r="H73" s="20"/>
      <c r="I73" s="20"/>
      <c r="J73" s="20"/>
      <c r="K73" s="20"/>
      <c r="L73" s="20"/>
      <c r="M73" s="20"/>
      <c r="N73" s="20"/>
      <c r="O73" s="20"/>
      <c r="P73" s="20"/>
      <c r="Q73" s="20"/>
      <c r="R73" s="24"/>
      <c r="S73" s="24"/>
      <c r="T73" s="24"/>
      <c r="U73" s="20"/>
      <c r="V73" s="20"/>
      <c r="W73" s="20"/>
      <c r="X73" s="24"/>
      <c r="Y73" s="20"/>
      <c r="Z73" s="20"/>
      <c r="AA73" s="20"/>
      <c r="AB73" s="20"/>
      <c r="AC73" s="20"/>
      <c r="AD73"/>
      <c r="AE73"/>
      <c r="AF73"/>
      <c r="AG73"/>
      <c r="AH73"/>
      <c r="AI73"/>
      <c r="AJ73"/>
    </row>
    <row r="74" spans="1:36" ht="15.75" thickTop="1">
      <c r="A74" s="1827"/>
      <c r="B74" s="1828" t="s">
        <v>2032</v>
      </c>
      <c r="C74" s="927"/>
      <c r="D74" s="1840"/>
      <c r="E74" s="1840"/>
      <c r="F74" s="1840"/>
      <c r="G74" s="1818"/>
      <c r="H74" s="1819"/>
      <c r="I74" s="1819">
        <f>-I28+(26500*1.5)</f>
        <v>-5250</v>
      </c>
      <c r="J74" s="1819"/>
      <c r="K74" s="1819"/>
      <c r="L74" s="1819"/>
      <c r="M74" s="1819"/>
      <c r="N74" s="1819"/>
      <c r="O74" s="1819"/>
      <c r="P74" s="1819"/>
      <c r="Q74" s="1819"/>
      <c r="R74" s="1820"/>
      <c r="S74" s="1820"/>
      <c r="T74" s="1820"/>
      <c r="U74" s="1819"/>
      <c r="V74" s="1819"/>
      <c r="W74" s="1819"/>
      <c r="X74" s="1820"/>
      <c r="Y74" s="1819"/>
      <c r="Z74" s="1819"/>
      <c r="AA74" s="1819"/>
      <c r="AB74" s="1819"/>
      <c r="AC74" s="1819"/>
      <c r="AD74" s="2"/>
      <c r="AE74" s="2"/>
      <c r="AF74" s="2"/>
      <c r="AG74" s="2"/>
      <c r="AH74" s="2"/>
      <c r="AI74" s="2"/>
      <c r="AJ74" s="2"/>
    </row>
    <row r="75" spans="1:36">
      <c r="A75" s="1126"/>
      <c r="B75" s="1174"/>
      <c r="C75" s="415"/>
      <c r="D75" s="422"/>
      <c r="E75" s="422"/>
      <c r="F75" s="422"/>
      <c r="G75" s="831"/>
      <c r="H75" s="1178"/>
      <c r="I75" s="1178"/>
      <c r="J75" s="1178"/>
      <c r="K75" s="1178"/>
      <c r="L75" s="1178"/>
      <c r="M75" s="1178"/>
      <c r="N75" s="1178"/>
      <c r="O75" s="1178"/>
      <c r="P75" s="1178"/>
      <c r="Q75" s="1178"/>
      <c r="R75" s="442"/>
      <c r="S75" s="442"/>
      <c r="T75" s="442"/>
      <c r="U75" s="1178"/>
      <c r="V75" s="1178"/>
      <c r="W75" s="1178"/>
      <c r="X75" s="442"/>
      <c r="Y75" s="1178"/>
      <c r="Z75" s="1178"/>
      <c r="AA75" s="1178"/>
      <c r="AB75" s="1178"/>
      <c r="AC75" s="1178"/>
      <c r="AD75" s="2"/>
      <c r="AE75" s="2"/>
      <c r="AF75" s="2"/>
      <c r="AG75" s="2"/>
      <c r="AH75" s="2"/>
      <c r="AI75" s="2"/>
      <c r="AJ75" s="2"/>
    </row>
    <row r="76" spans="1:36" ht="15.75" thickBot="1">
      <c r="A76" s="1126"/>
      <c r="B76" s="1174"/>
      <c r="C76" s="415"/>
      <c r="D76" s="422"/>
      <c r="E76" s="422"/>
      <c r="F76" s="422"/>
      <c r="G76" s="831"/>
      <c r="H76" s="1178"/>
      <c r="I76" s="1178"/>
      <c r="J76" s="1178"/>
      <c r="K76" s="1178"/>
      <c r="L76" s="1178"/>
      <c r="M76" s="1178"/>
      <c r="N76" s="1178"/>
      <c r="O76" s="1178"/>
      <c r="P76" s="1178"/>
      <c r="Q76" s="1178"/>
      <c r="R76" s="442"/>
      <c r="S76" s="442"/>
      <c r="T76" s="442"/>
      <c r="U76" s="1178"/>
      <c r="V76" s="1178"/>
      <c r="W76" s="1178"/>
      <c r="X76" s="442"/>
      <c r="Y76" s="1178"/>
      <c r="Z76" s="1178"/>
      <c r="AA76" s="1178"/>
      <c r="AB76" s="1178"/>
      <c r="AC76" s="1178"/>
      <c r="AD76" s="2"/>
      <c r="AE76" s="2"/>
      <c r="AF76" s="2"/>
      <c r="AG76" s="2"/>
      <c r="AH76" s="2"/>
      <c r="AI76" s="2"/>
      <c r="AJ76" s="2"/>
    </row>
    <row r="77" spans="1:36" ht="16.5" thickTop="1" thickBot="1">
      <c r="A77" s="2331" t="s">
        <v>763</v>
      </c>
      <c r="B77" s="2332"/>
      <c r="C77" s="298"/>
      <c r="D77" s="12"/>
      <c r="E77" s="12"/>
      <c r="F77" s="12"/>
      <c r="G77" s="26"/>
      <c r="H77" s="20"/>
      <c r="I77" s="20"/>
      <c r="J77" s="20"/>
      <c r="K77" s="20"/>
      <c r="L77" s="20"/>
      <c r="M77" s="20"/>
      <c r="N77" s="20"/>
      <c r="O77" s="20"/>
      <c r="P77" s="20"/>
      <c r="Q77" s="20"/>
      <c r="R77" s="24"/>
      <c r="S77" s="24"/>
      <c r="T77" s="24"/>
      <c r="U77" s="20"/>
      <c r="V77" s="20"/>
      <c r="W77" s="20"/>
      <c r="X77" s="24"/>
      <c r="Y77" s="20"/>
      <c r="Z77" s="20"/>
      <c r="AA77" s="20"/>
      <c r="AB77" s="20"/>
      <c r="AC77" s="20"/>
    </row>
    <row r="78" spans="1:36" ht="15.75" thickTop="1">
      <c r="A78" s="1124"/>
      <c r="B78" s="1105" t="s">
        <v>764</v>
      </c>
      <c r="C78" s="415"/>
      <c r="D78" s="422"/>
      <c r="E78" s="422"/>
      <c r="F78" s="422"/>
      <c r="G78" s="831"/>
      <c r="H78" s="1178"/>
      <c r="I78" s="1178"/>
      <c r="J78" s="1178"/>
      <c r="K78" s="1178"/>
      <c r="L78" s="1178"/>
      <c r="M78" s="1178"/>
      <c r="N78" s="1178"/>
      <c r="O78" s="1178"/>
      <c r="P78" s="1178"/>
      <c r="Q78" s="1178"/>
      <c r="R78" s="442"/>
      <c r="S78" s="442"/>
      <c r="T78" s="442"/>
      <c r="U78" s="1178"/>
      <c r="V78" s="1178"/>
      <c r="W78" s="1178"/>
      <c r="X78" s="442"/>
      <c r="Y78" s="1178"/>
      <c r="Z78" s="1178"/>
      <c r="AA78" s="1178"/>
      <c r="AB78" s="1178"/>
      <c r="AC78" s="1178"/>
    </row>
    <row r="79" spans="1:36">
      <c r="A79" s="1124"/>
      <c r="B79" s="1105" t="s">
        <v>765</v>
      </c>
      <c r="C79" s="415"/>
      <c r="D79" s="422"/>
      <c r="E79" s="422"/>
      <c r="F79" s="422"/>
      <c r="G79" s="831"/>
      <c r="H79" s="1178"/>
      <c r="I79" s="1178"/>
      <c r="J79" s="1178"/>
      <c r="K79" s="1178"/>
      <c r="L79" s="1178"/>
      <c r="M79" s="1178"/>
      <c r="N79" s="1178"/>
      <c r="O79" s="1178"/>
      <c r="P79" s="1178"/>
      <c r="Q79" s="1178"/>
      <c r="R79" s="442"/>
      <c r="S79" s="442"/>
      <c r="T79" s="442"/>
      <c r="U79" s="1178"/>
      <c r="V79" s="1178"/>
      <c r="W79" s="1178"/>
      <c r="X79" s="442"/>
      <c r="Y79" s="1178"/>
      <c r="Z79" s="1178"/>
      <c r="AA79" s="1178"/>
      <c r="AB79" s="1178"/>
      <c r="AC79" s="1178"/>
    </row>
    <row r="80" spans="1:36">
      <c r="A80" s="1124"/>
      <c r="B80" s="1105" t="s">
        <v>766</v>
      </c>
      <c r="C80" s="415"/>
      <c r="D80" s="422"/>
      <c r="E80" s="422"/>
      <c r="F80" s="422"/>
      <c r="G80" s="831"/>
      <c r="H80" s="1178"/>
      <c r="I80" s="1178"/>
      <c r="J80" s="1178"/>
      <c r="K80" s="1178"/>
      <c r="L80" s="1178"/>
      <c r="M80" s="1178"/>
      <c r="N80" s="1178"/>
      <c r="O80" s="1178"/>
      <c r="P80" s="1178"/>
      <c r="Q80" s="1178"/>
      <c r="R80" s="442"/>
      <c r="S80" s="442"/>
      <c r="T80" s="442"/>
      <c r="U80" s="1178"/>
      <c r="V80" s="1178"/>
      <c r="W80" s="1178"/>
      <c r="X80" s="442"/>
      <c r="Y80" s="1178"/>
      <c r="Z80" s="1178"/>
      <c r="AA80" s="1178"/>
      <c r="AB80" s="1178"/>
      <c r="AC80" s="1178"/>
    </row>
    <row r="81" spans="1:29">
      <c r="A81" s="1124"/>
      <c r="B81" s="1105" t="s">
        <v>767</v>
      </c>
      <c r="C81" s="415"/>
      <c r="D81" s="422"/>
      <c r="E81" s="422"/>
      <c r="F81" s="422"/>
      <c r="G81" s="831"/>
      <c r="H81" s="1178"/>
      <c r="I81" s="1178"/>
      <c r="J81" s="1178"/>
      <c r="K81" s="1178"/>
      <c r="L81" s="1178"/>
      <c r="M81" s="1178"/>
      <c r="N81" s="1178"/>
      <c r="O81" s="1178"/>
      <c r="P81" s="1178"/>
      <c r="Q81" s="1178"/>
      <c r="R81" s="442"/>
      <c r="S81" s="442"/>
      <c r="T81" s="442"/>
      <c r="U81" s="1178"/>
      <c r="V81" s="1178"/>
      <c r="W81" s="1178"/>
      <c r="X81" s="442"/>
      <c r="Y81" s="1178"/>
      <c r="Z81" s="1178"/>
      <c r="AA81" s="1178"/>
      <c r="AB81" s="1178"/>
      <c r="AC81" s="1178"/>
    </row>
    <row r="82" spans="1:29" ht="15.75" thickBot="1">
      <c r="A82" s="443"/>
      <c r="B82" s="421"/>
      <c r="C82" s="23"/>
      <c r="D82" s="86"/>
      <c r="E82" s="86"/>
      <c r="F82" s="86"/>
      <c r="G82" s="27"/>
      <c r="H82" s="444"/>
      <c r="I82" s="444"/>
      <c r="J82" s="444"/>
      <c r="K82" s="444"/>
      <c r="L82" s="444"/>
      <c r="M82" s="444"/>
      <c r="N82" s="444"/>
      <c r="O82" s="444"/>
      <c r="P82" s="444"/>
      <c r="Q82" s="444"/>
      <c r="R82" s="25"/>
      <c r="S82" s="25"/>
      <c r="T82" s="25"/>
      <c r="U82" s="444"/>
      <c r="V82" s="444"/>
      <c r="W82" s="444"/>
      <c r="X82" s="25"/>
      <c r="Y82" s="444"/>
      <c r="Z82" s="444"/>
      <c r="AA82" s="444"/>
      <c r="AB82" s="444"/>
      <c r="AC82" s="444"/>
    </row>
    <row r="83" spans="1:29" ht="16.5" thickTop="1" thickBot="1">
      <c r="A83" s="72" t="s">
        <v>768</v>
      </c>
      <c r="B83" s="73"/>
      <c r="C83" s="298"/>
      <c r="D83" s="12"/>
      <c r="E83" s="12"/>
      <c r="F83" s="12"/>
      <c r="G83" s="26"/>
      <c r="H83" s="20"/>
      <c r="I83" s="20"/>
      <c r="J83" s="20"/>
      <c r="K83" s="20"/>
      <c r="L83" s="20"/>
      <c r="M83" s="20"/>
      <c r="N83" s="20"/>
      <c r="O83" s="20"/>
      <c r="P83" s="20"/>
      <c r="Q83" s="20"/>
      <c r="R83" s="24"/>
      <c r="S83" s="24"/>
      <c r="T83" s="24"/>
      <c r="U83" s="20"/>
      <c r="V83" s="20"/>
      <c r="W83" s="20"/>
      <c r="X83" s="24"/>
      <c r="Y83" s="20"/>
      <c r="Z83" s="20"/>
      <c r="AA83" s="20"/>
      <c r="AB83" s="20"/>
      <c r="AC83" s="20"/>
    </row>
    <row r="84" spans="1:29" ht="15.75" thickTop="1">
      <c r="A84" s="1817"/>
      <c r="B84" s="1831" t="s">
        <v>769</v>
      </c>
      <c r="C84" s="927"/>
      <c r="D84" s="1840"/>
      <c r="E84" s="1840"/>
      <c r="F84" s="1840"/>
      <c r="G84" s="1818"/>
      <c r="H84" s="1832"/>
      <c r="I84" s="1832"/>
      <c r="J84" s="1832"/>
      <c r="K84" s="1832"/>
      <c r="L84" s="1832"/>
      <c r="M84" s="1832"/>
      <c r="N84" s="1832"/>
      <c r="O84" s="1832"/>
      <c r="P84" s="1832"/>
      <c r="Q84" s="1832"/>
      <c r="R84" s="1833"/>
      <c r="S84" s="1833"/>
      <c r="T84" s="1833"/>
      <c r="U84" s="1832"/>
      <c r="V84" s="1832"/>
      <c r="W84" s="1832"/>
      <c r="X84" s="1833"/>
      <c r="Y84" s="1832"/>
      <c r="Z84" s="1832"/>
      <c r="AA84" s="1832"/>
      <c r="AB84" s="1832"/>
      <c r="AC84" s="1832"/>
    </row>
    <row r="85" spans="1:29">
      <c r="A85" s="1124"/>
      <c r="B85" s="1105" t="s">
        <v>770</v>
      </c>
      <c r="C85" s="415"/>
      <c r="D85" s="422"/>
      <c r="E85" s="422"/>
      <c r="F85" s="422"/>
      <c r="G85" s="831"/>
      <c r="H85" s="1182"/>
      <c r="I85" s="1182"/>
      <c r="J85" s="1182"/>
      <c r="K85" s="1182"/>
      <c r="L85" s="1182"/>
      <c r="M85" s="1182"/>
      <c r="N85" s="1182"/>
      <c r="O85" s="1182"/>
      <c r="P85" s="1182"/>
      <c r="Q85" s="1182"/>
      <c r="R85" s="445"/>
      <c r="S85" s="445"/>
      <c r="T85" s="445"/>
      <c r="U85" s="1182"/>
      <c r="V85" s="1182"/>
      <c r="W85" s="1182"/>
      <c r="X85" s="445"/>
      <c r="Y85" s="1182"/>
      <c r="Z85" s="1182"/>
      <c r="AA85" s="1182"/>
      <c r="AB85" s="1182"/>
      <c r="AC85" s="1182"/>
    </row>
    <row r="86" spans="1:29" ht="15.75" thickBot="1">
      <c r="A86" s="1308"/>
      <c r="B86" s="1136" t="s">
        <v>771</v>
      </c>
      <c r="C86" s="935"/>
      <c r="D86" s="938"/>
      <c r="E86" s="938"/>
      <c r="F86" s="938"/>
      <c r="G86" s="939"/>
      <c r="H86" s="1140"/>
      <c r="I86" s="1140"/>
      <c r="J86" s="1140"/>
      <c r="K86" s="1140"/>
      <c r="L86" s="1140"/>
      <c r="M86" s="1140"/>
      <c r="N86" s="1140"/>
      <c r="O86" s="1140"/>
      <c r="P86" s="1140"/>
      <c r="Q86" s="1140"/>
      <c r="R86" s="940"/>
      <c r="S86" s="940"/>
      <c r="T86" s="940"/>
      <c r="U86" s="1140"/>
      <c r="V86" s="1140"/>
      <c r="W86" s="1140"/>
      <c r="X86" s="940"/>
      <c r="Y86" s="1140"/>
      <c r="Z86" s="1140"/>
      <c r="AA86" s="1140"/>
      <c r="AB86" s="1140"/>
      <c r="AC86" s="1140"/>
    </row>
    <row r="87" spans="1:29" ht="16.5" thickTop="1" thickBot="1">
      <c r="F87" s="2"/>
      <c r="G87" s="2"/>
      <c r="H87" s="2"/>
      <c r="I87" s="2"/>
      <c r="J87" s="2"/>
      <c r="K87" s="2"/>
      <c r="L87" s="2"/>
      <c r="M87" s="2"/>
      <c r="N87" s="2"/>
      <c r="O87" s="2"/>
      <c r="P87" s="2"/>
      <c r="Q87" s="2"/>
      <c r="R87" s="2"/>
      <c r="S87" s="2"/>
      <c r="T87" s="2"/>
      <c r="U87" s="2"/>
      <c r="V87" s="2"/>
      <c r="W87" s="2"/>
      <c r="X87" s="2"/>
      <c r="Y87" s="2"/>
      <c r="Z87" s="2"/>
      <c r="AA87" s="2"/>
      <c r="AB87" s="2"/>
      <c r="AC87" s="2"/>
    </row>
    <row r="88" spans="1:29" ht="16.5" thickTop="1" thickBot="1">
      <c r="A88" s="37" t="s">
        <v>772</v>
      </c>
      <c r="B88" s="39"/>
      <c r="F88" s="2"/>
      <c r="G88" s="2"/>
      <c r="H88" s="2"/>
      <c r="I88" s="2"/>
      <c r="J88" s="2"/>
      <c r="K88" s="2"/>
      <c r="L88" s="2"/>
      <c r="M88" s="2"/>
      <c r="N88" s="2"/>
      <c r="O88" s="2"/>
      <c r="P88" s="2"/>
      <c r="Q88" s="2"/>
      <c r="R88" s="2"/>
      <c r="S88" s="2"/>
      <c r="T88" s="2"/>
      <c r="U88" s="2"/>
      <c r="V88" s="2"/>
      <c r="W88" s="2"/>
      <c r="X88" s="2"/>
      <c r="Y88" s="2"/>
      <c r="Z88" s="2"/>
      <c r="AA88" s="2"/>
      <c r="AB88" s="2"/>
      <c r="AC88" s="2"/>
    </row>
    <row r="89" spans="1:29" ht="15.75" thickTop="1">
      <c r="A89" s="38" t="s">
        <v>693</v>
      </c>
      <c r="B89" s="1277" t="str">
        <f>H5</f>
        <v>Astera, Inc.</v>
      </c>
      <c r="F89" s="2"/>
      <c r="G89" s="2"/>
      <c r="H89" s="2"/>
      <c r="I89" s="2"/>
      <c r="J89" s="2"/>
      <c r="K89" s="2"/>
      <c r="L89" s="2"/>
      <c r="M89" s="2"/>
      <c r="N89" s="2"/>
      <c r="O89" s="2"/>
      <c r="P89" s="2"/>
      <c r="Q89" s="2"/>
      <c r="R89" s="2"/>
      <c r="S89" s="2"/>
      <c r="T89" s="2"/>
      <c r="U89" s="2"/>
      <c r="V89" s="2"/>
      <c r="W89" s="2"/>
      <c r="X89" s="2"/>
      <c r="Y89" s="2"/>
      <c r="Z89" s="2"/>
      <c r="AA89" s="2"/>
      <c r="AB89" s="2"/>
      <c r="AC89" s="2"/>
    </row>
    <row r="90" spans="1:29">
      <c r="A90" s="1142" t="s">
        <v>702</v>
      </c>
      <c r="B90" s="1277" t="str">
        <f>H6</f>
        <v>Hanna Raharjo</v>
      </c>
      <c r="F90" s="2"/>
      <c r="G90" s="2"/>
      <c r="H90" s="2"/>
      <c r="I90" s="2"/>
      <c r="J90" s="2"/>
      <c r="K90" s="2"/>
      <c r="L90" s="2"/>
      <c r="M90" s="2"/>
      <c r="N90" s="2"/>
      <c r="O90" s="2"/>
      <c r="P90" s="2"/>
      <c r="Q90" s="2"/>
      <c r="R90" s="2"/>
      <c r="S90" s="2"/>
      <c r="T90" s="2"/>
      <c r="U90" s="2"/>
      <c r="V90" s="2"/>
      <c r="W90" s="2"/>
      <c r="X90" s="2"/>
      <c r="Y90" s="2"/>
      <c r="Z90" s="2"/>
      <c r="AA90" s="2"/>
      <c r="AB90" s="2"/>
      <c r="AC90" s="2"/>
    </row>
    <row r="91" spans="1:29">
      <c r="A91" s="1191" t="s">
        <v>708</v>
      </c>
      <c r="B91" s="1192" t="str">
        <f>H7</f>
        <v xml:space="preserve">877-374-6782  </v>
      </c>
      <c r="F91" s="2"/>
      <c r="G91" s="2"/>
      <c r="H91" s="2"/>
      <c r="I91" s="2"/>
      <c r="J91" s="2"/>
      <c r="K91" s="2"/>
      <c r="L91" s="2"/>
      <c r="M91" s="2"/>
      <c r="N91" s="2"/>
      <c r="O91" s="2"/>
      <c r="P91" s="2"/>
      <c r="Q91" s="2"/>
      <c r="R91" s="2"/>
      <c r="S91" s="2"/>
      <c r="T91" s="2"/>
      <c r="U91" s="2"/>
      <c r="V91" s="2"/>
      <c r="W91" s="2"/>
      <c r="X91" s="2"/>
      <c r="Y91" s="2"/>
      <c r="Z91" s="2"/>
      <c r="AA91" s="2"/>
      <c r="AB91" s="2"/>
      <c r="AC91" s="2"/>
    </row>
    <row r="92" spans="1:29">
      <c r="A92" s="1191" t="s">
        <v>713</v>
      </c>
      <c r="B92" s="1278" t="str">
        <f>H8</f>
        <v>hanna@asterakb.com</v>
      </c>
      <c r="F92" s="2"/>
      <c r="G92" s="2"/>
      <c r="H92" s="2"/>
      <c r="I92" s="2"/>
      <c r="J92" s="2"/>
      <c r="K92" s="2"/>
      <c r="L92" s="2"/>
      <c r="M92" s="2"/>
      <c r="N92" s="2"/>
      <c r="O92" s="2"/>
      <c r="P92" s="2"/>
      <c r="Q92" s="2"/>
      <c r="R92" s="2"/>
      <c r="S92" s="2"/>
      <c r="T92" s="2"/>
      <c r="U92" s="2"/>
      <c r="V92" s="2"/>
      <c r="W92" s="2"/>
      <c r="X92" s="2"/>
      <c r="Y92" s="2"/>
      <c r="Z92" s="2"/>
      <c r="AA92" s="2"/>
      <c r="AB92" s="2"/>
      <c r="AC92" s="2"/>
    </row>
    <row r="93" spans="1:29" ht="15.75" thickBot="1">
      <c r="A93" s="1145" t="s">
        <v>69</v>
      </c>
      <c r="B93" s="1146">
        <f>K57</f>
        <v>550958.4066000001</v>
      </c>
      <c r="F93" s="2"/>
      <c r="G93" s="2"/>
      <c r="H93" s="2"/>
      <c r="I93" s="2"/>
      <c r="J93" s="2"/>
      <c r="K93" s="2"/>
      <c r="L93" s="2"/>
      <c r="M93" s="2"/>
      <c r="N93" s="2"/>
      <c r="O93" s="2"/>
      <c r="P93" s="2"/>
      <c r="Q93" s="2"/>
      <c r="R93" s="2"/>
      <c r="S93" s="2"/>
      <c r="T93" s="2"/>
      <c r="U93" s="2"/>
      <c r="V93" s="2"/>
      <c r="W93" s="2"/>
      <c r="X93" s="2"/>
      <c r="Y93" s="2"/>
      <c r="Z93" s="2"/>
      <c r="AA93" s="2"/>
      <c r="AB93" s="2"/>
      <c r="AC93" s="2"/>
    </row>
    <row r="94" spans="1:29" ht="15.75" thickTop="1">
      <c r="X94" s="270"/>
      <c r="Y94" s="270"/>
      <c r="Z94" s="270"/>
      <c r="AA94" s="270"/>
      <c r="AB94" s="270"/>
      <c r="AC94" s="270"/>
    </row>
    <row r="95" spans="1:29">
      <c r="T95"/>
      <c r="U95"/>
      <c r="Z95" s="270"/>
      <c r="AA95" s="270"/>
      <c r="AB95" s="270"/>
      <c r="AC95" s="270"/>
    </row>
    <row r="96" spans="1:29">
      <c r="T96"/>
      <c r="U96"/>
      <c r="V96"/>
      <c r="W96"/>
      <c r="Z96" s="270"/>
      <c r="AA96" s="270"/>
      <c r="AB96" s="270"/>
      <c r="AC96" s="270"/>
    </row>
    <row r="97" spans="20:29">
      <c r="T97"/>
      <c r="U97"/>
      <c r="V97"/>
      <c r="W97"/>
      <c r="Z97" s="270"/>
      <c r="AA97" s="270"/>
      <c r="AB97" s="270"/>
      <c r="AC97" s="270"/>
    </row>
    <row r="98" spans="20:29">
      <c r="T98"/>
      <c r="U98"/>
      <c r="V98"/>
      <c r="W98"/>
      <c r="Z98" s="270"/>
      <c r="AA98" s="270"/>
      <c r="AB98" s="270"/>
      <c r="AC98" s="270"/>
    </row>
    <row r="99" spans="20:29">
      <c r="T99"/>
      <c r="U99"/>
      <c r="V99"/>
      <c r="W99"/>
      <c r="Z99" s="270"/>
      <c r="AA99" s="270"/>
      <c r="AB99" s="270"/>
      <c r="AC99" s="270"/>
    </row>
    <row r="100" spans="20:29">
      <c r="T100"/>
      <c r="U100"/>
      <c r="V100"/>
      <c r="W100"/>
      <c r="Z100" s="270"/>
      <c r="AA100" s="270"/>
      <c r="AB100" s="270"/>
      <c r="AC100" s="270"/>
    </row>
    <row r="101" spans="20:29">
      <c r="T101"/>
      <c r="U101"/>
      <c r="V101"/>
      <c r="W101"/>
      <c r="Z101" s="270"/>
      <c r="AA101" s="270"/>
      <c r="AB101" s="270"/>
      <c r="AC101" s="270"/>
    </row>
    <row r="102" spans="20:29">
      <c r="T102"/>
      <c r="U102"/>
      <c r="V102"/>
      <c r="W102"/>
      <c r="Z102" s="270"/>
      <c r="AA102" s="270"/>
      <c r="AB102" s="270"/>
      <c r="AC102" s="270"/>
    </row>
    <row r="103" spans="20:29">
      <c r="T103"/>
      <c r="U103"/>
      <c r="V103"/>
      <c r="W103"/>
      <c r="Z103" s="270"/>
      <c r="AA103" s="270"/>
      <c r="AB103" s="270"/>
      <c r="AC103" s="270"/>
    </row>
    <row r="104" spans="20:29">
      <c r="T104"/>
      <c r="U104"/>
      <c r="V104"/>
      <c r="W104"/>
      <c r="Z104" s="270"/>
      <c r="AA104" s="270"/>
      <c r="AB104" s="270"/>
      <c r="AC104" s="270"/>
    </row>
    <row r="105" spans="20:29">
      <c r="T105"/>
      <c r="U105"/>
      <c r="V105"/>
      <c r="W105"/>
      <c r="Z105" s="270"/>
      <c r="AA105" s="270"/>
      <c r="AB105" s="270"/>
      <c r="AC105" s="270"/>
    </row>
  </sheetData>
  <mergeCells count="87">
    <mergeCell ref="P2:Q2"/>
    <mergeCell ref="V3:W3"/>
    <mergeCell ref="A61:B61"/>
    <mergeCell ref="H8:I8"/>
    <mergeCell ref="H7:I7"/>
    <mergeCell ref="H6:I6"/>
    <mergeCell ref="P4:Q4"/>
    <mergeCell ref="V4:W4"/>
    <mergeCell ref="L3:M3"/>
    <mergeCell ref="T3:U3"/>
    <mergeCell ref="J6:K6"/>
    <mergeCell ref="J7:K7"/>
    <mergeCell ref="J8:K8"/>
    <mergeCell ref="J9:K9"/>
    <mergeCell ref="A65:B65"/>
    <mergeCell ref="A69:B69"/>
    <mergeCell ref="A73:B73"/>
    <mergeCell ref="A77:B77"/>
    <mergeCell ref="H9:I9"/>
    <mergeCell ref="X8:Y8"/>
    <mergeCell ref="P8:Q8"/>
    <mergeCell ref="V8:W8"/>
    <mergeCell ref="Z8:AA8"/>
    <mergeCell ref="L8:M8"/>
    <mergeCell ref="T8:U8"/>
    <mergeCell ref="N8:O8"/>
    <mergeCell ref="R8:S8"/>
    <mergeCell ref="X9:Y9"/>
    <mergeCell ref="P9:Q9"/>
    <mergeCell ref="V9:W9"/>
    <mergeCell ref="Z9:AA9"/>
    <mergeCell ref="L9:M9"/>
    <mergeCell ref="T9:U9"/>
    <mergeCell ref="N9:O9"/>
    <mergeCell ref="R9:S9"/>
    <mergeCell ref="X6:Y6"/>
    <mergeCell ref="P6:Q6"/>
    <mergeCell ref="V6:W6"/>
    <mergeCell ref="Z6:AA6"/>
    <mergeCell ref="L6:M6"/>
    <mergeCell ref="T6:U6"/>
    <mergeCell ref="N6:O6"/>
    <mergeCell ref="R6:S6"/>
    <mergeCell ref="X7:Y7"/>
    <mergeCell ref="P7:Q7"/>
    <mergeCell ref="V7:W7"/>
    <mergeCell ref="Z7:AA7"/>
    <mergeCell ref="L7:M7"/>
    <mergeCell ref="T7:U7"/>
    <mergeCell ref="N7:O7"/>
    <mergeCell ref="R7:S7"/>
    <mergeCell ref="X5:Y5"/>
    <mergeCell ref="P5:Q5"/>
    <mergeCell ref="V5:W5"/>
    <mergeCell ref="Z5:AA5"/>
    <mergeCell ref="L5:M5"/>
    <mergeCell ref="T5:U5"/>
    <mergeCell ref="N5:O5"/>
    <mergeCell ref="R5:S5"/>
    <mergeCell ref="L1:M1"/>
    <mergeCell ref="L2:M2"/>
    <mergeCell ref="H3:I3"/>
    <mergeCell ref="H5:I5"/>
    <mergeCell ref="H4:I4"/>
    <mergeCell ref="L4:M4"/>
    <mergeCell ref="H2:I2"/>
    <mergeCell ref="J5:K5"/>
    <mergeCell ref="J3:K3"/>
    <mergeCell ref="J4:K4"/>
    <mergeCell ref="J2:K2"/>
    <mergeCell ref="Z3:AA3"/>
    <mergeCell ref="X3:Y3"/>
    <mergeCell ref="N3:O3"/>
    <mergeCell ref="N4:O4"/>
    <mergeCell ref="T4:U4"/>
    <mergeCell ref="X4:Y4"/>
    <mergeCell ref="Z4:AA4"/>
    <mergeCell ref="P3:Q3"/>
    <mergeCell ref="R4:S4"/>
    <mergeCell ref="R3:S3"/>
    <mergeCell ref="AB8:AC8"/>
    <mergeCell ref="AB9:AC9"/>
    <mergeCell ref="AB3:AC3"/>
    <mergeCell ref="AB4:AC4"/>
    <mergeCell ref="AB5:AC5"/>
    <mergeCell ref="AB6:AC6"/>
    <mergeCell ref="AB7:AC7"/>
  </mergeCells>
  <conditionalFormatting sqref="H11:H19 H21:H52 L21:L52 N21:N52 P21:P52 T21:T52 V21:V52 X21:X52 Z21:Z52">
    <cfRule type="cellIs" dxfId="259" priority="81" operator="equal">
      <formula>"X"</formula>
    </cfRule>
    <cfRule type="cellIs" dxfId="258" priority="82" operator="equal">
      <formula>"I"</formula>
    </cfRule>
  </conditionalFormatting>
  <conditionalFormatting sqref="J12:J18">
    <cfRule type="cellIs" dxfId="257" priority="40" operator="equal">
      <formula>"I"</formula>
    </cfRule>
    <cfRule type="cellIs" dxfId="256" priority="39" operator="equal">
      <formula>"X"</formula>
    </cfRule>
  </conditionalFormatting>
  <conditionalFormatting sqref="J22:J24">
    <cfRule type="cellIs" dxfId="255" priority="38" operator="equal">
      <formula>"I"</formula>
    </cfRule>
    <cfRule type="cellIs" dxfId="254" priority="37" operator="equal">
      <formula>"X"</formula>
    </cfRule>
  </conditionalFormatting>
  <conditionalFormatting sqref="J26:J34">
    <cfRule type="cellIs" dxfId="253" priority="24" operator="equal">
      <formula>"I"</formula>
    </cfRule>
    <cfRule type="cellIs" dxfId="252" priority="23" operator="equal">
      <formula>"X"</formula>
    </cfRule>
  </conditionalFormatting>
  <conditionalFormatting sqref="J36:J39">
    <cfRule type="cellIs" dxfId="251" priority="27" operator="equal">
      <formula>"X"</formula>
    </cfRule>
    <cfRule type="cellIs" dxfId="250" priority="28" operator="equal">
      <formula>"I"</formula>
    </cfRule>
  </conditionalFormatting>
  <conditionalFormatting sqref="J41:J50">
    <cfRule type="cellIs" dxfId="249" priority="29" operator="equal">
      <formula>"X"</formula>
    </cfRule>
    <cfRule type="cellIs" dxfId="248" priority="30" operator="equal">
      <formula>"I"</formula>
    </cfRule>
  </conditionalFormatting>
  <conditionalFormatting sqref="L11:L19">
    <cfRule type="cellIs" dxfId="247" priority="84" operator="equal">
      <formula>"I"</formula>
    </cfRule>
    <cfRule type="cellIs" dxfId="246" priority="83" operator="equal">
      <formula>"X"</formula>
    </cfRule>
  </conditionalFormatting>
  <conditionalFormatting sqref="N11:N19">
    <cfRule type="cellIs" dxfId="245" priority="58" operator="equal">
      <formula>"I"</formula>
    </cfRule>
    <cfRule type="cellIs" dxfId="244" priority="57" operator="equal">
      <formula>"X"</formula>
    </cfRule>
  </conditionalFormatting>
  <conditionalFormatting sqref="P11:P19">
    <cfRule type="cellIs" dxfId="243" priority="77" operator="equal">
      <formula>"X"</formula>
    </cfRule>
    <cfRule type="cellIs" dxfId="242" priority="78" operator="equal">
      <formula>"I"</formula>
    </cfRule>
  </conditionalFormatting>
  <conditionalFormatting sqref="R11:R18">
    <cfRule type="cellIs" dxfId="241" priority="19" operator="equal">
      <formula>"X"</formula>
    </cfRule>
    <cfRule type="cellIs" dxfId="240" priority="20" operator="equal">
      <formula>"I"</formula>
    </cfRule>
  </conditionalFormatting>
  <conditionalFormatting sqref="R22:R24">
    <cfRule type="cellIs" dxfId="239" priority="17" operator="equal">
      <formula>"X"</formula>
    </cfRule>
    <cfRule type="cellIs" dxfId="238" priority="18" operator="equal">
      <formula>"I"</formula>
    </cfRule>
  </conditionalFormatting>
  <conditionalFormatting sqref="R26:R34">
    <cfRule type="cellIs" dxfId="237" priority="13" operator="equal">
      <formula>"X"</formula>
    </cfRule>
    <cfRule type="cellIs" dxfId="236" priority="14" operator="equal">
      <formula>"I"</formula>
    </cfRule>
  </conditionalFormatting>
  <conditionalFormatting sqref="R36:R39">
    <cfRule type="cellIs" dxfId="235" priority="11" operator="equal">
      <formula>"X"</formula>
    </cfRule>
    <cfRule type="cellIs" dxfId="234" priority="12" operator="equal">
      <formula>"I"</formula>
    </cfRule>
  </conditionalFormatting>
  <conditionalFormatting sqref="R41:R50">
    <cfRule type="cellIs" dxfId="233" priority="9" operator="equal">
      <formula>"X"</formula>
    </cfRule>
    <cfRule type="cellIs" dxfId="232" priority="10" operator="equal">
      <formula>"I"</formula>
    </cfRule>
  </conditionalFormatting>
  <conditionalFormatting sqref="T11:T19">
    <cfRule type="cellIs" dxfId="231" priority="69" operator="equal">
      <formula>"X"</formula>
    </cfRule>
    <cfRule type="cellIs" dxfId="230" priority="70" operator="equal">
      <formula>"I"</formula>
    </cfRule>
  </conditionalFormatting>
  <conditionalFormatting sqref="V11:V19">
    <cfRule type="cellIs" dxfId="229" priority="75" operator="equal">
      <formula>"X"</formula>
    </cfRule>
    <cfRule type="cellIs" dxfId="228" priority="76" operator="equal">
      <formula>"I"</formula>
    </cfRule>
  </conditionalFormatting>
  <conditionalFormatting sqref="X11:X19">
    <cfRule type="cellIs" dxfId="227" priority="80" operator="equal">
      <formula>"I"</formula>
    </cfRule>
    <cfRule type="cellIs" dxfId="226" priority="79" operator="equal">
      <formula>"X"</formula>
    </cfRule>
  </conditionalFormatting>
  <conditionalFormatting sqref="Z11:Z19">
    <cfRule type="cellIs" dxfId="225" priority="73" operator="equal">
      <formula>"X"</formula>
    </cfRule>
    <cfRule type="cellIs" dxfId="224" priority="74" operator="equal">
      <formula>"I"</formula>
    </cfRule>
  </conditionalFormatting>
  <conditionalFormatting sqref="Z70">
    <cfRule type="cellIs" dxfId="223" priority="41" operator="equal">
      <formula>"X"</formula>
    </cfRule>
    <cfRule type="cellIs" dxfId="222" priority="42" operator="equal">
      <formula>"I"</formula>
    </cfRule>
  </conditionalFormatting>
  <conditionalFormatting sqref="AB11:AB19">
    <cfRule type="cellIs" dxfId="221" priority="6" operator="equal">
      <formula>"I"</formula>
    </cfRule>
    <cfRule type="cellIs" dxfId="220" priority="5" operator="equal">
      <formula>"X"</formula>
    </cfRule>
  </conditionalFormatting>
  <conditionalFormatting sqref="AB21:AB52">
    <cfRule type="cellIs" dxfId="219" priority="2" operator="equal">
      <formula>"I"</formula>
    </cfRule>
    <cfRule type="cellIs" dxfId="218" priority="1" operator="equal">
      <formula>"X"</formula>
    </cfRule>
  </conditionalFormatting>
  <conditionalFormatting sqref="AB70">
    <cfRule type="cellIs" dxfId="217" priority="3" operator="equal">
      <formula>"X"</formula>
    </cfRule>
    <cfRule type="cellIs" dxfId="216" priority="4" operator="equal">
      <formula>"I"</formula>
    </cfRule>
  </conditionalFormatting>
  <hyperlinks>
    <hyperlink ref="B4" location="'Cost Summary'!A1" display="BACK TO SUMMARY SHEET" xr:uid="{855E2113-DCF1-4829-8B55-70C4A991D633}"/>
    <hyperlink ref="X8:Y8" r:id="rId1" display="&lt;andrea@marbleorlando.com&gt;" xr:uid="{0EB18A88-21E5-4EBA-883B-53BB5FBEA29E}"/>
    <hyperlink ref="V8:W8" r:id="rId2" display="marygwen@mgcontractresources.com" xr:uid="{FE3836BF-C8B3-46E3-A025-027D49E56B57}"/>
    <hyperlink ref="L8:M8" r:id="rId3" display="Michael@nationalkb.com&gt; " xr:uid="{0F8D8EEA-ECC8-4371-B5A2-16F37C8C5186}"/>
    <hyperlink ref="H8:I8" r:id="rId4" display="hanna@asterakb.com" xr:uid="{33B3E627-B39E-4CDD-AE1E-64AB5B3C9201}"/>
    <hyperlink ref="P7:Q7" r:id="rId5" display="Travism@skylinecabinetry.com" xr:uid="{7E72DA61-5319-4C8B-8191-EC23FE1FC265}"/>
    <hyperlink ref="P8:Q8" r:id="rId6" display="Travism@skylinecabinetry.com" xr:uid="{6DBABF77-2351-487E-B914-83620B595134}"/>
    <hyperlink ref="T8:U8" r:id="rId7" display="Chyna@aprocg.com" xr:uid="{3F7A9DA9-1E32-4D5C-B177-CAA6E576CF89}"/>
    <hyperlink ref="N8:O8" r:id="rId8" display="&lt;issacb@alliedinteriorsolutions.com&gt; " xr:uid="{74EEF2CA-06CB-4FCC-8215-E97326DB1933}"/>
    <hyperlink ref="J8:K8" r:id="rId9" display="hanna@asterakb.com" xr:uid="{2286783E-D5A5-45D1-87BD-7BBDAC47DB53}"/>
    <hyperlink ref="R7:S7" r:id="rId10" display="Travism@skylinecabinetry.com" xr:uid="{D0D0A444-5B40-417A-ABE3-898F4187C13B}"/>
    <hyperlink ref="R8:S8" r:id="rId11" display="Travism@skylinecabinetry.com" xr:uid="{F45847D7-D5AC-4199-A5F0-0CA6E50196AA}"/>
    <hyperlink ref="AB8:AC8" r:id="rId12" display="&lt;lis@condesaspaces.com&gt;" xr:uid="{8E4341D7-EE9F-45C3-A959-743C572EDAC5}"/>
  </hyperlinks>
  <pageMargins left="0.7" right="0.7" top="0.75" bottom="0.75" header="0.3" footer="0.3"/>
  <pageSetup orientation="portrait" r:id="rId1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C550-50DA-40FF-8254-3BA82B82782E}">
  <sheetPr>
    <tabColor theme="7" tint="0.39997558519241921"/>
  </sheetPr>
  <dimension ref="A1:AH92"/>
  <sheetViews>
    <sheetView zoomScale="90" zoomScaleNormal="90" workbookViewId="0">
      <pane xSplit="2" ySplit="10" topLeftCell="F11" activePane="bottomRight" state="frozen"/>
      <selection pane="topRight" activeCell="C1" sqref="C1"/>
      <selection pane="bottomLeft" activeCell="A11" sqref="A11"/>
      <selection pane="bottomRight" activeCell="B4" sqref="B4"/>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8.7109375" style="270" customWidth="1"/>
    <col min="9" max="9" width="15.7109375" style="270" customWidth="1"/>
    <col min="10" max="10" width="6.570312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L3" s="2345" t="s">
        <v>2033</v>
      </c>
      <c r="M3" s="2345"/>
      <c r="N3" s="2345" t="s">
        <v>2033</v>
      </c>
      <c r="O3" s="2345"/>
      <c r="X3" s="261"/>
    </row>
    <row r="4" spans="1:24" ht="15.75" thickBot="1">
      <c r="B4" s="262" t="s">
        <v>684</v>
      </c>
      <c r="D4" s="260"/>
      <c r="E4" s="68"/>
      <c r="F4" s="278"/>
      <c r="G4" s="270" t="s">
        <v>685</v>
      </c>
      <c r="H4" s="2390" t="s">
        <v>686</v>
      </c>
      <c r="I4" s="2391"/>
      <c r="J4" s="2319" t="s">
        <v>687</v>
      </c>
      <c r="K4" s="2320"/>
      <c r="L4" s="2319" t="s">
        <v>688</v>
      </c>
      <c r="M4" s="2320"/>
      <c r="N4" s="2319" t="s">
        <v>689</v>
      </c>
      <c r="O4" s="2320"/>
      <c r="P4" s="2319" t="s">
        <v>690</v>
      </c>
      <c r="Q4" s="2320"/>
      <c r="R4" s="2319" t="s">
        <v>691</v>
      </c>
      <c r="S4" s="2320"/>
      <c r="X4" s="261"/>
    </row>
    <row r="5" spans="1:24">
      <c r="A5" s="292" t="s">
        <v>692</v>
      </c>
      <c r="B5" s="299" t="str">
        <f>'Area Calculations'!B4</f>
        <v>ERAU Residential Hall &amp; Garage Building</v>
      </c>
      <c r="C5" s="294"/>
      <c r="D5" s="263"/>
      <c r="E5" s="264"/>
      <c r="F5" s="279"/>
      <c r="G5" s="271" t="s">
        <v>693</v>
      </c>
      <c r="H5" s="2333" t="s">
        <v>2034</v>
      </c>
      <c r="I5" s="2334"/>
      <c r="J5" s="2333" t="s">
        <v>998</v>
      </c>
      <c r="K5" s="2334"/>
      <c r="L5" s="2333" t="s">
        <v>1000</v>
      </c>
      <c r="M5" s="2334"/>
      <c r="N5" s="2333" t="s">
        <v>999</v>
      </c>
      <c r="O5" s="2334"/>
      <c r="P5" s="2333" t="s">
        <v>2035</v>
      </c>
      <c r="Q5" s="2334"/>
      <c r="R5" s="2333"/>
      <c r="S5" s="2334"/>
      <c r="X5" s="261"/>
    </row>
    <row r="6" spans="1:24">
      <c r="A6" s="1082" t="s">
        <v>700</v>
      </c>
      <c r="B6" s="1196" t="s">
        <v>351</v>
      </c>
      <c r="C6" s="415"/>
      <c r="D6" s="416"/>
      <c r="E6" s="417"/>
      <c r="F6" s="418"/>
      <c r="G6" s="419" t="s">
        <v>702</v>
      </c>
      <c r="H6" s="2313" t="s">
        <v>2036</v>
      </c>
      <c r="I6" s="2314"/>
      <c r="J6" s="2313" t="s">
        <v>1004</v>
      </c>
      <c r="K6" s="2314"/>
      <c r="L6" s="2313" t="s">
        <v>1006</v>
      </c>
      <c r="M6" s="2314"/>
      <c r="N6" s="2313" t="s">
        <v>1005</v>
      </c>
      <c r="O6" s="2314"/>
      <c r="P6" s="2313" t="s">
        <v>2037</v>
      </c>
      <c r="Q6" s="2314"/>
      <c r="R6" s="2313"/>
      <c r="S6" s="2314"/>
      <c r="X6" s="261"/>
    </row>
    <row r="7" spans="1:24">
      <c r="A7" s="1082" t="s">
        <v>706</v>
      </c>
      <c r="B7" s="1197" t="s">
        <v>350</v>
      </c>
      <c r="C7" s="415"/>
      <c r="D7" s="416"/>
      <c r="E7" s="417"/>
      <c r="F7" s="418"/>
      <c r="G7" s="829" t="s">
        <v>708</v>
      </c>
      <c r="H7" s="2313" t="s">
        <v>2038</v>
      </c>
      <c r="I7" s="2314"/>
      <c r="J7" s="2313" t="s">
        <v>1010</v>
      </c>
      <c r="K7" s="2314"/>
      <c r="L7" s="2313" t="s">
        <v>1012</v>
      </c>
      <c r="M7" s="2314"/>
      <c r="N7" s="2313" t="s">
        <v>1011</v>
      </c>
      <c r="O7" s="2314"/>
      <c r="P7" s="2313" t="s">
        <v>2039</v>
      </c>
      <c r="Q7" s="2314"/>
      <c r="R7" s="2313"/>
      <c r="S7" s="2314"/>
      <c r="X7" s="261"/>
    </row>
    <row r="8" spans="1:24">
      <c r="A8" s="1082" t="s">
        <v>712</v>
      </c>
      <c r="B8" s="1198"/>
      <c r="C8" s="415"/>
      <c r="D8" s="416"/>
      <c r="E8" s="417"/>
      <c r="F8" s="418"/>
      <c r="G8" s="829" t="s">
        <v>713</v>
      </c>
      <c r="H8" s="2389" t="s">
        <v>2040</v>
      </c>
      <c r="I8" s="2328"/>
      <c r="J8" s="2343" t="s">
        <v>1015</v>
      </c>
      <c r="K8" s="2344"/>
      <c r="L8" s="2343" t="s">
        <v>1017</v>
      </c>
      <c r="M8" s="2344"/>
      <c r="N8" s="2343" t="s">
        <v>1016</v>
      </c>
      <c r="O8" s="2344"/>
      <c r="P8" s="2327" t="s">
        <v>2041</v>
      </c>
      <c r="Q8" s="2346"/>
      <c r="R8" s="2315"/>
      <c r="S8" s="2316"/>
      <c r="X8" s="261"/>
    </row>
    <row r="9" spans="1:24" ht="15.75" thickBot="1">
      <c r="A9" s="420"/>
      <c r="B9" s="421"/>
      <c r="C9" s="23"/>
      <c r="D9" s="265"/>
      <c r="E9" s="266"/>
      <c r="F9" s="283"/>
      <c r="G9" s="284" t="s">
        <v>717</v>
      </c>
      <c r="H9" s="2330">
        <f>I56</f>
        <v>25199</v>
      </c>
      <c r="I9" s="2330"/>
      <c r="J9" s="2317">
        <f>K56</f>
        <v>25375</v>
      </c>
      <c r="K9" s="2318"/>
      <c r="L9" s="2317">
        <f>M56</f>
        <v>28552</v>
      </c>
      <c r="M9" s="2318"/>
      <c r="N9" s="2317">
        <f>O56</f>
        <v>34200</v>
      </c>
      <c r="O9" s="2318"/>
      <c r="P9" s="2317">
        <f>Q56</f>
        <v>30375</v>
      </c>
      <c r="Q9" s="2318"/>
      <c r="R9" s="2317">
        <f>S56</f>
        <v>0</v>
      </c>
      <c r="S9" s="2318"/>
      <c r="X9" s="261"/>
    </row>
    <row r="10" spans="1:24" s="267" customFormat="1" ht="32.1" customHeigh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838"/>
      <c r="B11" s="1839" t="s">
        <v>725</v>
      </c>
      <c r="C11" s="928"/>
      <c r="D11" s="1840"/>
      <c r="E11" s="1840"/>
      <c r="F11" s="1841"/>
      <c r="G11" s="1842"/>
      <c r="H11" s="1843"/>
      <c r="I11" s="1844"/>
      <c r="J11" s="1843"/>
      <c r="K11" s="1844"/>
      <c r="L11" s="1843"/>
      <c r="M11" s="1845"/>
      <c r="N11" s="1843"/>
      <c r="O11" s="285"/>
      <c r="P11" s="1843"/>
      <c r="Q11" s="1844"/>
      <c r="R11" s="1843"/>
      <c r="S11" s="1844"/>
    </row>
    <row r="12" spans="1:24">
      <c r="A12" s="1838"/>
      <c r="B12" s="1263" t="s">
        <v>726</v>
      </c>
      <c r="C12" s="446"/>
      <c r="D12" s="422"/>
      <c r="E12" s="422"/>
      <c r="F12" s="418"/>
      <c r="G12" s="423"/>
      <c r="H12" s="1264" t="s">
        <v>727</v>
      </c>
      <c r="I12" s="1844"/>
      <c r="J12" s="1264" t="s">
        <v>727</v>
      </c>
      <c r="K12" s="1844"/>
      <c r="L12" s="1264" t="s">
        <v>727</v>
      </c>
      <c r="M12" s="1845"/>
      <c r="N12" s="1264" t="s">
        <v>727</v>
      </c>
      <c r="O12" s="1844"/>
      <c r="P12" s="1264" t="s">
        <v>727</v>
      </c>
      <c r="Q12" s="1844"/>
      <c r="R12" s="1264"/>
      <c r="S12" s="1844"/>
    </row>
    <row r="13" spans="1:24">
      <c r="A13" s="1097"/>
      <c r="B13" s="1263" t="s">
        <v>728</v>
      </c>
      <c r="C13" s="446"/>
      <c r="D13" s="422"/>
      <c r="E13" s="422"/>
      <c r="F13" s="418"/>
      <c r="G13" s="423"/>
      <c r="H13" s="1264" t="s">
        <v>727</v>
      </c>
      <c r="I13" s="1844"/>
      <c r="J13" s="1264" t="s">
        <v>727</v>
      </c>
      <c r="K13" s="1844"/>
      <c r="L13" s="1264" t="s">
        <v>727</v>
      </c>
      <c r="M13" s="1845"/>
      <c r="N13" s="1264" t="s">
        <v>727</v>
      </c>
      <c r="O13" s="1844"/>
      <c r="P13" s="1264" t="s">
        <v>727</v>
      </c>
      <c r="Q13" s="1844"/>
      <c r="R13" s="1264"/>
      <c r="S13" s="1844"/>
    </row>
    <row r="14" spans="1:24">
      <c r="A14" s="1838"/>
      <c r="B14" s="1265" t="s">
        <v>729</v>
      </c>
      <c r="C14" s="446"/>
      <c r="D14" s="422"/>
      <c r="E14" s="422"/>
      <c r="F14" s="418"/>
      <c r="G14" s="423"/>
      <c r="H14" s="1264" t="s">
        <v>730</v>
      </c>
      <c r="I14" s="1844"/>
      <c r="J14" s="1264" t="s">
        <v>730</v>
      </c>
      <c r="K14" s="1844"/>
      <c r="L14" s="1264" t="s">
        <v>730</v>
      </c>
      <c r="M14" s="1845"/>
      <c r="N14" s="1264" t="s">
        <v>730</v>
      </c>
      <c r="O14" s="1844"/>
      <c r="P14" s="1264" t="s">
        <v>730</v>
      </c>
      <c r="Q14" s="1844"/>
      <c r="R14" s="1264"/>
      <c r="S14" s="1844"/>
    </row>
    <row r="15" spans="1:24">
      <c r="A15" s="1097"/>
      <c r="B15" s="1265" t="s">
        <v>731</v>
      </c>
      <c r="C15" s="446"/>
      <c r="D15" s="422"/>
      <c r="E15" s="422"/>
      <c r="F15" s="418"/>
      <c r="G15" s="423"/>
      <c r="H15" s="1264" t="s">
        <v>727</v>
      </c>
      <c r="I15" s="1845"/>
      <c r="J15" s="1264" t="s">
        <v>727</v>
      </c>
      <c r="K15" s="1845"/>
      <c r="L15" s="1264" t="s">
        <v>727</v>
      </c>
      <c r="M15" s="1845"/>
      <c r="N15" s="1264" t="s">
        <v>727</v>
      </c>
      <c r="O15" s="1845"/>
      <c r="P15" s="1264" t="s">
        <v>727</v>
      </c>
      <c r="Q15" s="1845"/>
      <c r="R15" s="1264"/>
      <c r="S15" s="1845"/>
    </row>
    <row r="16" spans="1:24">
      <c r="A16" s="1838"/>
      <c r="B16" s="1265" t="s">
        <v>732</v>
      </c>
      <c r="C16" s="446"/>
      <c r="D16" s="422"/>
      <c r="E16" s="422"/>
      <c r="F16" s="418"/>
      <c r="G16" s="423"/>
      <c r="H16" s="1264" t="s">
        <v>727</v>
      </c>
      <c r="I16" s="1844"/>
      <c r="J16" s="1264" t="s">
        <v>727</v>
      </c>
      <c r="K16" s="1844"/>
      <c r="L16" s="1264" t="s">
        <v>727</v>
      </c>
      <c r="M16" s="1845"/>
      <c r="N16" s="1264" t="s">
        <v>727</v>
      </c>
      <c r="O16" s="1844"/>
      <c r="P16" s="1264" t="s">
        <v>727</v>
      </c>
      <c r="Q16" s="1844"/>
      <c r="R16" s="1264"/>
      <c r="S16" s="1844"/>
    </row>
    <row r="17" spans="1:19">
      <c r="A17" s="1097"/>
      <c r="B17" s="1265" t="s">
        <v>733</v>
      </c>
      <c r="C17" s="446"/>
      <c r="D17" s="422"/>
      <c r="E17" s="422"/>
      <c r="F17" s="418"/>
      <c r="G17" s="423"/>
      <c r="H17" s="1264" t="s">
        <v>727</v>
      </c>
      <c r="I17" s="1844"/>
      <c r="J17" s="1264" t="s">
        <v>727</v>
      </c>
      <c r="K17" s="1844"/>
      <c r="L17" s="1264" t="s">
        <v>727</v>
      </c>
      <c r="M17" s="1845"/>
      <c r="N17" s="1264" t="s">
        <v>727</v>
      </c>
      <c r="O17" s="1844"/>
      <c r="P17" s="1264" t="s">
        <v>727</v>
      </c>
      <c r="Q17" s="1844"/>
      <c r="R17" s="1264"/>
      <c r="S17" s="1844"/>
    </row>
    <row r="18" spans="1:19">
      <c r="A18" s="1838"/>
      <c r="B18" s="534" t="s">
        <v>734</v>
      </c>
      <c r="C18" s="446"/>
      <c r="D18" s="422"/>
      <c r="E18" s="422"/>
      <c r="F18" s="418"/>
      <c r="G18" s="423"/>
      <c r="H18" s="1264" t="s">
        <v>730</v>
      </c>
      <c r="I18" s="1844"/>
      <c r="J18" s="1264" t="s">
        <v>730</v>
      </c>
      <c r="K18" s="1844"/>
      <c r="L18" s="1264" t="s">
        <v>727</v>
      </c>
      <c r="M18" s="1845" t="s">
        <v>917</v>
      </c>
      <c r="N18" s="1264" t="s">
        <v>730</v>
      </c>
      <c r="O18" s="1844"/>
      <c r="P18" s="1264" t="s">
        <v>730</v>
      </c>
      <c r="Q18" s="1844"/>
      <c r="R18" s="1264"/>
      <c r="S18" s="1844"/>
    </row>
    <row r="19" spans="1:19">
      <c r="A19" s="1838"/>
      <c r="B19" s="1154" t="s">
        <v>736</v>
      </c>
      <c r="C19" s="446"/>
      <c r="D19" s="422"/>
      <c r="E19" s="422"/>
      <c r="F19" s="418"/>
      <c r="G19" s="423"/>
      <c r="H19" s="1264"/>
      <c r="I19" s="1844"/>
      <c r="J19" s="1264"/>
      <c r="K19" s="1844"/>
      <c r="L19" s="1264"/>
      <c r="M19" s="1845"/>
      <c r="N19" s="1264"/>
      <c r="O19" s="1844"/>
      <c r="P19" s="1264"/>
      <c r="Q19" s="1844"/>
      <c r="R19" s="1264"/>
      <c r="S19" s="1844"/>
    </row>
    <row r="20" spans="1:19">
      <c r="A20" s="1097"/>
      <c r="B20" s="1853" t="s">
        <v>737</v>
      </c>
      <c r="C20" s="447"/>
      <c r="D20" s="425"/>
      <c r="E20" s="425"/>
      <c r="F20" s="426"/>
      <c r="G20" s="427"/>
      <c r="H20" s="1156"/>
      <c r="I20" s="1787">
        <v>25199</v>
      </c>
      <c r="J20" s="1156"/>
      <c r="K20" s="1787">
        <v>20375</v>
      </c>
      <c r="L20" s="1156"/>
      <c r="M20" s="1786">
        <v>13552</v>
      </c>
      <c r="N20" s="1156"/>
      <c r="O20" s="1787">
        <v>19200</v>
      </c>
      <c r="P20" s="1156"/>
      <c r="Q20" s="1787">
        <v>30375</v>
      </c>
      <c r="R20" s="1156"/>
      <c r="S20" s="1787"/>
    </row>
    <row r="21" spans="1:19">
      <c r="A21" s="1097"/>
      <c r="B21" s="1789"/>
      <c r="C21" s="415"/>
      <c r="D21" s="430"/>
      <c r="E21" s="422"/>
      <c r="F21" s="431"/>
      <c r="G21" s="1751"/>
      <c r="H21" s="1264"/>
      <c r="I21" s="1844"/>
      <c r="J21" s="1264"/>
      <c r="K21" s="1844"/>
      <c r="L21" s="1264"/>
      <c r="M21" s="1844"/>
      <c r="N21" s="1264"/>
      <c r="O21" s="1844"/>
      <c r="P21" s="1264"/>
      <c r="Q21" s="1844"/>
      <c r="R21" s="1264"/>
      <c r="S21" s="1844"/>
    </row>
    <row r="22" spans="1:19">
      <c r="A22" s="1838"/>
      <c r="B22" s="1789" t="s">
        <v>2042</v>
      </c>
      <c r="C22" s="465" t="s">
        <v>2043</v>
      </c>
      <c r="D22" s="1854"/>
      <c r="E22" s="422" t="s">
        <v>843</v>
      </c>
      <c r="F22" s="1752"/>
      <c r="G22" s="1751"/>
      <c r="H22" s="1264" t="s">
        <v>727</v>
      </c>
      <c r="I22" s="1844"/>
      <c r="J22" s="1264" t="s">
        <v>727</v>
      </c>
      <c r="K22" s="1844" t="s">
        <v>2044</v>
      </c>
      <c r="L22" s="1264" t="s">
        <v>727</v>
      </c>
      <c r="M22" s="1844" t="s">
        <v>2044</v>
      </c>
      <c r="N22" s="1264" t="s">
        <v>727</v>
      </c>
      <c r="O22" s="1844"/>
      <c r="P22" s="1264" t="s">
        <v>727</v>
      </c>
      <c r="Q22" s="1844"/>
      <c r="R22" s="1264"/>
      <c r="S22" s="1844"/>
    </row>
    <row r="23" spans="1:19">
      <c r="A23" s="1838"/>
      <c r="B23" s="1789"/>
      <c r="C23" s="415"/>
      <c r="D23" s="430"/>
      <c r="E23" s="422"/>
      <c r="F23" s="431"/>
      <c r="G23" s="1751"/>
      <c r="H23" s="1264"/>
      <c r="I23" s="1844"/>
      <c r="J23" s="1264"/>
      <c r="K23" s="1844"/>
      <c r="L23" s="1264"/>
      <c r="M23" s="1844"/>
      <c r="N23" s="1264"/>
      <c r="O23" s="1844"/>
      <c r="P23" s="1264"/>
      <c r="Q23" s="1844"/>
      <c r="R23" s="1264"/>
      <c r="S23" s="1844"/>
    </row>
    <row r="24" spans="1:19">
      <c r="A24" s="1838"/>
      <c r="B24" s="1789" t="s">
        <v>2045</v>
      </c>
      <c r="C24" s="465" t="s">
        <v>2046</v>
      </c>
      <c r="D24" s="430"/>
      <c r="E24" s="422"/>
      <c r="F24" s="431"/>
      <c r="G24" s="1751"/>
      <c r="H24" s="1264" t="s">
        <v>727</v>
      </c>
      <c r="I24" s="1844"/>
      <c r="J24" s="1264" t="s">
        <v>727</v>
      </c>
      <c r="K24" s="1844"/>
      <c r="L24" s="1264" t="s">
        <v>727</v>
      </c>
      <c r="M24" s="1844"/>
      <c r="N24" s="1264" t="s">
        <v>727</v>
      </c>
      <c r="O24" s="1844"/>
      <c r="P24" s="1264" t="s">
        <v>727</v>
      </c>
      <c r="Q24" s="1844"/>
      <c r="R24" s="1264"/>
      <c r="S24" s="1844"/>
    </row>
    <row r="25" spans="1:19">
      <c r="A25" s="1097"/>
      <c r="B25" s="1789" t="s">
        <v>2047</v>
      </c>
      <c r="C25" s="465" t="s">
        <v>2046</v>
      </c>
      <c r="D25" s="430"/>
      <c r="E25" s="422"/>
      <c r="F25" s="431"/>
      <c r="G25" s="1751"/>
      <c r="H25" s="1264" t="s">
        <v>727</v>
      </c>
      <c r="I25" s="1844"/>
      <c r="J25" s="1264" t="s">
        <v>727</v>
      </c>
      <c r="K25" s="1844"/>
      <c r="L25" s="1264" t="s">
        <v>727</v>
      </c>
      <c r="M25" s="1844"/>
      <c r="N25" s="1264" t="s">
        <v>727</v>
      </c>
      <c r="O25" s="1844"/>
      <c r="P25" s="1264" t="s">
        <v>727</v>
      </c>
      <c r="Q25" s="1844"/>
      <c r="R25" s="1264"/>
      <c r="S25" s="1844"/>
    </row>
    <row r="26" spans="1:19">
      <c r="A26" s="1838"/>
      <c r="B26" s="1789" t="s">
        <v>2048</v>
      </c>
      <c r="C26" s="465"/>
      <c r="D26" s="430"/>
      <c r="E26" s="422"/>
      <c r="F26" s="431"/>
      <c r="G26" s="1751"/>
      <c r="H26" s="1264" t="s">
        <v>727</v>
      </c>
      <c r="I26" s="1844"/>
      <c r="J26" s="1264" t="s">
        <v>727</v>
      </c>
      <c r="K26" s="1844"/>
      <c r="L26" s="1264" t="s">
        <v>727</v>
      </c>
      <c r="M26" s="1844"/>
      <c r="N26" s="1264" t="s">
        <v>727</v>
      </c>
      <c r="O26" s="1844"/>
      <c r="P26" s="1264" t="s">
        <v>727</v>
      </c>
      <c r="Q26" s="1844"/>
      <c r="R26" s="1264"/>
      <c r="S26" s="1844"/>
    </row>
    <row r="27" spans="1:19">
      <c r="A27" s="1838"/>
      <c r="B27" s="1789" t="s">
        <v>2049</v>
      </c>
      <c r="C27" s="415"/>
      <c r="D27" s="430"/>
      <c r="E27" s="422"/>
      <c r="F27" s="431"/>
      <c r="G27" s="1751"/>
      <c r="H27" s="1264" t="s">
        <v>727</v>
      </c>
      <c r="I27" s="1844"/>
      <c r="J27" s="1264" t="s">
        <v>727</v>
      </c>
      <c r="K27" s="1844"/>
      <c r="L27" s="1264" t="s">
        <v>727</v>
      </c>
      <c r="M27" s="1844"/>
      <c r="N27" s="1264" t="s">
        <v>727</v>
      </c>
      <c r="O27" s="1844"/>
      <c r="P27" s="1264" t="s">
        <v>727</v>
      </c>
      <c r="Q27" s="1844"/>
      <c r="R27" s="1264"/>
      <c r="S27" s="1844"/>
    </row>
    <row r="28" spans="1:19">
      <c r="A28" s="1097"/>
      <c r="B28" s="1789" t="s">
        <v>2050</v>
      </c>
      <c r="C28" s="415"/>
      <c r="D28" s="430"/>
      <c r="E28" s="422"/>
      <c r="F28" s="431"/>
      <c r="G28" s="1751"/>
      <c r="H28" s="1264" t="s">
        <v>727</v>
      </c>
      <c r="I28" s="1844"/>
      <c r="J28" s="1273" t="s">
        <v>1035</v>
      </c>
      <c r="K28" s="1855">
        <v>5000</v>
      </c>
      <c r="L28" s="1273" t="s">
        <v>1035</v>
      </c>
      <c r="M28" s="1855">
        <v>15000</v>
      </c>
      <c r="N28" s="1273" t="s">
        <v>1035</v>
      </c>
      <c r="O28" s="1855">
        <f>M28</f>
        <v>15000</v>
      </c>
      <c r="P28" s="1264" t="s">
        <v>727</v>
      </c>
      <c r="Q28" s="1844"/>
      <c r="R28" s="1264"/>
      <c r="S28" s="1844"/>
    </row>
    <row r="29" spans="1:19" hidden="1">
      <c r="A29" s="1838"/>
      <c r="B29" s="1789"/>
      <c r="C29" s="415"/>
      <c r="D29" s="430"/>
      <c r="E29" s="422"/>
      <c r="F29" s="431"/>
      <c r="G29" s="1751"/>
      <c r="H29" s="1264"/>
      <c r="I29" s="1844"/>
      <c r="J29" s="1264"/>
      <c r="K29" s="1844"/>
      <c r="L29" s="1264"/>
      <c r="M29" s="1844"/>
      <c r="N29" s="1264"/>
      <c r="O29" s="1844"/>
      <c r="P29" s="1264"/>
      <c r="Q29" s="1844"/>
      <c r="R29" s="1264"/>
      <c r="S29" s="1844"/>
    </row>
    <row r="30" spans="1:19" hidden="1">
      <c r="A30" s="1097"/>
      <c r="B30" s="1789"/>
      <c r="C30" s="415"/>
      <c r="D30" s="430"/>
      <c r="E30" s="422"/>
      <c r="F30" s="431"/>
      <c r="G30" s="1751"/>
      <c r="H30" s="1264"/>
      <c r="I30" s="1844"/>
      <c r="J30" s="1264"/>
      <c r="K30" s="1844"/>
      <c r="L30" s="1264"/>
      <c r="M30" s="1844"/>
      <c r="N30" s="1264"/>
      <c r="O30" s="1844"/>
      <c r="P30" s="1264"/>
      <c r="Q30" s="1844"/>
      <c r="R30" s="1264"/>
      <c r="S30" s="1844"/>
    </row>
    <row r="31" spans="1:19" hidden="1">
      <c r="A31" s="1838"/>
      <c r="B31" s="1789"/>
      <c r="C31" s="415"/>
      <c r="D31" s="430"/>
      <c r="E31" s="422"/>
      <c r="F31" s="431"/>
      <c r="G31" s="1751"/>
      <c r="H31" s="1264"/>
      <c r="I31" s="1844"/>
      <c r="J31" s="1264"/>
      <c r="K31" s="1844"/>
      <c r="L31" s="1264"/>
      <c r="M31" s="1844"/>
      <c r="N31" s="1264"/>
      <c r="O31" s="1844"/>
      <c r="P31" s="1264"/>
      <c r="Q31" s="1844"/>
      <c r="R31" s="1264"/>
      <c r="S31" s="1844"/>
    </row>
    <row r="32" spans="1:19" hidden="1">
      <c r="A32" s="1097"/>
      <c r="B32" s="1789"/>
      <c r="C32" s="415"/>
      <c r="D32" s="430"/>
      <c r="E32" s="422"/>
      <c r="F32" s="431"/>
      <c r="G32" s="1751"/>
      <c r="H32" s="1264"/>
      <c r="I32" s="1844"/>
      <c r="J32" s="1264"/>
      <c r="K32" s="1844"/>
      <c r="L32" s="1264"/>
      <c r="M32" s="1844"/>
      <c r="N32" s="1264"/>
      <c r="O32" s="1844"/>
      <c r="P32" s="1264"/>
      <c r="Q32" s="1844"/>
      <c r="R32" s="1264"/>
      <c r="S32" s="1844"/>
    </row>
    <row r="33" spans="1:19" hidden="1">
      <c r="A33" s="1838"/>
      <c r="B33" s="1163"/>
      <c r="C33" s="23"/>
      <c r="D33" s="430"/>
      <c r="E33" s="422"/>
      <c r="F33" s="431"/>
      <c r="G33" s="1751"/>
      <c r="H33" s="1264"/>
      <c r="I33" s="1844"/>
      <c r="J33" s="1264"/>
      <c r="K33" s="1844"/>
      <c r="L33" s="1264"/>
      <c r="M33" s="1844"/>
      <c r="N33" s="1264"/>
      <c r="O33" s="1844"/>
      <c r="P33" s="1264"/>
      <c r="Q33" s="1844"/>
      <c r="R33" s="1264"/>
      <c r="S33" s="1844"/>
    </row>
    <row r="34" spans="1:19" hidden="1">
      <c r="A34" s="1097"/>
      <c r="B34" s="1163"/>
      <c r="C34" s="23"/>
      <c r="D34" s="87"/>
      <c r="E34" s="86"/>
      <c r="F34" s="431"/>
      <c r="G34" s="1751"/>
      <c r="H34" s="1264"/>
      <c r="I34" s="1844"/>
      <c r="J34" s="1264"/>
      <c r="K34" s="1844"/>
      <c r="L34" s="1264"/>
      <c r="M34" s="1844"/>
      <c r="N34" s="1264"/>
      <c r="O34" s="1844"/>
      <c r="P34" s="1264"/>
      <c r="Q34" s="1844"/>
      <c r="R34" s="1264"/>
      <c r="S34" s="1844"/>
    </row>
    <row r="35" spans="1:19" hidden="1">
      <c r="A35" s="1838"/>
      <c r="B35" s="1163"/>
      <c r="C35" s="23"/>
      <c r="D35" s="87"/>
      <c r="E35" s="86"/>
      <c r="F35" s="431"/>
      <c r="G35" s="1751"/>
      <c r="H35" s="1264"/>
      <c r="I35" s="1844"/>
      <c r="J35" s="1264"/>
      <c r="K35" s="1844"/>
      <c r="L35" s="1264"/>
      <c r="M35" s="1844"/>
      <c r="N35" s="1264"/>
      <c r="O35" s="1844"/>
      <c r="P35" s="1264"/>
      <c r="Q35" s="1844"/>
      <c r="R35" s="1264"/>
      <c r="S35" s="1844"/>
    </row>
    <row r="36" spans="1:19" hidden="1">
      <c r="A36" s="1838"/>
      <c r="B36" s="1163"/>
      <c r="C36" s="23"/>
      <c r="D36" s="87"/>
      <c r="E36" s="86"/>
      <c r="F36" s="431"/>
      <c r="G36" s="1751"/>
      <c r="H36" s="1264"/>
      <c r="I36" s="1844"/>
      <c r="J36" s="1264"/>
      <c r="K36" s="1844"/>
      <c r="L36" s="1264"/>
      <c r="M36" s="1844"/>
      <c r="N36" s="1264"/>
      <c r="O36" s="1844"/>
      <c r="P36" s="1264"/>
      <c r="Q36" s="1844"/>
      <c r="R36" s="1264"/>
      <c r="S36" s="1844"/>
    </row>
    <row r="37" spans="1:19" hidden="1">
      <c r="A37" s="1838"/>
      <c r="B37" s="1163"/>
      <c r="C37" s="23"/>
      <c r="D37" s="87"/>
      <c r="E37" s="86"/>
      <c r="F37" s="431"/>
      <c r="G37" s="1751"/>
      <c r="H37" s="1264"/>
      <c r="I37" s="1844"/>
      <c r="J37" s="1264"/>
      <c r="K37" s="1844"/>
      <c r="L37" s="1264"/>
      <c r="M37" s="1844"/>
      <c r="N37" s="1264"/>
      <c r="O37" s="1844"/>
      <c r="P37" s="1264"/>
      <c r="Q37" s="1844"/>
      <c r="R37" s="1264"/>
      <c r="S37" s="1844"/>
    </row>
    <row r="38" spans="1:19" hidden="1">
      <c r="A38" s="1838"/>
      <c r="B38" s="1163"/>
      <c r="C38" s="23"/>
      <c r="D38" s="87"/>
      <c r="E38" s="86"/>
      <c r="F38" s="431"/>
      <c r="G38" s="1751"/>
      <c r="H38" s="1264"/>
      <c r="I38" s="1844"/>
      <c r="J38" s="1264"/>
      <c r="K38" s="1844"/>
      <c r="L38" s="1264"/>
      <c r="M38" s="1844"/>
      <c r="N38" s="1264"/>
      <c r="O38" s="1844"/>
      <c r="P38" s="1264"/>
      <c r="Q38" s="1844"/>
      <c r="R38" s="1264"/>
      <c r="S38" s="1844"/>
    </row>
    <row r="39" spans="1:19" hidden="1">
      <c r="A39" s="1838"/>
      <c r="B39" s="1163"/>
      <c r="C39" s="23"/>
      <c r="D39" s="87"/>
      <c r="E39" s="86"/>
      <c r="F39" s="431"/>
      <c r="G39" s="1751"/>
      <c r="H39" s="1264"/>
      <c r="I39" s="1844"/>
      <c r="J39" s="1264"/>
      <c r="K39" s="1844"/>
      <c r="L39" s="1264"/>
      <c r="M39" s="1844"/>
      <c r="N39" s="1264"/>
      <c r="O39" s="1844"/>
      <c r="P39" s="1264"/>
      <c r="Q39" s="1844"/>
      <c r="R39" s="1264"/>
      <c r="S39" s="1844"/>
    </row>
    <row r="40" spans="1:19" hidden="1">
      <c r="A40" s="1838"/>
      <c r="B40" s="1163"/>
      <c r="C40" s="23"/>
      <c r="D40" s="87"/>
      <c r="E40" s="86"/>
      <c r="F40" s="431"/>
      <c r="G40" s="1751"/>
      <c r="H40" s="1264"/>
      <c r="I40" s="1844"/>
      <c r="J40" s="1264"/>
      <c r="K40" s="1844"/>
      <c r="L40" s="1264"/>
      <c r="M40" s="1844"/>
      <c r="N40" s="1264"/>
      <c r="O40" s="1844"/>
      <c r="P40" s="1264"/>
      <c r="Q40" s="1844"/>
      <c r="R40" s="1264"/>
      <c r="S40" s="1844"/>
    </row>
    <row r="41" spans="1:19" hidden="1">
      <c r="A41" s="1838"/>
      <c r="B41" s="1163"/>
      <c r="C41" s="23"/>
      <c r="D41" s="87"/>
      <c r="E41" s="86"/>
      <c r="F41" s="431"/>
      <c r="G41" s="1751"/>
      <c r="H41" s="1264"/>
      <c r="I41" s="1844"/>
      <c r="J41" s="1264"/>
      <c r="K41" s="1844"/>
      <c r="L41" s="1264"/>
      <c r="M41" s="1844"/>
      <c r="N41" s="1264"/>
      <c r="O41" s="1844"/>
      <c r="P41" s="1264"/>
      <c r="Q41" s="1844"/>
      <c r="R41" s="1264"/>
      <c r="S41" s="1844"/>
    </row>
    <row r="42" spans="1:19" hidden="1">
      <c r="A42" s="1838"/>
      <c r="B42" s="1163"/>
      <c r="C42" s="23"/>
      <c r="D42" s="87"/>
      <c r="E42" s="86"/>
      <c r="F42" s="431"/>
      <c r="G42" s="1751"/>
      <c r="H42" s="1264"/>
      <c r="I42" s="1844"/>
      <c r="J42" s="1264"/>
      <c r="K42" s="1844"/>
      <c r="L42" s="1264"/>
      <c r="M42" s="1844"/>
      <c r="N42" s="1264"/>
      <c r="O42" s="1844"/>
      <c r="P42" s="1264"/>
      <c r="Q42" s="1844"/>
      <c r="R42" s="1264"/>
      <c r="S42" s="1844"/>
    </row>
    <row r="43" spans="1:19" hidden="1">
      <c r="A43" s="1838"/>
      <c r="B43" s="1163"/>
      <c r="C43" s="23"/>
      <c r="D43" s="87"/>
      <c r="E43" s="86"/>
      <c r="F43" s="431"/>
      <c r="G43" s="1751"/>
      <c r="H43" s="1264"/>
      <c r="I43" s="1844"/>
      <c r="J43" s="1264"/>
      <c r="K43" s="1844"/>
      <c r="L43" s="1264"/>
      <c r="M43" s="1844"/>
      <c r="N43" s="1264"/>
      <c r="O43" s="1844"/>
      <c r="P43" s="1264"/>
      <c r="Q43" s="1844"/>
      <c r="R43" s="1264"/>
      <c r="S43" s="1844"/>
    </row>
    <row r="44" spans="1:19" hidden="1">
      <c r="A44" s="1838"/>
      <c r="B44" s="1163"/>
      <c r="C44" s="23"/>
      <c r="D44" s="87"/>
      <c r="E44" s="86"/>
      <c r="F44" s="431"/>
      <c r="G44" s="1751"/>
      <c r="H44" s="1264"/>
      <c r="I44" s="1844"/>
      <c r="J44" s="1264"/>
      <c r="K44" s="1844"/>
      <c r="L44" s="1264"/>
      <c r="M44" s="1844"/>
      <c r="N44" s="1264"/>
      <c r="O44" s="1844"/>
      <c r="P44" s="1264"/>
      <c r="Q44" s="1844"/>
      <c r="R44" s="1264"/>
      <c r="S44" s="1844"/>
    </row>
    <row r="45" spans="1:19" hidden="1">
      <c r="A45" s="1838"/>
      <c r="B45" s="1163"/>
      <c r="C45" s="23"/>
      <c r="D45" s="87"/>
      <c r="E45" s="86"/>
      <c r="F45" s="431"/>
      <c r="G45" s="1751"/>
      <c r="H45" s="1264"/>
      <c r="I45" s="1844"/>
      <c r="J45" s="1264"/>
      <c r="K45" s="1844"/>
      <c r="L45" s="1264"/>
      <c r="M45" s="1844"/>
      <c r="N45" s="1264"/>
      <c r="O45" s="1844"/>
      <c r="P45" s="1264"/>
      <c r="Q45" s="1844"/>
      <c r="R45" s="1264"/>
      <c r="S45" s="1844"/>
    </row>
    <row r="46" spans="1:19" hidden="1">
      <c r="A46" s="1838"/>
      <c r="B46" s="1163"/>
      <c r="C46" s="23"/>
      <c r="D46" s="87"/>
      <c r="E46" s="86"/>
      <c r="F46" s="431"/>
      <c r="G46" s="1751"/>
      <c r="H46" s="1264"/>
      <c r="I46" s="1844"/>
      <c r="J46" s="1264"/>
      <c r="K46" s="1844"/>
      <c r="L46" s="1264"/>
      <c r="M46" s="1844"/>
      <c r="N46" s="1264"/>
      <c r="O46" s="1844"/>
      <c r="P46" s="1264"/>
      <c r="Q46" s="1844"/>
      <c r="R46" s="1264"/>
      <c r="S46" s="1844"/>
    </row>
    <row r="47" spans="1:19" hidden="1">
      <c r="A47" s="1838"/>
      <c r="B47" s="1163"/>
      <c r="C47" s="23"/>
      <c r="D47" s="87"/>
      <c r="E47" s="86"/>
      <c r="F47" s="431"/>
      <c r="G47" s="1751"/>
      <c r="H47" s="1264"/>
      <c r="I47" s="1844"/>
      <c r="J47" s="1264"/>
      <c r="K47" s="1844"/>
      <c r="L47" s="1264"/>
      <c r="M47" s="1844"/>
      <c r="N47" s="1264"/>
      <c r="O47" s="1844"/>
      <c r="P47" s="1264"/>
      <c r="Q47" s="1844"/>
      <c r="R47" s="1264"/>
      <c r="S47" s="1844"/>
    </row>
    <row r="48" spans="1:19" hidden="1">
      <c r="A48" s="1838"/>
      <c r="B48" s="1163"/>
      <c r="C48" s="23"/>
      <c r="D48" s="87"/>
      <c r="E48" s="86"/>
      <c r="F48" s="431"/>
      <c r="G48" s="1751"/>
      <c r="H48" s="1264"/>
      <c r="I48" s="1844"/>
      <c r="J48" s="1264"/>
      <c r="K48" s="1844"/>
      <c r="L48" s="1264"/>
      <c r="M48" s="1844"/>
      <c r="N48" s="1264"/>
      <c r="O48" s="1844"/>
      <c r="P48" s="1264"/>
      <c r="Q48" s="1844"/>
      <c r="R48" s="1264"/>
      <c r="S48" s="1844"/>
    </row>
    <row r="49" spans="1:34" hidden="1">
      <c r="A49" s="1838"/>
      <c r="B49" s="1163"/>
      <c r="C49" s="23"/>
      <c r="D49" s="87"/>
      <c r="E49" s="86"/>
      <c r="F49" s="431"/>
      <c r="G49" s="1751"/>
      <c r="H49" s="1264"/>
      <c r="I49" s="1844"/>
      <c r="J49" s="1264"/>
      <c r="K49" s="1844"/>
      <c r="L49" s="1264"/>
      <c r="M49" s="1844"/>
      <c r="N49" s="1264"/>
      <c r="O49" s="1844"/>
      <c r="P49" s="1264"/>
      <c r="Q49" s="1844"/>
      <c r="R49" s="1264"/>
      <c r="S49" s="1844"/>
    </row>
    <row r="50" spans="1:34" hidden="1">
      <c r="A50" s="1838"/>
      <c r="B50" s="1163"/>
      <c r="C50" s="23"/>
      <c r="D50" s="87"/>
      <c r="E50" s="86"/>
      <c r="F50" s="431"/>
      <c r="G50" s="830"/>
      <c r="H50" s="1264"/>
      <c r="I50" s="1844"/>
      <c r="J50" s="1264"/>
      <c r="K50" s="1844"/>
      <c r="L50" s="1264"/>
      <c r="M50" s="1844"/>
      <c r="N50" s="1264"/>
      <c r="O50" s="1844"/>
      <c r="P50" s="1264"/>
      <c r="Q50" s="1844"/>
      <c r="R50" s="1264"/>
      <c r="S50" s="1844"/>
    </row>
    <row r="51" spans="1:34" ht="15.75" thickBot="1">
      <c r="A51" s="1838"/>
      <c r="B51" s="1163"/>
      <c r="C51" s="23"/>
      <c r="D51" s="87"/>
      <c r="E51" s="86"/>
      <c r="F51" s="431"/>
      <c r="G51" s="830"/>
      <c r="H51" s="1264"/>
      <c r="I51" s="1844"/>
      <c r="J51" s="1264"/>
      <c r="K51" s="1844"/>
      <c r="L51" s="1264"/>
      <c r="M51" s="1844"/>
      <c r="N51" s="1264"/>
      <c r="O51" s="1844"/>
      <c r="P51" s="1264"/>
      <c r="Q51" s="1844"/>
      <c r="R51" s="1264"/>
      <c r="S51" s="1844"/>
    </row>
    <row r="52" spans="1:34" ht="15.75" thickTop="1">
      <c r="A52" s="296"/>
      <c r="B52" s="301"/>
      <c r="C52" s="297"/>
      <c r="D52" s="15"/>
      <c r="E52" s="16"/>
      <c r="F52" s="282" t="s">
        <v>753</v>
      </c>
      <c r="G52" s="272"/>
      <c r="H52" s="273"/>
      <c r="I52" s="273">
        <f>SUM(I15:I51)</f>
        <v>25199</v>
      </c>
      <c r="J52" s="273"/>
      <c r="K52" s="273">
        <f>SUM(K15:K51)</f>
        <v>25375</v>
      </c>
      <c r="L52" s="273"/>
      <c r="M52" s="273">
        <f>SUM(M12:M51)</f>
        <v>28552</v>
      </c>
      <c r="N52" s="273"/>
      <c r="O52" s="273">
        <f>SUM(O12:O51)</f>
        <v>34200</v>
      </c>
      <c r="P52" s="273"/>
      <c r="Q52" s="273">
        <f>SUM(Q12:Q51)</f>
        <v>30375</v>
      </c>
      <c r="R52" s="273"/>
      <c r="S52" s="273">
        <f>SUM(S15:S51)</f>
        <v>0</v>
      </c>
    </row>
    <row r="53" spans="1:34">
      <c r="A53" s="1114"/>
      <c r="B53" s="1164"/>
      <c r="C53" s="432"/>
      <c r="D53" s="433"/>
      <c r="E53" s="434"/>
      <c r="F53" s="435" t="s">
        <v>754</v>
      </c>
      <c r="G53" s="436"/>
      <c r="H53" s="1165">
        <v>0</v>
      </c>
      <c r="I53" s="1166"/>
      <c r="J53" s="1165">
        <v>0</v>
      </c>
      <c r="K53" s="1166"/>
      <c r="L53" s="1165">
        <v>0</v>
      </c>
      <c r="M53" s="1166"/>
      <c r="N53" s="1165">
        <v>0</v>
      </c>
      <c r="O53" s="1166"/>
      <c r="P53" s="1165">
        <v>0</v>
      </c>
      <c r="Q53" s="1166"/>
      <c r="R53" s="1165">
        <v>0</v>
      </c>
      <c r="S53" s="1166"/>
    </row>
    <row r="54" spans="1:34">
      <c r="A54" s="1114"/>
      <c r="B54" s="1164"/>
      <c r="C54" s="432"/>
      <c r="D54" s="433"/>
      <c r="E54" s="434"/>
      <c r="F54" s="435" t="s">
        <v>755</v>
      </c>
      <c r="G54" s="436"/>
      <c r="H54" s="1166"/>
      <c r="I54" s="1166">
        <f>H53*I52</f>
        <v>0</v>
      </c>
      <c r="J54" s="1166"/>
      <c r="K54" s="1166">
        <f>J53*K52</f>
        <v>0</v>
      </c>
      <c r="L54" s="1166"/>
      <c r="M54" s="1166">
        <f>L53*M52</f>
        <v>0</v>
      </c>
      <c r="N54" s="1166"/>
      <c r="O54" s="1166">
        <f>N53*O52</f>
        <v>0</v>
      </c>
      <c r="P54" s="1166"/>
      <c r="Q54" s="1166">
        <f>P53*Q52</f>
        <v>0</v>
      </c>
      <c r="R54" s="1166"/>
      <c r="S54" s="1166">
        <f>R53*S52</f>
        <v>0</v>
      </c>
    </row>
    <row r="55" spans="1:34">
      <c r="A55" s="1114"/>
      <c r="B55" s="1164"/>
      <c r="C55" s="432"/>
      <c r="D55" s="433"/>
      <c r="E55" s="434"/>
      <c r="F55" s="435"/>
      <c r="G55" s="436"/>
      <c r="H55" s="1166"/>
      <c r="I55" s="1166"/>
      <c r="J55" s="1166"/>
      <c r="K55" s="1166"/>
      <c r="L55" s="1166"/>
      <c r="M55" s="1166"/>
      <c r="N55" s="1166"/>
      <c r="O55" s="1166"/>
      <c r="P55" s="1166"/>
      <c r="Q55" s="1166"/>
      <c r="R55" s="1166"/>
      <c r="S55" s="1166"/>
    </row>
    <row r="56" spans="1:34">
      <c r="A56" s="1114"/>
      <c r="B56" s="1164"/>
      <c r="C56" s="432"/>
      <c r="D56" s="433"/>
      <c r="E56" s="434"/>
      <c r="F56" s="435" t="s">
        <v>756</v>
      </c>
      <c r="G56" s="436"/>
      <c r="H56" s="1166"/>
      <c r="I56" s="1166">
        <f>SUM(I52:I54)</f>
        <v>25199</v>
      </c>
      <c r="J56" s="1166"/>
      <c r="K56" s="1166">
        <f>SUM(K52:K54)</f>
        <v>25375</v>
      </c>
      <c r="L56" s="1166"/>
      <c r="M56" s="1166">
        <f>SUM(M52:M54)</f>
        <v>28552</v>
      </c>
      <c r="N56" s="1166"/>
      <c r="O56" s="1166">
        <f>SUM(O52:O54)</f>
        <v>34200</v>
      </c>
      <c r="P56" s="1166"/>
      <c r="Q56" s="1166">
        <f>SUM(Q52:Q54)</f>
        <v>30375</v>
      </c>
      <c r="R56" s="1166"/>
      <c r="S56" s="1166">
        <f>SUM(S52:S54)</f>
        <v>0</v>
      </c>
    </row>
    <row r="57" spans="1:34">
      <c r="A57" s="1114"/>
      <c r="B57" s="1164"/>
      <c r="C57" s="432"/>
      <c r="D57" s="433"/>
      <c r="E57" s="434"/>
      <c r="F57" s="437" t="s">
        <v>757</v>
      </c>
      <c r="G57" s="438"/>
      <c r="H57" s="1167"/>
      <c r="I57" s="1167">
        <f>I56/'Area Calculations'!$G$4</f>
        <v>4.3546934917214335E-2</v>
      </c>
      <c r="J57" s="1167"/>
      <c r="K57" s="1167">
        <f>K56/'Area Calculations'!$G$4</f>
        <v>4.385108430986602E-2</v>
      </c>
      <c r="L57" s="1167"/>
      <c r="M57" s="1167">
        <f>M56/'Area Calculations'!$G$4</f>
        <v>4.9341326471538702E-2</v>
      </c>
      <c r="N57" s="1167"/>
      <c r="O57" s="1167">
        <f>O56/'Area Calculations'!$G$4</f>
        <v>5.9101756981179025E-2</v>
      </c>
      <c r="P57" s="1167"/>
      <c r="Q57" s="1167">
        <f>Q56/'Area Calculations'!$G$4</f>
        <v>5.2491692055652427E-2</v>
      </c>
      <c r="R57" s="1167"/>
      <c r="S57" s="1167">
        <f>S56/'Area Calculations'!$G$4</f>
        <v>0</v>
      </c>
    </row>
    <row r="58" spans="1:34">
      <c r="A58" s="1114"/>
      <c r="B58" s="1164"/>
      <c r="C58" s="432"/>
      <c r="D58" s="433"/>
      <c r="E58" s="434"/>
      <c r="F58" s="437" t="s">
        <v>758</v>
      </c>
      <c r="G58" s="438"/>
      <c r="H58" s="1167"/>
      <c r="I58" s="1167">
        <f>I56/'Area Calculations'!$G$9</f>
        <v>235.50467289719626</v>
      </c>
      <c r="J58" s="1167"/>
      <c r="K58" s="1167">
        <f>K56/'Area Calculations'!$G$9</f>
        <v>237.14953271028037</v>
      </c>
      <c r="L58" s="1167"/>
      <c r="M58" s="1167">
        <f>M56/'Area Calculations'!$G$9</f>
        <v>266.84112149532712</v>
      </c>
      <c r="N58" s="1167"/>
      <c r="O58" s="1167">
        <f>O56/'Area Calculations'!$G$9</f>
        <v>319.62616822429908</v>
      </c>
      <c r="P58" s="1167"/>
      <c r="Q58" s="1167">
        <f>Q56/'Area Calculations'!$G$9</f>
        <v>283.87850467289718</v>
      </c>
      <c r="R58" s="1167"/>
      <c r="S58" s="1167">
        <f>S56/'Area Calculations'!$G$9</f>
        <v>0</v>
      </c>
    </row>
    <row r="59" spans="1:34">
      <c r="A59" s="1114"/>
      <c r="B59" s="1164"/>
      <c r="C59" s="432"/>
      <c r="D59" s="433"/>
      <c r="E59" s="434"/>
      <c r="F59" s="439"/>
      <c r="G59" s="436"/>
      <c r="H59" s="1168"/>
      <c r="I59" s="1168"/>
      <c r="J59" s="1168"/>
      <c r="K59" s="1168"/>
      <c r="L59" s="1168"/>
      <c r="M59" s="1168"/>
      <c r="N59" s="1168"/>
      <c r="O59" s="1168"/>
      <c r="P59" s="1168"/>
      <c r="Q59" s="1168"/>
      <c r="R59" s="1168"/>
      <c r="S59" s="1168"/>
    </row>
    <row r="60" spans="1:34">
      <c r="A60" s="2331" t="s">
        <v>759</v>
      </c>
      <c r="B60" s="2332"/>
      <c r="C60" s="298"/>
      <c r="D60" s="12"/>
      <c r="E60" s="12"/>
      <c r="F60" s="12"/>
      <c r="G60" s="26"/>
      <c r="H60" s="20"/>
      <c r="I60" s="20"/>
      <c r="J60" s="20"/>
      <c r="K60" s="20"/>
      <c r="L60" s="24"/>
      <c r="M60" s="20"/>
      <c r="N60" s="20"/>
      <c r="O60" s="20"/>
      <c r="P60" s="20"/>
      <c r="Q60" s="20"/>
      <c r="R60" s="20"/>
      <c r="S60" s="20"/>
    </row>
    <row r="61" spans="1:34">
      <c r="A61" s="1580"/>
      <c r="B61" s="1105"/>
      <c r="C61" s="927"/>
      <c r="D61" s="1840"/>
      <c r="E61" s="1840"/>
      <c r="F61" s="1840"/>
      <c r="G61" s="1722"/>
      <c r="H61" s="1582"/>
      <c r="I61" s="1582"/>
      <c r="J61" s="1582"/>
      <c r="K61" s="1582"/>
      <c r="L61" s="1775"/>
      <c r="M61" s="1582"/>
      <c r="N61" s="1582"/>
      <c r="O61" s="1582"/>
      <c r="P61" s="1582"/>
      <c r="Q61" s="1582"/>
      <c r="R61" s="1582"/>
      <c r="S61" s="1582"/>
    </row>
    <row r="62" spans="1:34">
      <c r="A62" s="1580"/>
      <c r="B62" s="1105"/>
      <c r="C62" s="927"/>
      <c r="D62" s="1840"/>
      <c r="E62" s="1840"/>
      <c r="F62" s="1840"/>
      <c r="G62" s="1722"/>
      <c r="H62" s="1582"/>
      <c r="I62" s="1582"/>
      <c r="J62" s="1582"/>
      <c r="K62" s="1582"/>
      <c r="L62" s="1775"/>
      <c r="M62" s="1582"/>
      <c r="N62" s="1582"/>
      <c r="O62" s="1582"/>
      <c r="P62" s="1582"/>
      <c r="Q62" s="1582"/>
      <c r="R62" s="1582"/>
      <c r="S62" s="1582"/>
    </row>
    <row r="63" spans="1:34">
      <c r="A63" s="1580"/>
      <c r="B63" s="1105"/>
      <c r="C63" s="927"/>
      <c r="D63" s="1840"/>
      <c r="E63" s="1840"/>
      <c r="F63" s="1840"/>
      <c r="G63" s="1722"/>
      <c r="H63" s="1582"/>
      <c r="I63" s="1582"/>
      <c r="J63" s="1582"/>
      <c r="K63" s="1582"/>
      <c r="L63" s="1775"/>
      <c r="M63" s="1582"/>
      <c r="N63" s="1582"/>
      <c r="O63" s="1582"/>
      <c r="P63" s="1582"/>
      <c r="Q63" s="1582"/>
      <c r="R63" s="1582"/>
      <c r="S63" s="1582"/>
    </row>
    <row r="64" spans="1:34" s="2" customFormat="1">
      <c r="A64" s="2331" t="s">
        <v>760</v>
      </c>
      <c r="B64" s="2332"/>
      <c r="C64" s="298"/>
      <c r="D64" s="12"/>
      <c r="E64" s="12"/>
      <c r="F64" s="12"/>
      <c r="G64" s="26"/>
      <c r="H64" s="20"/>
      <c r="I64" s="20"/>
      <c r="J64" s="20"/>
      <c r="K64" s="20"/>
      <c r="L64" s="24"/>
      <c r="M64" s="20"/>
      <c r="N64" s="20"/>
      <c r="O64" s="20"/>
      <c r="P64" s="20"/>
      <c r="Q64" s="20"/>
      <c r="R64" s="20"/>
      <c r="S64" s="20"/>
      <c r="T64"/>
      <c r="U64"/>
      <c r="V64"/>
      <c r="W64"/>
      <c r="X64"/>
      <c r="Y64"/>
      <c r="Z64"/>
      <c r="AA64"/>
      <c r="AB64"/>
      <c r="AC64"/>
      <c r="AD64"/>
      <c r="AE64"/>
      <c r="AF64"/>
      <c r="AG64"/>
      <c r="AH64"/>
    </row>
    <row r="65" spans="1:34" s="2" customFormat="1">
      <c r="A65" s="1580"/>
      <c r="B65" s="1105"/>
      <c r="C65" s="927"/>
      <c r="D65" s="1840"/>
      <c r="E65" s="1840"/>
      <c r="F65" s="1840"/>
      <c r="G65" s="1722"/>
      <c r="H65" s="1582"/>
      <c r="I65" s="1582"/>
      <c r="J65" s="1582"/>
      <c r="K65" s="1582"/>
      <c r="L65" s="1775"/>
      <c r="M65" s="1582"/>
      <c r="N65" s="1582"/>
      <c r="O65" s="1582"/>
      <c r="P65" s="1582"/>
      <c r="Q65" s="1582"/>
      <c r="R65" s="1582"/>
      <c r="S65" s="1582"/>
      <c r="T65"/>
      <c r="U65"/>
      <c r="V65"/>
      <c r="W65"/>
      <c r="X65"/>
      <c r="Y65"/>
      <c r="Z65"/>
      <c r="AA65"/>
      <c r="AB65"/>
      <c r="AC65"/>
      <c r="AD65"/>
      <c r="AE65"/>
      <c r="AF65"/>
      <c r="AG65"/>
      <c r="AH65"/>
    </row>
    <row r="66" spans="1:34" s="2" customFormat="1">
      <c r="A66" s="1580"/>
      <c r="B66" s="1105"/>
      <c r="C66" s="927"/>
      <c r="D66" s="1840"/>
      <c r="E66" s="1840"/>
      <c r="F66" s="1840"/>
      <c r="G66" s="1722"/>
      <c r="H66" s="1582"/>
      <c r="I66" s="1582"/>
      <c r="J66" s="1582"/>
      <c r="K66" s="1582"/>
      <c r="L66" s="1775"/>
      <c r="M66" s="1582"/>
      <c r="N66" s="1582"/>
      <c r="O66" s="1582"/>
      <c r="P66" s="1582"/>
      <c r="Q66" s="1582"/>
      <c r="R66" s="1582"/>
      <c r="S66" s="1582"/>
      <c r="T66"/>
      <c r="U66"/>
      <c r="V66"/>
      <c r="W66"/>
      <c r="X66"/>
      <c r="Y66"/>
      <c r="Z66"/>
      <c r="AA66"/>
      <c r="AB66"/>
      <c r="AC66"/>
      <c r="AD66"/>
      <c r="AE66"/>
      <c r="AF66"/>
      <c r="AG66"/>
      <c r="AH66"/>
    </row>
    <row r="67" spans="1:34">
      <c r="A67" s="1580"/>
      <c r="B67" s="1105"/>
      <c r="C67" s="927"/>
      <c r="D67" s="1840"/>
      <c r="E67" s="1840"/>
      <c r="F67" s="1840"/>
      <c r="G67" s="1722"/>
      <c r="H67" s="1582"/>
      <c r="I67" s="1582"/>
      <c r="J67" s="1582"/>
      <c r="K67" s="1582"/>
      <c r="L67" s="1775"/>
      <c r="M67" s="1582"/>
      <c r="N67" s="1582"/>
      <c r="O67" s="1582"/>
      <c r="P67" s="1582"/>
      <c r="Q67" s="1582"/>
      <c r="R67" s="1582"/>
      <c r="S67" s="1582"/>
    </row>
    <row r="68" spans="1:34" s="2" customFormat="1">
      <c r="A68" s="2331" t="s">
        <v>761</v>
      </c>
      <c r="B68" s="2332"/>
      <c r="C68" s="298"/>
      <c r="D68" s="12"/>
      <c r="E68" s="12"/>
      <c r="F68" s="12"/>
      <c r="G68" s="26"/>
      <c r="H68" s="20"/>
      <c r="I68" s="20"/>
      <c r="J68" s="20"/>
      <c r="K68" s="20"/>
      <c r="L68" s="24"/>
      <c r="M68" s="20"/>
      <c r="N68" s="20"/>
      <c r="O68" s="20"/>
      <c r="P68" s="20"/>
      <c r="Q68" s="20"/>
      <c r="R68" s="20"/>
      <c r="S68" s="20"/>
      <c r="T68"/>
      <c r="U68"/>
      <c r="V68"/>
      <c r="W68"/>
      <c r="X68"/>
      <c r="Y68"/>
      <c r="Z68"/>
      <c r="AA68"/>
      <c r="AB68"/>
      <c r="AC68"/>
      <c r="AD68"/>
      <c r="AE68"/>
      <c r="AF68"/>
      <c r="AG68"/>
      <c r="AH68"/>
    </row>
    <row r="69" spans="1:34" s="2" customFormat="1">
      <c r="A69" s="1580"/>
      <c r="B69" s="1105"/>
      <c r="C69" s="927"/>
      <c r="D69" s="1840"/>
      <c r="E69" s="1840"/>
      <c r="F69" s="1840"/>
      <c r="G69" s="1722"/>
      <c r="H69" s="1582"/>
      <c r="I69" s="1582"/>
      <c r="J69" s="1582"/>
      <c r="K69" s="1582"/>
      <c r="L69" s="1775"/>
      <c r="M69" s="1582"/>
      <c r="N69" s="1582"/>
      <c r="O69" s="1582"/>
      <c r="P69" s="1582"/>
      <c r="Q69" s="1582"/>
      <c r="R69" s="1582"/>
      <c r="S69" s="1582"/>
      <c r="T69"/>
      <c r="U69"/>
      <c r="V69"/>
      <c r="W69"/>
      <c r="X69"/>
      <c r="Y69"/>
      <c r="Z69"/>
      <c r="AA69"/>
      <c r="AB69"/>
      <c r="AC69"/>
      <c r="AD69"/>
      <c r="AE69"/>
      <c r="AF69"/>
      <c r="AG69"/>
      <c r="AH69"/>
    </row>
    <row r="70" spans="1:34" s="2" customFormat="1">
      <c r="A70" s="1124"/>
      <c r="B70" s="1105"/>
      <c r="C70" s="415"/>
      <c r="D70" s="422"/>
      <c r="E70" s="422"/>
      <c r="F70" s="422"/>
      <c r="G70" s="831"/>
      <c r="H70" s="1173"/>
      <c r="I70" s="1173"/>
      <c r="J70" s="1173"/>
      <c r="K70" s="1173"/>
      <c r="L70" s="440"/>
      <c r="M70" s="1173"/>
      <c r="N70" s="1173"/>
      <c r="O70" s="1173"/>
      <c r="P70" s="1173"/>
      <c r="Q70" s="1173"/>
      <c r="R70" s="1173"/>
      <c r="S70" s="1173"/>
      <c r="T70"/>
      <c r="U70"/>
      <c r="V70"/>
      <c r="W70"/>
      <c r="X70"/>
      <c r="Y70"/>
      <c r="Z70"/>
      <c r="AA70"/>
      <c r="AB70"/>
      <c r="AC70"/>
      <c r="AD70"/>
      <c r="AE70"/>
      <c r="AF70"/>
      <c r="AG70"/>
      <c r="AH70"/>
    </row>
    <row r="71" spans="1:34" s="2" customFormat="1">
      <c r="A71" s="1126"/>
      <c r="B71" s="1174"/>
      <c r="C71" s="415"/>
      <c r="D71" s="422"/>
      <c r="E71" s="422"/>
      <c r="F71" s="422"/>
      <c r="G71" s="831"/>
      <c r="H71" s="1175"/>
      <c r="I71" s="1175"/>
      <c r="J71" s="1175"/>
      <c r="K71" s="1175"/>
      <c r="L71" s="441"/>
      <c r="M71" s="1175"/>
      <c r="N71" s="1175"/>
      <c r="O71" s="1175"/>
      <c r="P71" s="1175"/>
      <c r="Q71" s="1175"/>
      <c r="R71" s="1175"/>
      <c r="S71" s="1175"/>
    </row>
    <row r="72" spans="1:34" s="2" customFormat="1">
      <c r="A72" s="2331" t="s">
        <v>762</v>
      </c>
      <c r="B72" s="2332"/>
      <c r="C72" s="298"/>
      <c r="D72" s="12"/>
      <c r="E72" s="12"/>
      <c r="F72" s="12"/>
      <c r="G72" s="26"/>
      <c r="H72" s="20"/>
      <c r="I72" s="20"/>
      <c r="J72" s="20"/>
      <c r="K72" s="20"/>
      <c r="L72" s="24"/>
      <c r="M72" s="20"/>
      <c r="N72" s="20"/>
      <c r="O72" s="20"/>
      <c r="P72" s="20"/>
      <c r="Q72" s="20"/>
      <c r="R72" s="20"/>
      <c r="S72" s="20"/>
      <c r="T72"/>
      <c r="U72"/>
      <c r="V72"/>
      <c r="W72"/>
      <c r="X72"/>
      <c r="Y72"/>
      <c r="Z72"/>
      <c r="AA72"/>
      <c r="AB72"/>
      <c r="AC72"/>
      <c r="AD72"/>
      <c r="AE72"/>
      <c r="AF72"/>
      <c r="AG72"/>
      <c r="AH72"/>
    </row>
    <row r="73" spans="1:34">
      <c r="A73" s="1585"/>
      <c r="B73" s="1586"/>
      <c r="C73" s="927"/>
      <c r="D73" s="1840"/>
      <c r="E73" s="1840"/>
      <c r="F73" s="1840"/>
      <c r="G73" s="1722"/>
      <c r="H73" s="1582"/>
      <c r="I73" s="1582"/>
      <c r="J73" s="1582"/>
      <c r="K73" s="1582"/>
      <c r="L73" s="1775"/>
      <c r="M73" s="1582"/>
      <c r="N73" s="1582"/>
      <c r="O73" s="1582"/>
      <c r="P73" s="1582"/>
      <c r="Q73" s="1582"/>
      <c r="R73" s="1582"/>
      <c r="S73" s="1582"/>
      <c r="T73" s="2"/>
      <c r="U73" s="2"/>
      <c r="V73" s="2"/>
      <c r="W73" s="2"/>
      <c r="X73" s="2"/>
      <c r="Y73" s="2"/>
      <c r="Z73" s="2"/>
      <c r="AA73" s="2"/>
      <c r="AB73" s="2"/>
      <c r="AC73" s="2"/>
      <c r="AD73" s="2"/>
      <c r="AE73" s="2"/>
      <c r="AF73" s="2"/>
      <c r="AG73" s="2"/>
      <c r="AH73" s="2"/>
    </row>
    <row r="74" spans="1:34">
      <c r="A74" s="1126"/>
      <c r="B74" s="1174"/>
      <c r="C74" s="415"/>
      <c r="D74" s="422"/>
      <c r="E74" s="422"/>
      <c r="F74" s="422"/>
      <c r="G74" s="831"/>
      <c r="H74" s="1178"/>
      <c r="I74" s="1178"/>
      <c r="J74" s="1178"/>
      <c r="K74" s="1178"/>
      <c r="L74" s="442"/>
      <c r="M74" s="1178"/>
      <c r="N74" s="1178"/>
      <c r="O74" s="1178"/>
      <c r="P74" s="1178"/>
      <c r="Q74" s="1178"/>
      <c r="R74" s="1178"/>
      <c r="S74" s="1178"/>
      <c r="T74" s="2"/>
      <c r="U74" s="2"/>
      <c r="V74" s="2"/>
      <c r="W74" s="2"/>
      <c r="X74" s="2"/>
      <c r="Y74" s="2"/>
      <c r="Z74" s="2"/>
      <c r="AA74" s="2"/>
      <c r="AB74" s="2"/>
      <c r="AC74" s="2"/>
      <c r="AD74" s="2"/>
      <c r="AE74" s="2"/>
      <c r="AF74" s="2"/>
      <c r="AG74" s="2"/>
      <c r="AH74" s="2"/>
    </row>
    <row r="75" spans="1:34">
      <c r="A75" s="1126"/>
      <c r="B75" s="1174"/>
      <c r="C75" s="415"/>
      <c r="D75" s="422"/>
      <c r="E75" s="422"/>
      <c r="F75" s="422"/>
      <c r="G75" s="831"/>
      <c r="H75" s="1178"/>
      <c r="I75" s="1178"/>
      <c r="J75" s="1178"/>
      <c r="K75" s="1178"/>
      <c r="L75" s="442"/>
      <c r="M75" s="1178"/>
      <c r="N75" s="1178"/>
      <c r="O75" s="1178"/>
      <c r="P75" s="1178"/>
      <c r="Q75" s="1178"/>
      <c r="R75" s="1178"/>
      <c r="S75" s="1178"/>
      <c r="T75" s="2"/>
      <c r="U75" s="2"/>
      <c r="V75" s="2"/>
      <c r="W75" s="2"/>
      <c r="X75" s="2"/>
      <c r="Y75" s="2"/>
      <c r="Z75" s="2"/>
      <c r="AA75" s="2"/>
      <c r="AB75" s="2"/>
      <c r="AC75" s="2"/>
      <c r="AD75" s="2"/>
      <c r="AE75" s="2"/>
      <c r="AF75" s="2"/>
      <c r="AG75" s="2"/>
      <c r="AH75" s="2"/>
    </row>
    <row r="76" spans="1:34">
      <c r="A76" s="2331" t="s">
        <v>763</v>
      </c>
      <c r="B76" s="2332"/>
      <c r="C76" s="298"/>
      <c r="D76" s="12"/>
      <c r="E76" s="12"/>
      <c r="F76" s="12"/>
      <c r="G76" s="26"/>
      <c r="H76" s="20"/>
      <c r="I76" s="20"/>
      <c r="J76" s="20"/>
      <c r="K76" s="20"/>
      <c r="L76" s="24"/>
      <c r="M76" s="20"/>
      <c r="N76" s="20"/>
      <c r="O76" s="20"/>
      <c r="P76" s="20"/>
      <c r="Q76" s="20"/>
      <c r="R76" s="20"/>
      <c r="S76" s="20"/>
    </row>
    <row r="77" spans="1:34">
      <c r="A77" s="1124"/>
      <c r="B77" s="1105" t="s">
        <v>764</v>
      </c>
      <c r="C77" s="415"/>
      <c r="D77" s="422"/>
      <c r="E77" s="422"/>
      <c r="F77" s="422"/>
      <c r="G77" s="831"/>
      <c r="H77" s="1178"/>
      <c r="I77" s="1178"/>
      <c r="J77" s="1178"/>
      <c r="K77" s="1178"/>
      <c r="L77" s="442"/>
      <c r="M77" s="1178"/>
      <c r="N77" s="1178"/>
      <c r="O77" s="1178"/>
      <c r="P77" s="1178"/>
      <c r="Q77" s="1178"/>
      <c r="R77" s="1178"/>
      <c r="S77" s="1178"/>
    </row>
    <row r="78" spans="1:34">
      <c r="A78" s="1124"/>
      <c r="B78" s="1105" t="s">
        <v>765</v>
      </c>
      <c r="C78" s="415"/>
      <c r="D78" s="422"/>
      <c r="E78" s="422"/>
      <c r="F78" s="422"/>
      <c r="G78" s="831"/>
      <c r="H78" s="1178"/>
      <c r="I78" s="1178"/>
      <c r="J78" s="1178"/>
      <c r="K78" s="1178"/>
      <c r="L78" s="442"/>
      <c r="M78" s="1178"/>
      <c r="N78" s="1178"/>
      <c r="O78" s="1178"/>
      <c r="P78" s="1178"/>
      <c r="Q78" s="1178"/>
      <c r="R78" s="1178"/>
      <c r="S78" s="1178"/>
    </row>
    <row r="79" spans="1:34">
      <c r="A79" s="1124"/>
      <c r="B79" s="1105" t="s">
        <v>766</v>
      </c>
      <c r="C79" s="415"/>
      <c r="D79" s="422"/>
      <c r="E79" s="422"/>
      <c r="F79" s="422"/>
      <c r="G79" s="831"/>
      <c r="H79" s="1178"/>
      <c r="I79" s="1178"/>
      <c r="J79" s="1178"/>
      <c r="K79" s="1178"/>
      <c r="L79" s="442"/>
      <c r="M79" s="1178"/>
      <c r="N79" s="1178"/>
      <c r="O79" s="1178"/>
      <c r="P79" s="1178"/>
      <c r="Q79" s="1178"/>
      <c r="R79" s="1178"/>
      <c r="S79" s="1178"/>
    </row>
    <row r="80" spans="1:34">
      <c r="A80" s="1124"/>
      <c r="B80" s="1105" t="s">
        <v>767</v>
      </c>
      <c r="C80" s="415"/>
      <c r="D80" s="422"/>
      <c r="E80" s="422"/>
      <c r="F80" s="422"/>
      <c r="G80" s="831"/>
      <c r="H80" s="1178"/>
      <c r="I80" s="1178"/>
      <c r="J80" s="1178"/>
      <c r="K80" s="1178"/>
      <c r="L80" s="442"/>
      <c r="M80" s="1178"/>
      <c r="N80" s="1178"/>
      <c r="O80" s="1178"/>
      <c r="P80" s="1178"/>
      <c r="Q80" s="1178"/>
      <c r="R80" s="1178"/>
      <c r="S80" s="1178"/>
    </row>
    <row r="81" spans="1:19">
      <c r="A81" s="443"/>
      <c r="B81" s="421"/>
      <c r="C81" s="23"/>
      <c r="D81" s="86"/>
      <c r="E81" s="86"/>
      <c r="F81" s="86"/>
      <c r="G81" s="27"/>
      <c r="H81" s="444"/>
      <c r="I81" s="444"/>
      <c r="J81" s="444"/>
      <c r="K81" s="444"/>
      <c r="L81" s="25"/>
      <c r="M81" s="444"/>
      <c r="N81" s="444"/>
      <c r="O81" s="444"/>
      <c r="P81" s="444"/>
      <c r="Q81" s="444"/>
      <c r="R81" s="444"/>
      <c r="S81" s="444"/>
    </row>
    <row r="82" spans="1:19">
      <c r="A82" s="72" t="s">
        <v>768</v>
      </c>
      <c r="B82" s="73"/>
      <c r="C82" s="298"/>
      <c r="D82" s="12"/>
      <c r="E82" s="12"/>
      <c r="F82" s="12"/>
      <c r="G82" s="26"/>
      <c r="H82" s="20"/>
      <c r="I82" s="20"/>
      <c r="J82" s="20"/>
      <c r="K82" s="20"/>
      <c r="L82" s="24"/>
      <c r="M82" s="20"/>
      <c r="N82" s="20"/>
      <c r="O82" s="20"/>
      <c r="P82" s="20"/>
      <c r="Q82" s="20"/>
      <c r="R82" s="20"/>
      <c r="S82" s="20"/>
    </row>
    <row r="83" spans="1:19">
      <c r="A83" s="1580"/>
      <c r="B83" s="1587" t="s">
        <v>769</v>
      </c>
      <c r="C83" s="927"/>
      <c r="D83" s="1840"/>
      <c r="E83" s="1840"/>
      <c r="F83" s="1840"/>
      <c r="G83" s="1722"/>
      <c r="H83" s="1588"/>
      <c r="I83" s="1588"/>
      <c r="J83" s="1588"/>
      <c r="K83" s="1588"/>
      <c r="L83" s="1792"/>
      <c r="M83" s="1588"/>
      <c r="N83" s="1588"/>
      <c r="O83" s="1588"/>
      <c r="P83" s="1588"/>
      <c r="Q83" s="1588"/>
      <c r="R83" s="1588"/>
      <c r="S83" s="1588"/>
    </row>
    <row r="84" spans="1:19">
      <c r="A84" s="1124"/>
      <c r="B84" s="1105" t="s">
        <v>770</v>
      </c>
      <c r="C84" s="415"/>
      <c r="D84" s="422"/>
      <c r="E84" s="422"/>
      <c r="F84" s="422"/>
      <c r="G84" s="831"/>
      <c r="H84" s="1182"/>
      <c r="I84" s="1182"/>
      <c r="J84" s="1182"/>
      <c r="K84" s="1182"/>
      <c r="L84" s="445"/>
      <c r="M84" s="1182"/>
      <c r="N84" s="1182"/>
      <c r="O84" s="1182"/>
      <c r="P84" s="1182"/>
      <c r="Q84" s="1182"/>
      <c r="R84" s="1182"/>
      <c r="S84" s="1182"/>
    </row>
    <row r="85" spans="1:19">
      <c r="A85" s="1308"/>
      <c r="B85" s="1136" t="s">
        <v>771</v>
      </c>
      <c r="C85" s="935"/>
      <c r="D85" s="938"/>
      <c r="E85" s="938"/>
      <c r="F85" s="938"/>
      <c r="G85" s="939"/>
      <c r="H85" s="1140"/>
      <c r="I85" s="1140"/>
      <c r="J85" s="1140"/>
      <c r="K85" s="1140"/>
      <c r="L85" s="940"/>
      <c r="M85" s="1140"/>
      <c r="N85" s="1140"/>
      <c r="O85" s="1140"/>
      <c r="P85" s="1140"/>
      <c r="Q85" s="1140"/>
      <c r="R85" s="1140"/>
      <c r="S85" s="1140"/>
    </row>
    <row r="86" spans="1:19">
      <c r="F86" s="2"/>
      <c r="G86" s="2"/>
      <c r="H86" s="2"/>
      <c r="I86" s="2"/>
      <c r="J86" s="2"/>
      <c r="K86" s="2"/>
      <c r="L86" s="2"/>
      <c r="M86" s="2"/>
      <c r="N86" s="2"/>
      <c r="O86" s="2"/>
      <c r="P86" s="2"/>
      <c r="Q86" s="2"/>
      <c r="R86" s="2"/>
      <c r="S86" s="2"/>
    </row>
    <row r="87" spans="1:19">
      <c r="A87" s="37" t="s">
        <v>772</v>
      </c>
      <c r="B87" s="39"/>
      <c r="F87" s="2"/>
      <c r="G87" s="2"/>
      <c r="H87" s="2"/>
      <c r="I87" s="2"/>
      <c r="J87" s="2"/>
      <c r="K87" s="2"/>
      <c r="L87" s="2"/>
      <c r="M87" s="2"/>
      <c r="N87" s="2"/>
      <c r="O87" s="2"/>
      <c r="P87" s="2"/>
      <c r="Q87" s="2"/>
      <c r="R87" s="2"/>
      <c r="S87" s="2"/>
    </row>
    <row r="88" spans="1:19">
      <c r="A88" s="38" t="s">
        <v>693</v>
      </c>
      <c r="B88" s="1277" t="str">
        <f>H5</f>
        <v>Mitchell Metals</v>
      </c>
      <c r="F88" s="2"/>
      <c r="G88" s="2"/>
      <c r="H88" s="2"/>
      <c r="I88" s="2"/>
      <c r="J88" s="2"/>
      <c r="K88" s="2"/>
      <c r="L88" s="2"/>
      <c r="M88" s="2"/>
      <c r="N88" s="2"/>
      <c r="O88" s="2"/>
      <c r="P88" s="2"/>
      <c r="Q88" s="2"/>
      <c r="R88" s="2"/>
      <c r="S88" s="2"/>
    </row>
    <row r="89" spans="1:19">
      <c r="A89" s="1142" t="s">
        <v>702</v>
      </c>
      <c r="B89" s="1277" t="str">
        <f>H6</f>
        <v>Mitch Knowles</v>
      </c>
      <c r="F89" s="2"/>
      <c r="G89" s="2"/>
      <c r="H89" s="2"/>
      <c r="I89" s="2"/>
      <c r="J89" s="2"/>
      <c r="K89" s="2"/>
      <c r="L89" s="2"/>
      <c r="M89" s="2"/>
      <c r="N89" s="2"/>
      <c r="O89" s="2"/>
      <c r="P89" s="2"/>
      <c r="Q89" s="2"/>
      <c r="R89" s="2"/>
      <c r="S89" s="2"/>
    </row>
    <row r="90" spans="1:19">
      <c r="A90" s="1191" t="s">
        <v>708</v>
      </c>
      <c r="B90" s="1192" t="str">
        <f>H7</f>
        <v>770-431-7300</v>
      </c>
      <c r="F90" s="2"/>
      <c r="G90" s="2"/>
      <c r="H90" s="2"/>
      <c r="I90" s="2"/>
      <c r="J90" s="2"/>
      <c r="K90" s="2"/>
      <c r="L90" s="2"/>
      <c r="M90" s="2"/>
      <c r="N90" s="2"/>
      <c r="O90" s="2"/>
      <c r="P90" s="2"/>
      <c r="Q90" s="2"/>
      <c r="R90" s="2"/>
      <c r="S90" s="2"/>
    </row>
    <row r="91" spans="1:19">
      <c r="A91" s="1191" t="s">
        <v>713</v>
      </c>
      <c r="B91" s="1278" t="str">
        <f>H8</f>
        <v xml:space="preserve"> mitch@mitchellmetals.net </v>
      </c>
      <c r="F91" s="2"/>
      <c r="G91" s="2"/>
      <c r="H91" s="2"/>
      <c r="I91" s="2"/>
      <c r="J91" s="2"/>
      <c r="K91" s="2"/>
      <c r="L91" s="2"/>
      <c r="M91" s="2"/>
      <c r="N91" s="2"/>
      <c r="O91" s="2"/>
      <c r="P91" s="2"/>
      <c r="Q91" s="2"/>
      <c r="R91" s="2"/>
      <c r="S91" s="2"/>
    </row>
    <row r="92" spans="1:19">
      <c r="A92" s="1145" t="s">
        <v>69</v>
      </c>
      <c r="B92" s="1146">
        <f>H9</f>
        <v>25199</v>
      </c>
      <c r="F92" s="2"/>
      <c r="G92" s="2"/>
      <c r="H92" s="2"/>
      <c r="I92" s="2"/>
      <c r="J92" s="2"/>
      <c r="K92" s="2"/>
      <c r="L92" s="2"/>
      <c r="M92" s="2"/>
      <c r="N92" s="2"/>
      <c r="O92" s="2"/>
      <c r="P92" s="2"/>
      <c r="Q92" s="2"/>
      <c r="R92" s="2"/>
      <c r="S92" s="2"/>
    </row>
  </sheetData>
  <mergeCells count="43">
    <mergeCell ref="L3:M3"/>
    <mergeCell ref="A60:B60"/>
    <mergeCell ref="A64:B64"/>
    <mergeCell ref="A68:B68"/>
    <mergeCell ref="A72:B72"/>
    <mergeCell ref="H7:I7"/>
    <mergeCell ref="J7:K7"/>
    <mergeCell ref="H8:I8"/>
    <mergeCell ref="J8:K8"/>
    <mergeCell ref="H4:I4"/>
    <mergeCell ref="J4:K4"/>
    <mergeCell ref="H6:I6"/>
    <mergeCell ref="J6:K6"/>
    <mergeCell ref="H5:I5"/>
    <mergeCell ref="J5:K5"/>
    <mergeCell ref="L5:M5"/>
    <mergeCell ref="A76:B76"/>
    <mergeCell ref="N9:O9"/>
    <mergeCell ref="P9:Q9"/>
    <mergeCell ref="H9:I9"/>
    <mergeCell ref="J9:K9"/>
    <mergeCell ref="R8:S8"/>
    <mergeCell ref="R9:S9"/>
    <mergeCell ref="L8:M8"/>
    <mergeCell ref="N8:O8"/>
    <mergeCell ref="P8:Q8"/>
    <mergeCell ref="L9:M9"/>
    <mergeCell ref="N3:O3"/>
    <mergeCell ref="R7:S7"/>
    <mergeCell ref="L7:M7"/>
    <mergeCell ref="R4:S4"/>
    <mergeCell ref="L4:M4"/>
    <mergeCell ref="N4:O4"/>
    <mergeCell ref="P4:Q4"/>
    <mergeCell ref="N5:O5"/>
    <mergeCell ref="P5:Q5"/>
    <mergeCell ref="N7:O7"/>
    <mergeCell ref="P7:Q7"/>
    <mergeCell ref="R6:S6"/>
    <mergeCell ref="R5:S5"/>
    <mergeCell ref="L6:M6"/>
    <mergeCell ref="N6:O6"/>
    <mergeCell ref="P6:Q6"/>
  </mergeCells>
  <conditionalFormatting sqref="H11:H19 J11:J19 L11:L19 N11:N19 P11:P19 R11:R19 H21:H51 J21:J51 L21:L51 N21:N51 P21:P51 R21:R51">
    <cfRule type="cellIs" dxfId="215" priority="13" operator="equal">
      <formula>"X"</formula>
    </cfRule>
    <cfRule type="cellIs" dxfId="214" priority="14" operator="equal">
      <formula>"I"</formula>
    </cfRule>
  </conditionalFormatting>
  <hyperlinks>
    <hyperlink ref="B4" location="'Cost Summary'!A1" display="BACK TO SUMMARY SHEET" xr:uid="{B94988D6-10D8-4730-9E27-974BFE9DC8EC}"/>
    <hyperlink ref="H8" r:id="rId1" xr:uid="{FC00E303-3D5F-444E-A094-69EE278BF5C0}"/>
    <hyperlink ref="J8" r:id="rId2" display="mailto:mavila@panelsandsteel.com" xr:uid="{3ADBD982-74CD-4ACB-ADEC-F0514C18290F}"/>
    <hyperlink ref="J8:K8" r:id="rId3" display="rgainer@panelsandsteel.com" xr:uid="{10F7B6A1-F040-4389-B146-1516FE45888C}"/>
    <hyperlink ref="L8:M8" r:id="rId4" display="lmontes@coastalmetal.biz" xr:uid="{77C72973-59BE-4484-B60C-986E39511033}"/>
    <hyperlink ref="N8:O8" r:id="rId5" display="zt@radaf.com" xr:uid="{CC01D9E0-6D56-4217-A829-E2805F93C331}"/>
    <hyperlink ref="P8:Q8" r:id="rId6" display="estimating@perfectionarch.com" xr:uid="{05D55A3F-EBB1-4412-A462-874730BCF8E2}"/>
  </hyperlinks>
  <pageMargins left="0.7" right="0.7" top="0.75" bottom="0.75" header="0.3" footer="0.3"/>
  <pageSetup orientation="portrait" r:id="rId7"/>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C26A-5DC3-42E3-B675-FEB8894DF7E9}">
  <sheetPr>
    <tabColor rgb="FF00B0F0"/>
  </sheetPr>
  <dimension ref="A1:AQ121"/>
  <sheetViews>
    <sheetView zoomScale="90" zoomScaleNormal="90" workbookViewId="0">
      <pane xSplit="2" ySplit="10" topLeftCell="C66" activePane="bottomRight" state="frozen"/>
      <selection pane="topRight" activeCell="C1" sqref="C1"/>
      <selection pane="bottomLeft" activeCell="A11" sqref="A11"/>
      <selection pane="bottomRight" activeCell="G71" sqref="G71:G75"/>
    </sheetView>
  </sheetViews>
  <sheetFormatPr defaultRowHeight="15"/>
  <cols>
    <col min="1" max="1" width="11" customWidth="1"/>
    <col min="2" max="2" width="70.7109375" style="1" customWidth="1"/>
    <col min="3" max="3" width="12.7109375" style="2" customWidth="1"/>
    <col min="4" max="4" width="12.7109375" style="497"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E1" s="68"/>
      <c r="F1" s="275"/>
      <c r="G1" s="269" t="s">
        <v>679</v>
      </c>
      <c r="X1" s="261"/>
    </row>
    <row r="2" spans="1:24">
      <c r="E2" s="68"/>
      <c r="F2" s="276" t="s">
        <v>680</v>
      </c>
      <c r="G2" s="269" t="s">
        <v>681</v>
      </c>
      <c r="X2" s="261"/>
    </row>
    <row r="3" spans="1:24">
      <c r="E3" s="68"/>
      <c r="F3" s="277" t="s">
        <v>682</v>
      </c>
      <c r="G3" s="269" t="s">
        <v>683</v>
      </c>
      <c r="X3" s="261"/>
    </row>
    <row r="4" spans="1:24">
      <c r="B4" s="262" t="s">
        <v>684</v>
      </c>
      <c r="E4" s="68"/>
      <c r="F4" s="278"/>
      <c r="G4" s="270" t="s">
        <v>685</v>
      </c>
      <c r="H4" s="2390" t="s">
        <v>686</v>
      </c>
      <c r="I4" s="2391"/>
      <c r="J4" s="2319" t="s">
        <v>687</v>
      </c>
      <c r="K4" s="2320"/>
      <c r="L4" s="2319" t="s">
        <v>688</v>
      </c>
      <c r="M4" s="2320"/>
      <c r="N4" s="2319" t="s">
        <v>689</v>
      </c>
      <c r="O4" s="2320"/>
      <c r="P4" s="2319" t="s">
        <v>773</v>
      </c>
      <c r="Q4" s="2320"/>
      <c r="R4" s="2319" t="s">
        <v>774</v>
      </c>
      <c r="S4" s="2320"/>
      <c r="X4" s="261"/>
    </row>
    <row r="5" spans="1:24">
      <c r="A5" s="292" t="s">
        <v>692</v>
      </c>
      <c r="B5" s="299" t="str">
        <f>'Area Calculations'!B4</f>
        <v>ERAU Residential Hall &amp; Garage Building</v>
      </c>
      <c r="C5" s="294"/>
      <c r="D5" s="498"/>
      <c r="E5" s="264"/>
      <c r="F5" s="279"/>
      <c r="G5" s="271" t="s">
        <v>693</v>
      </c>
      <c r="H5" s="2321" t="s">
        <v>2051</v>
      </c>
      <c r="I5" s="2322"/>
      <c r="J5" s="2321" t="s">
        <v>2052</v>
      </c>
      <c r="K5" s="2322"/>
      <c r="L5" s="2321" t="s">
        <v>2053</v>
      </c>
      <c r="M5" s="2322"/>
      <c r="N5" s="2321"/>
      <c r="O5" s="2322"/>
      <c r="P5" s="2333"/>
      <c r="Q5" s="2334"/>
      <c r="R5" s="2333"/>
      <c r="S5" s="2334"/>
      <c r="X5" s="261"/>
    </row>
    <row r="6" spans="1:24">
      <c r="A6" s="1082" t="s">
        <v>700</v>
      </c>
      <c r="B6" s="1196" t="s">
        <v>132</v>
      </c>
      <c r="C6" s="415"/>
      <c r="D6" s="499"/>
      <c r="E6" s="417"/>
      <c r="F6" s="418"/>
      <c r="G6" s="419" t="s">
        <v>702</v>
      </c>
      <c r="H6" s="2325" t="s">
        <v>2054</v>
      </c>
      <c r="I6" s="2326"/>
      <c r="J6" s="2325" t="s">
        <v>2055</v>
      </c>
      <c r="K6" s="2326"/>
      <c r="L6" s="2325"/>
      <c r="M6" s="2326"/>
      <c r="N6" s="2325"/>
      <c r="O6" s="2326"/>
      <c r="P6" s="2313"/>
      <c r="Q6" s="2314"/>
      <c r="R6" s="2313"/>
      <c r="S6" s="2314"/>
      <c r="X6" s="261"/>
    </row>
    <row r="7" spans="1:24">
      <c r="A7" s="1082" t="s">
        <v>706</v>
      </c>
      <c r="B7" s="1197" t="s">
        <v>352</v>
      </c>
      <c r="C7" s="415"/>
      <c r="D7" s="499"/>
      <c r="E7" s="417"/>
      <c r="F7" s="418"/>
      <c r="G7" s="829" t="s">
        <v>708</v>
      </c>
      <c r="H7" s="2325" t="s">
        <v>2056</v>
      </c>
      <c r="I7" s="2326"/>
      <c r="J7" s="2325" t="s">
        <v>2057</v>
      </c>
      <c r="K7" s="2326"/>
      <c r="L7" s="2325"/>
      <c r="M7" s="2326"/>
      <c r="N7" s="2325"/>
      <c r="O7" s="2326"/>
      <c r="P7" s="2313"/>
      <c r="Q7" s="2314"/>
      <c r="R7" s="2313"/>
      <c r="S7" s="2314"/>
      <c r="X7" s="261"/>
    </row>
    <row r="8" spans="1:24">
      <c r="A8" s="1082" t="s">
        <v>712</v>
      </c>
      <c r="B8" s="1198"/>
      <c r="C8" s="415"/>
      <c r="D8" s="499"/>
      <c r="E8" s="417"/>
      <c r="F8" s="418"/>
      <c r="G8" s="829" t="s">
        <v>713</v>
      </c>
      <c r="H8" s="2327" t="s">
        <v>2058</v>
      </c>
      <c r="I8" s="2328"/>
      <c r="J8" s="2327" t="s">
        <v>2059</v>
      </c>
      <c r="K8" s="2328"/>
      <c r="L8" s="2329"/>
      <c r="M8" s="2328"/>
      <c r="N8" s="2329"/>
      <c r="O8" s="2328"/>
      <c r="P8" s="2315"/>
      <c r="Q8" s="2316"/>
      <c r="R8" s="2315"/>
      <c r="S8" s="2316"/>
      <c r="X8" s="261"/>
    </row>
    <row r="9" spans="1:24">
      <c r="A9" s="420"/>
      <c r="B9" s="421"/>
      <c r="C9" s="23"/>
      <c r="D9" s="500"/>
      <c r="E9" s="266"/>
      <c r="F9" s="283"/>
      <c r="G9" s="284" t="s">
        <v>717</v>
      </c>
      <c r="H9" s="2317">
        <f>I85</f>
        <v>1133900</v>
      </c>
      <c r="I9" s="2318"/>
      <c r="J9" s="2317">
        <f>K85</f>
        <v>684200</v>
      </c>
      <c r="K9" s="2318"/>
      <c r="L9" s="2317">
        <f>M85</f>
        <v>55500</v>
      </c>
      <c r="M9" s="2318"/>
      <c r="N9" s="2330">
        <f>O85</f>
        <v>0</v>
      </c>
      <c r="O9" s="2330"/>
      <c r="P9" s="2317">
        <f>Q85</f>
        <v>0</v>
      </c>
      <c r="Q9" s="2318"/>
      <c r="R9" s="2317">
        <f>S85</f>
        <v>0</v>
      </c>
      <c r="S9" s="2318"/>
      <c r="X9" s="261"/>
    </row>
    <row r="10" spans="1:24" s="267" customFormat="1" ht="32.1" customHeight="1">
      <c r="A10" s="293"/>
      <c r="B10" s="300"/>
      <c r="C10" s="295" t="s">
        <v>718</v>
      </c>
      <c r="D10" s="501"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589"/>
      <c r="B11" s="1590" t="s">
        <v>725</v>
      </c>
      <c r="C11" s="928"/>
      <c r="D11" s="1856"/>
      <c r="E11" s="1740"/>
      <c r="F11" s="1744"/>
      <c r="G11" s="1781"/>
      <c r="H11" s="1591"/>
      <c r="I11" s="1783"/>
      <c r="J11" s="1591"/>
      <c r="K11" s="1782"/>
      <c r="L11" s="1591"/>
      <c r="M11" s="285"/>
      <c r="N11" s="1591"/>
      <c r="O11" s="1783"/>
      <c r="P11" s="1591"/>
      <c r="Q11" s="1783"/>
      <c r="R11" s="1591"/>
      <c r="S11" s="1783"/>
    </row>
    <row r="12" spans="1:24">
      <c r="A12" s="1589"/>
      <c r="B12" s="1263" t="s">
        <v>726</v>
      </c>
      <c r="C12" s="446"/>
      <c r="D12" s="499"/>
      <c r="E12" s="422"/>
      <c r="F12" s="418"/>
      <c r="G12" s="423"/>
      <c r="H12" s="1264" t="s">
        <v>727</v>
      </c>
      <c r="I12" s="1783"/>
      <c r="J12" s="1264"/>
      <c r="K12" s="1782"/>
      <c r="L12" s="1264"/>
      <c r="M12" s="1783"/>
      <c r="N12" s="1264"/>
      <c r="O12" s="1783"/>
      <c r="P12" s="1264"/>
      <c r="Q12" s="1783"/>
      <c r="R12" s="1264"/>
      <c r="S12" s="1783"/>
    </row>
    <row r="13" spans="1:24">
      <c r="A13" s="1097"/>
      <c r="B13" s="1263" t="s">
        <v>728</v>
      </c>
      <c r="C13" s="446"/>
      <c r="D13" s="499"/>
      <c r="E13" s="422"/>
      <c r="F13" s="418"/>
      <c r="G13" s="423"/>
      <c r="H13" s="1264" t="s">
        <v>727</v>
      </c>
      <c r="I13" s="1783"/>
      <c r="J13" s="1264"/>
      <c r="K13" s="1782"/>
      <c r="L13" s="1264"/>
      <c r="M13" s="1783"/>
      <c r="N13" s="1264"/>
      <c r="O13" s="1783"/>
      <c r="P13" s="1264"/>
      <c r="Q13" s="1783"/>
      <c r="R13" s="1264"/>
      <c r="S13" s="1783"/>
    </row>
    <row r="14" spans="1:24">
      <c r="A14" s="1589"/>
      <c r="B14" s="1265" t="s">
        <v>729</v>
      </c>
      <c r="C14" s="446"/>
      <c r="D14" s="499"/>
      <c r="E14" s="422"/>
      <c r="F14" s="418"/>
      <c r="G14" s="423"/>
      <c r="H14" s="1264" t="s">
        <v>730</v>
      </c>
      <c r="I14" s="1783"/>
      <c r="J14" s="1264"/>
      <c r="K14" s="1782"/>
      <c r="L14" s="1264"/>
      <c r="M14" s="1783"/>
      <c r="N14" s="1264"/>
      <c r="O14" s="1783"/>
      <c r="P14" s="1264"/>
      <c r="Q14" s="1783"/>
      <c r="R14" s="1264"/>
      <c r="S14" s="1783"/>
    </row>
    <row r="15" spans="1:24">
      <c r="A15" s="1097"/>
      <c r="B15" s="1265" t="s">
        <v>731</v>
      </c>
      <c r="C15" s="446"/>
      <c r="D15" s="499"/>
      <c r="E15" s="422"/>
      <c r="F15" s="418"/>
      <c r="G15" s="423"/>
      <c r="H15" s="1264" t="s">
        <v>727</v>
      </c>
      <c r="I15" s="1782"/>
      <c r="J15" s="1264"/>
      <c r="K15" s="1782"/>
      <c r="L15" s="1264"/>
      <c r="M15" s="1782"/>
      <c r="N15" s="1264"/>
      <c r="O15" s="1782"/>
      <c r="P15" s="1264"/>
      <c r="Q15" s="1782"/>
      <c r="R15" s="1264"/>
      <c r="S15" s="1782"/>
    </row>
    <row r="16" spans="1:24">
      <c r="A16" s="1589"/>
      <c r="B16" s="1265" t="s">
        <v>732</v>
      </c>
      <c r="C16" s="446"/>
      <c r="D16" s="499"/>
      <c r="E16" s="422"/>
      <c r="F16" s="418"/>
      <c r="G16" s="423"/>
      <c r="H16" s="1264" t="s">
        <v>727</v>
      </c>
      <c r="I16" s="1783"/>
      <c r="J16" s="1264"/>
      <c r="K16" s="1782"/>
      <c r="L16" s="1264"/>
      <c r="M16" s="1783"/>
      <c r="N16" s="1264"/>
      <c r="O16" s="1783"/>
      <c r="P16" s="1264"/>
      <c r="Q16" s="1783"/>
      <c r="R16" s="1264"/>
      <c r="S16" s="1783"/>
    </row>
    <row r="17" spans="1:43">
      <c r="A17" s="1097"/>
      <c r="B17" s="1265" t="s">
        <v>733</v>
      </c>
      <c r="C17" s="446"/>
      <c r="D17" s="499"/>
      <c r="E17" s="422"/>
      <c r="F17" s="418"/>
      <c r="G17" s="423"/>
      <c r="H17" s="1264" t="s">
        <v>727</v>
      </c>
      <c r="I17" s="1783"/>
      <c r="J17" s="1264"/>
      <c r="K17" s="1782"/>
      <c r="L17" s="1264"/>
      <c r="M17" s="1783"/>
      <c r="N17" s="1264"/>
      <c r="O17" s="1783"/>
      <c r="P17" s="1264"/>
      <c r="Q17" s="1783"/>
      <c r="R17" s="1264"/>
      <c r="S17" s="1783"/>
    </row>
    <row r="18" spans="1:43">
      <c r="A18" s="1589"/>
      <c r="B18" s="534" t="s">
        <v>734</v>
      </c>
      <c r="C18" s="446"/>
      <c r="D18" s="499"/>
      <c r="E18" s="422"/>
      <c r="F18" s="418"/>
      <c r="G18" s="423"/>
      <c r="H18" s="1264" t="s">
        <v>727</v>
      </c>
      <c r="I18" s="1783" t="s">
        <v>1780</v>
      </c>
      <c r="J18" s="1264"/>
      <c r="K18" s="1782"/>
      <c r="L18" s="1264"/>
      <c r="M18" s="1783"/>
      <c r="N18" s="1264"/>
      <c r="O18" s="1783"/>
      <c r="P18" s="1264"/>
      <c r="Q18" s="1783"/>
      <c r="R18" s="1264"/>
      <c r="S18" s="1783"/>
    </row>
    <row r="19" spans="1:43">
      <c r="A19" s="1589"/>
      <c r="B19" s="1154" t="s">
        <v>736</v>
      </c>
      <c r="C19" s="446"/>
      <c r="D19" s="499"/>
      <c r="E19" s="422"/>
      <c r="F19" s="418"/>
      <c r="G19" s="423"/>
      <c r="H19" s="1264"/>
      <c r="I19" s="1783"/>
      <c r="J19" s="1264"/>
      <c r="K19" s="1782"/>
      <c r="L19" s="1264"/>
      <c r="M19" s="1783"/>
      <c r="N19" s="1264"/>
      <c r="O19" s="1783"/>
      <c r="P19" s="1264"/>
      <c r="Q19" s="1783"/>
      <c r="R19" s="1264"/>
      <c r="S19" s="1783"/>
    </row>
    <row r="20" spans="1:43">
      <c r="A20" s="1097"/>
      <c r="B20" s="1853" t="s">
        <v>737</v>
      </c>
      <c r="C20" s="447"/>
      <c r="D20" s="502"/>
      <c r="E20" s="425"/>
      <c r="F20" s="426"/>
      <c r="G20" s="427"/>
      <c r="H20" s="1156"/>
      <c r="I20" s="1787"/>
      <c r="J20" s="1156"/>
      <c r="K20" s="1786">
        <v>628700</v>
      </c>
      <c r="L20" s="1156"/>
      <c r="M20" s="1787"/>
      <c r="N20" s="1156"/>
      <c r="O20" s="1787"/>
      <c r="P20" s="1156"/>
      <c r="Q20" s="1787"/>
      <c r="R20" s="1156"/>
      <c r="S20" s="1787"/>
    </row>
    <row r="21" spans="1:43">
      <c r="A21" s="1589"/>
      <c r="B21" s="1788"/>
      <c r="C21" s="70"/>
      <c r="D21" s="500"/>
      <c r="E21" s="86"/>
      <c r="F21" s="280"/>
      <c r="G21" s="274"/>
      <c r="H21" s="1264"/>
      <c r="I21" s="428"/>
      <c r="J21" s="1264"/>
      <c r="K21" s="428"/>
      <c r="L21" s="1264"/>
      <c r="M21" s="428"/>
      <c r="N21" s="1264"/>
      <c r="O21" s="428"/>
      <c r="P21" s="1264"/>
      <c r="Q21" s="428"/>
      <c r="R21" s="1264"/>
      <c r="S21" s="428"/>
    </row>
    <row r="22" spans="1:43" s="69" customFormat="1" ht="30">
      <c r="A22" s="1097"/>
      <c r="B22" s="1105" t="s">
        <v>2060</v>
      </c>
      <c r="C22" s="415"/>
      <c r="D22" s="499"/>
      <c r="E22" s="422"/>
      <c r="F22" s="429"/>
      <c r="G22" s="423"/>
      <c r="H22" s="1264"/>
      <c r="I22" s="1106"/>
      <c r="J22" s="1264"/>
      <c r="K22" s="1107"/>
      <c r="L22" s="1264"/>
      <c r="M22" s="1106"/>
      <c r="N22" s="1264"/>
      <c r="O22" s="1107"/>
      <c r="P22" s="1264"/>
      <c r="Q22" s="1107"/>
      <c r="R22" s="1264"/>
      <c r="S22" s="1106"/>
      <c r="T22"/>
      <c r="U22"/>
      <c r="V22"/>
      <c r="W22"/>
      <c r="X22"/>
      <c r="Y22"/>
      <c r="Z22"/>
      <c r="AA22"/>
      <c r="AB22"/>
      <c r="AC22"/>
      <c r="AD22"/>
      <c r="AE22"/>
      <c r="AF22"/>
      <c r="AG22"/>
      <c r="AH22"/>
      <c r="AI22"/>
      <c r="AJ22"/>
      <c r="AK22"/>
      <c r="AL22"/>
      <c r="AM22"/>
      <c r="AN22"/>
      <c r="AO22"/>
      <c r="AP22" s="413"/>
      <c r="AQ22" s="413"/>
    </row>
    <row r="23" spans="1:43">
      <c r="A23" s="1589"/>
      <c r="B23" s="1857" t="s">
        <v>2061</v>
      </c>
      <c r="C23" s="927"/>
      <c r="D23" s="1858"/>
      <c r="E23" s="1740"/>
      <c r="F23" s="1752"/>
      <c r="G23" s="1751"/>
      <c r="H23" s="1264"/>
      <c r="I23" s="1783"/>
      <c r="J23" s="1264"/>
      <c r="K23" s="1783"/>
      <c r="L23" s="1264"/>
      <c r="M23" s="1783"/>
      <c r="N23" s="1264"/>
      <c r="O23" s="1783"/>
      <c r="P23" s="1264"/>
      <c r="Q23" s="1783"/>
      <c r="R23" s="1264"/>
      <c r="S23" s="1783"/>
    </row>
    <row r="24" spans="1:43">
      <c r="A24" s="1097"/>
      <c r="B24" s="1857" t="s">
        <v>2062</v>
      </c>
      <c r="C24" s="415"/>
      <c r="D24" s="504"/>
      <c r="E24" s="422"/>
      <c r="F24" s="431"/>
      <c r="G24" s="1751"/>
      <c r="H24" s="1264"/>
      <c r="I24" s="1783"/>
      <c r="J24" s="1264"/>
      <c r="K24" s="1783"/>
      <c r="L24" s="1264"/>
      <c r="M24" s="1783"/>
      <c r="N24" s="1264"/>
      <c r="O24" s="1783"/>
      <c r="P24" s="1264"/>
      <c r="Q24" s="1783"/>
      <c r="R24" s="1264"/>
      <c r="S24" s="1783"/>
    </row>
    <row r="25" spans="1:43">
      <c r="A25" s="1589"/>
      <c r="B25" s="1857" t="s">
        <v>2063</v>
      </c>
      <c r="C25" s="415"/>
      <c r="D25" s="504"/>
      <c r="E25" s="422"/>
      <c r="F25" s="431"/>
      <c r="G25" s="1751"/>
      <c r="H25" s="1264"/>
      <c r="I25" s="1783"/>
      <c r="J25" s="1264" t="s">
        <v>682</v>
      </c>
      <c r="K25" s="1783"/>
      <c r="L25" s="1264"/>
      <c r="M25" s="1783"/>
      <c r="N25" s="1264"/>
      <c r="O25" s="1783"/>
      <c r="P25" s="1264"/>
      <c r="Q25" s="1783"/>
      <c r="R25" s="1264"/>
      <c r="S25" s="1783"/>
    </row>
    <row r="26" spans="1:43">
      <c r="A26" s="1097"/>
      <c r="B26" s="1857" t="s">
        <v>2064</v>
      </c>
      <c r="C26" s="415"/>
      <c r="D26" s="504"/>
      <c r="E26" s="422"/>
      <c r="F26" s="431"/>
      <c r="G26" s="1751"/>
      <c r="H26" s="1264" t="s">
        <v>682</v>
      </c>
      <c r="I26" s="1783"/>
      <c r="J26" s="1264"/>
      <c r="K26" s="1783"/>
      <c r="L26" s="1264"/>
      <c r="M26" s="1783"/>
      <c r="N26" s="1264"/>
      <c r="O26" s="1783"/>
      <c r="P26" s="1264"/>
      <c r="Q26" s="1783"/>
      <c r="R26" s="1264"/>
      <c r="S26" s="1783"/>
    </row>
    <row r="27" spans="1:43">
      <c r="A27" s="1589"/>
      <c r="B27" s="1789"/>
      <c r="C27" s="415"/>
      <c r="D27" s="504"/>
      <c r="E27" s="422"/>
      <c r="F27" s="431"/>
      <c r="G27" s="1751"/>
      <c r="H27" s="1264"/>
      <c r="I27" s="1783"/>
      <c r="J27" s="1264"/>
      <c r="K27" s="1783"/>
      <c r="L27" s="1264"/>
      <c r="M27" s="1783"/>
      <c r="N27" s="1264"/>
      <c r="O27" s="1783"/>
      <c r="P27" s="1264"/>
      <c r="Q27" s="1783"/>
      <c r="R27" s="1264"/>
      <c r="S27" s="1783"/>
    </row>
    <row r="28" spans="1:43">
      <c r="A28" s="1097"/>
      <c r="B28" s="1789" t="s">
        <v>2065</v>
      </c>
      <c r="C28" s="415"/>
      <c r="D28" s="504"/>
      <c r="E28" s="422"/>
      <c r="F28" s="431"/>
      <c r="G28" s="1751"/>
      <c r="H28" s="1264"/>
      <c r="I28" s="1783">
        <f>267350+267350</f>
        <v>534700</v>
      </c>
      <c r="J28" s="1264"/>
      <c r="K28" s="1783"/>
      <c r="L28" s="1264"/>
      <c r="M28" s="1783"/>
      <c r="N28" s="1264"/>
      <c r="O28" s="1783"/>
      <c r="P28" s="1264"/>
      <c r="Q28" s="1783"/>
      <c r="R28" s="1264"/>
      <c r="S28" s="1783"/>
    </row>
    <row r="29" spans="1:43">
      <c r="A29" s="1589"/>
      <c r="B29" s="1859" t="s">
        <v>2066</v>
      </c>
      <c r="C29" s="415"/>
      <c r="D29" s="504"/>
      <c r="E29" s="422"/>
      <c r="F29" s="431"/>
      <c r="G29" s="1751"/>
      <c r="H29" s="1264"/>
      <c r="I29" s="1783"/>
      <c r="J29" s="1264"/>
      <c r="K29" s="1783"/>
      <c r="L29" s="1264"/>
      <c r="M29" s="1783"/>
      <c r="N29" s="1264"/>
      <c r="O29" s="1783"/>
      <c r="P29" s="1264"/>
      <c r="Q29" s="1783"/>
      <c r="R29" s="1264"/>
      <c r="S29" s="1783"/>
    </row>
    <row r="30" spans="1:43">
      <c r="A30" s="1097"/>
      <c r="B30" s="1857" t="s">
        <v>2067</v>
      </c>
      <c r="C30" s="415"/>
      <c r="D30" s="504"/>
      <c r="E30" s="422"/>
      <c r="F30" s="431"/>
      <c r="G30" s="1751"/>
      <c r="H30" s="1264" t="s">
        <v>682</v>
      </c>
      <c r="I30" s="1783"/>
      <c r="J30" s="1264" t="s">
        <v>682</v>
      </c>
      <c r="K30" s="1783"/>
      <c r="L30" s="1264"/>
      <c r="M30" s="1783"/>
      <c r="N30" s="1264"/>
      <c r="O30" s="1783"/>
      <c r="P30" s="1264"/>
      <c r="Q30" s="1783"/>
      <c r="R30" s="1264"/>
      <c r="S30" s="1783"/>
    </row>
    <row r="31" spans="1:43">
      <c r="A31" s="1589"/>
      <c r="B31" s="1857" t="s">
        <v>2068</v>
      </c>
      <c r="C31" s="415"/>
      <c r="D31" s="504"/>
      <c r="E31" s="422"/>
      <c r="F31" s="431"/>
      <c r="G31" s="1751"/>
      <c r="H31" s="1264" t="s">
        <v>682</v>
      </c>
      <c r="I31" s="1783"/>
      <c r="J31" s="1264" t="s">
        <v>682</v>
      </c>
      <c r="K31" s="1783"/>
      <c r="L31" s="1264"/>
      <c r="M31" s="1783"/>
      <c r="N31" s="1264"/>
      <c r="O31" s="1783"/>
      <c r="P31" s="1264"/>
      <c r="Q31" s="1783"/>
      <c r="R31" s="1264"/>
      <c r="S31" s="1783"/>
    </row>
    <row r="32" spans="1:43">
      <c r="A32" s="1589"/>
      <c r="B32" s="1432" t="s">
        <v>2069</v>
      </c>
      <c r="C32" s="415"/>
      <c r="D32" s="504"/>
      <c r="E32" s="422"/>
      <c r="F32" s="431"/>
      <c r="G32" s="1751"/>
      <c r="H32" s="1264"/>
      <c r="I32" s="1855"/>
      <c r="J32" s="1264" t="s">
        <v>682</v>
      </c>
      <c r="K32" s="1783"/>
      <c r="L32" s="1264"/>
      <c r="M32" s="1783"/>
      <c r="N32" s="1264"/>
      <c r="O32" s="1783"/>
      <c r="P32" s="1264"/>
      <c r="Q32" s="1783"/>
      <c r="R32" s="1264"/>
      <c r="S32" s="1783"/>
    </row>
    <row r="33" spans="1:19">
      <c r="A33" s="1589"/>
      <c r="B33" s="1432" t="s">
        <v>2070</v>
      </c>
      <c r="C33" s="415"/>
      <c r="D33" s="504"/>
      <c r="E33" s="422"/>
      <c r="F33" s="431"/>
      <c r="G33" s="1751"/>
      <c r="H33" s="1264"/>
      <c r="I33" s="1860">
        <f>2250*2</f>
        <v>4500</v>
      </c>
      <c r="J33" s="1264" t="s">
        <v>682</v>
      </c>
      <c r="K33" s="1783"/>
      <c r="L33" s="1264"/>
      <c r="M33" s="1783"/>
      <c r="N33" s="1264"/>
      <c r="O33" s="1783"/>
      <c r="P33" s="1264"/>
      <c r="Q33" s="1783"/>
      <c r="R33" s="1264"/>
      <c r="S33" s="1783"/>
    </row>
    <row r="34" spans="1:19">
      <c r="A34" s="1589"/>
      <c r="B34" s="1861" t="s">
        <v>2071</v>
      </c>
      <c r="C34" s="415"/>
      <c r="D34" s="504"/>
      <c r="E34" s="422"/>
      <c r="F34" s="431"/>
      <c r="G34" s="1751"/>
      <c r="H34" s="1264" t="s">
        <v>682</v>
      </c>
      <c r="I34" s="1783"/>
      <c r="J34" s="1264" t="s">
        <v>680</v>
      </c>
      <c r="K34" s="1862"/>
      <c r="L34" s="1264"/>
      <c r="M34" s="1783"/>
      <c r="N34" s="1264"/>
      <c r="O34" s="1783"/>
      <c r="P34" s="1264"/>
      <c r="Q34" s="1783"/>
      <c r="R34" s="1264"/>
      <c r="S34" s="1783"/>
    </row>
    <row r="35" spans="1:19">
      <c r="A35" s="1097"/>
      <c r="B35" s="1789" t="s">
        <v>2072</v>
      </c>
      <c r="C35" s="415"/>
      <c r="D35" s="504"/>
      <c r="E35" s="422"/>
      <c r="F35" s="431"/>
      <c r="G35" s="1751"/>
      <c r="H35" s="1264"/>
      <c r="I35" s="1783">
        <v>267350</v>
      </c>
      <c r="J35" s="1264"/>
      <c r="K35" s="1783"/>
      <c r="L35" s="1264"/>
      <c r="M35" s="1783"/>
      <c r="N35" s="1264"/>
      <c r="O35" s="1783"/>
      <c r="P35" s="1264"/>
      <c r="Q35" s="1783"/>
      <c r="R35" s="1264"/>
      <c r="S35" s="1783"/>
    </row>
    <row r="36" spans="1:19">
      <c r="A36" s="1589"/>
      <c r="B36" s="1859" t="s">
        <v>2073</v>
      </c>
      <c r="C36" s="23"/>
      <c r="D36" s="504"/>
      <c r="E36" s="422"/>
      <c r="F36" s="431"/>
      <c r="G36" s="1751"/>
      <c r="H36" s="1264"/>
      <c r="I36" s="1783"/>
      <c r="J36" s="1264"/>
      <c r="K36" s="1783"/>
      <c r="L36" s="1264"/>
      <c r="M36" s="1783"/>
      <c r="N36" s="1264"/>
      <c r="O36" s="1783"/>
      <c r="P36" s="1264"/>
      <c r="Q36" s="1783"/>
      <c r="R36" s="1264"/>
      <c r="S36" s="1783"/>
    </row>
    <row r="37" spans="1:19">
      <c r="A37" s="1097"/>
      <c r="B37" s="1857" t="s">
        <v>2067</v>
      </c>
      <c r="C37" s="23"/>
      <c r="D37" s="503"/>
      <c r="E37" s="86"/>
      <c r="F37" s="431"/>
      <c r="G37" s="1751"/>
      <c r="H37" s="1264" t="s">
        <v>682</v>
      </c>
      <c r="I37" s="1783"/>
      <c r="J37" s="1264" t="s">
        <v>682</v>
      </c>
      <c r="K37" s="1783"/>
      <c r="L37" s="1264"/>
      <c r="M37" s="1783"/>
      <c r="N37" s="1264"/>
      <c r="O37" s="1783"/>
      <c r="P37" s="1264"/>
      <c r="Q37" s="1783"/>
      <c r="R37" s="1264"/>
      <c r="S37" s="1783"/>
    </row>
    <row r="38" spans="1:19">
      <c r="A38" s="1589"/>
      <c r="B38" s="1432" t="s">
        <v>2068</v>
      </c>
      <c r="C38" s="23"/>
      <c r="D38" s="503"/>
      <c r="E38" s="86"/>
      <c r="F38" s="431"/>
      <c r="G38" s="1751"/>
      <c r="H38" s="1264" t="s">
        <v>682</v>
      </c>
      <c r="I38" s="1783"/>
      <c r="J38" s="1264" t="s">
        <v>682</v>
      </c>
      <c r="K38" s="1783"/>
      <c r="L38" s="1264"/>
      <c r="M38" s="1783"/>
      <c r="N38" s="1264"/>
      <c r="O38" s="1783"/>
      <c r="P38" s="1264"/>
      <c r="Q38" s="1783"/>
      <c r="R38" s="1264"/>
      <c r="S38" s="1783"/>
    </row>
    <row r="39" spans="1:19">
      <c r="A39" s="1589"/>
      <c r="B39" s="1432" t="s">
        <v>2069</v>
      </c>
      <c r="C39" s="23"/>
      <c r="D39" s="503"/>
      <c r="E39" s="86"/>
      <c r="F39" s="431"/>
      <c r="G39" s="1751"/>
      <c r="H39" s="1264"/>
      <c r="I39" s="1855"/>
      <c r="J39" s="1264" t="s">
        <v>682</v>
      </c>
      <c r="K39" s="1783"/>
      <c r="L39" s="1264"/>
      <c r="M39" s="1783"/>
      <c r="N39" s="1264"/>
      <c r="O39" s="1783"/>
      <c r="P39" s="1264"/>
      <c r="Q39" s="1783"/>
      <c r="R39" s="1264"/>
      <c r="S39" s="1783"/>
    </row>
    <row r="40" spans="1:19">
      <c r="A40" s="1589"/>
      <c r="B40" s="1432" t="s">
        <v>2070</v>
      </c>
      <c r="C40" s="23"/>
      <c r="D40" s="503"/>
      <c r="E40" s="86"/>
      <c r="F40" s="431"/>
      <c r="G40" s="1751"/>
      <c r="H40" s="1264"/>
      <c r="I40" s="1860">
        <v>2250</v>
      </c>
      <c r="J40" s="1264" t="s">
        <v>682</v>
      </c>
      <c r="K40" s="1783"/>
      <c r="L40" s="1264"/>
      <c r="M40" s="1783"/>
      <c r="N40" s="1264"/>
      <c r="O40" s="1783"/>
      <c r="P40" s="1264"/>
      <c r="Q40" s="1783"/>
      <c r="R40" s="1264"/>
      <c r="S40" s="1783"/>
    </row>
    <row r="41" spans="1:19" ht="30" customHeight="1">
      <c r="A41" s="1589"/>
      <c r="B41" s="1432" t="s">
        <v>2074</v>
      </c>
      <c r="C41" s="23"/>
      <c r="D41" s="503"/>
      <c r="E41" s="86"/>
      <c r="F41" s="431"/>
      <c r="G41" s="1751"/>
      <c r="H41" s="1264"/>
      <c r="I41" s="1855"/>
      <c r="J41" s="1264" t="s">
        <v>682</v>
      </c>
      <c r="K41" s="1783"/>
      <c r="L41" s="1264"/>
      <c r="M41" s="1783"/>
      <c r="N41" s="1264"/>
      <c r="O41" s="1783"/>
      <c r="P41" s="1264"/>
      <c r="Q41" s="1783"/>
      <c r="R41" s="1264"/>
      <c r="S41" s="1783"/>
    </row>
    <row r="42" spans="1:19">
      <c r="A42" s="1589"/>
      <c r="B42" s="1163" t="s">
        <v>2075</v>
      </c>
      <c r="C42" s="23"/>
      <c r="D42" s="503"/>
      <c r="E42" s="86"/>
      <c r="F42" s="431">
        <f>I42/6</f>
        <v>44558.333333333336</v>
      </c>
      <c r="G42" s="1751"/>
      <c r="H42" s="1264"/>
      <c r="I42" s="1783">
        <v>267350</v>
      </c>
      <c r="J42" s="1264"/>
      <c r="K42" s="1783"/>
      <c r="L42" s="1264"/>
      <c r="M42" s="1783"/>
      <c r="N42" s="1264"/>
      <c r="O42" s="1783"/>
      <c r="P42" s="1264"/>
      <c r="Q42" s="1783"/>
      <c r="R42" s="1264"/>
      <c r="S42" s="1783"/>
    </row>
    <row r="43" spans="1:19">
      <c r="A43" s="1589"/>
      <c r="B43" s="1863" t="s">
        <v>2076</v>
      </c>
      <c r="C43" s="23"/>
      <c r="D43" s="503"/>
      <c r="E43" s="86"/>
      <c r="F43" s="431"/>
      <c r="G43" s="1751"/>
      <c r="H43" s="1264"/>
      <c r="I43" s="1783"/>
      <c r="J43" s="1264"/>
      <c r="K43" s="1783"/>
      <c r="L43" s="1264"/>
      <c r="M43" s="1783"/>
      <c r="N43" s="1264"/>
      <c r="O43" s="1783"/>
      <c r="P43" s="1264"/>
      <c r="Q43" s="1783"/>
      <c r="R43" s="1264"/>
      <c r="S43" s="1783"/>
    </row>
    <row r="44" spans="1:19">
      <c r="A44" s="1589"/>
      <c r="B44" s="1857" t="s">
        <v>2067</v>
      </c>
      <c r="C44" s="23"/>
      <c r="D44" s="503"/>
      <c r="E44" s="86"/>
      <c r="F44" s="431"/>
      <c r="G44" s="1751"/>
      <c r="H44" s="1264" t="s">
        <v>682</v>
      </c>
      <c r="I44" s="1783"/>
      <c r="J44" s="1264" t="s">
        <v>682</v>
      </c>
      <c r="K44" s="1783"/>
      <c r="L44" s="1264"/>
      <c r="M44" s="1783"/>
      <c r="N44" s="1264"/>
      <c r="O44" s="1783"/>
      <c r="P44" s="1264"/>
      <c r="Q44" s="1783"/>
      <c r="R44" s="1264"/>
      <c r="S44" s="1783"/>
    </row>
    <row r="45" spans="1:19">
      <c r="A45" s="1589"/>
      <c r="B45" s="1432" t="s">
        <v>2068</v>
      </c>
      <c r="C45" s="23"/>
      <c r="D45" s="503"/>
      <c r="E45" s="86"/>
      <c r="F45" s="431"/>
      <c r="G45" s="1751"/>
      <c r="H45" s="1264" t="s">
        <v>682</v>
      </c>
      <c r="I45" s="1783"/>
      <c r="J45" s="1264" t="s">
        <v>682</v>
      </c>
      <c r="K45" s="1783"/>
      <c r="L45" s="1264"/>
      <c r="M45" s="1783"/>
      <c r="N45" s="1264"/>
      <c r="O45" s="1783"/>
      <c r="P45" s="1264"/>
      <c r="Q45" s="1783"/>
      <c r="R45" s="1264"/>
      <c r="S45" s="1783"/>
    </row>
    <row r="46" spans="1:19">
      <c r="A46" s="1589"/>
      <c r="B46" s="1432" t="s">
        <v>2069</v>
      </c>
      <c r="C46" s="23"/>
      <c r="D46" s="503"/>
      <c r="E46" s="86"/>
      <c r="F46" s="431"/>
      <c r="G46" s="1751"/>
      <c r="H46" s="1264"/>
      <c r="I46" s="1855"/>
      <c r="J46" s="1264" t="s">
        <v>682</v>
      </c>
      <c r="K46" s="1783"/>
      <c r="L46" s="1264"/>
      <c r="M46" s="1783"/>
      <c r="N46" s="1264"/>
      <c r="O46" s="1783"/>
      <c r="P46" s="1264"/>
      <c r="Q46" s="1783"/>
      <c r="R46" s="1264"/>
      <c r="S46" s="1783"/>
    </row>
    <row r="47" spans="1:19">
      <c r="A47" s="1589"/>
      <c r="B47" s="1432" t="s">
        <v>2070</v>
      </c>
      <c r="C47" s="23"/>
      <c r="D47" s="503"/>
      <c r="E47" s="86"/>
      <c r="F47" s="431"/>
      <c r="G47" s="1751"/>
      <c r="H47" s="1264"/>
      <c r="I47" s="1860">
        <v>2250</v>
      </c>
      <c r="J47" s="1264" t="s">
        <v>682</v>
      </c>
      <c r="K47" s="1783"/>
      <c r="L47" s="1264"/>
      <c r="M47" s="1783"/>
      <c r="N47" s="1264"/>
      <c r="O47" s="1783"/>
      <c r="P47" s="1264"/>
      <c r="Q47" s="1783"/>
      <c r="R47" s="1264"/>
      <c r="S47" s="1783"/>
    </row>
    <row r="48" spans="1:19" ht="30" customHeight="1">
      <c r="A48" s="1589"/>
      <c r="B48" s="1432" t="s">
        <v>2074</v>
      </c>
      <c r="C48" s="23"/>
      <c r="D48" s="503"/>
      <c r="E48" s="86"/>
      <c r="F48" s="431"/>
      <c r="G48" s="1751"/>
      <c r="H48" s="1264"/>
      <c r="I48" s="1855"/>
      <c r="J48" s="1264" t="s">
        <v>682</v>
      </c>
      <c r="K48" s="1783"/>
      <c r="L48" s="1264"/>
      <c r="M48" s="1783"/>
      <c r="N48" s="1264"/>
      <c r="O48" s="1783"/>
      <c r="P48" s="1264"/>
      <c r="Q48" s="1783"/>
      <c r="R48" s="1264"/>
      <c r="S48" s="1783"/>
    </row>
    <row r="49" spans="1:19">
      <c r="A49" s="1589"/>
      <c r="B49" s="1432"/>
      <c r="C49" s="23"/>
      <c r="D49" s="503"/>
      <c r="E49" s="86"/>
      <c r="F49" s="431"/>
      <c r="G49" s="1751"/>
      <c r="H49" s="1264"/>
      <c r="I49" s="1783"/>
      <c r="J49" s="1264"/>
      <c r="K49" s="1783"/>
      <c r="L49" s="1264"/>
      <c r="M49" s="1783"/>
      <c r="N49" s="1264"/>
      <c r="O49" s="1783"/>
      <c r="P49" s="1264"/>
      <c r="Q49" s="1783"/>
      <c r="R49" s="1264"/>
      <c r="S49" s="1783"/>
    </row>
    <row r="50" spans="1:19">
      <c r="A50" s="1589"/>
      <c r="B50" s="1863" t="s">
        <v>2077</v>
      </c>
      <c r="C50" s="23"/>
      <c r="D50" s="503"/>
      <c r="E50" s="86"/>
      <c r="F50" s="431"/>
      <c r="G50" s="1751"/>
      <c r="H50" s="1264"/>
      <c r="I50" s="1783"/>
      <c r="J50" s="1264"/>
      <c r="K50" s="1783"/>
      <c r="L50" s="1264"/>
      <c r="M50" s="1783"/>
      <c r="N50" s="1264"/>
      <c r="O50" s="1783"/>
      <c r="P50" s="1264"/>
      <c r="Q50" s="1783"/>
      <c r="R50" s="1264"/>
      <c r="S50" s="1783"/>
    </row>
    <row r="51" spans="1:19">
      <c r="A51" s="1589"/>
      <c r="B51" s="1432" t="s">
        <v>2078</v>
      </c>
      <c r="C51" s="23"/>
      <c r="D51" s="503"/>
      <c r="E51" s="86"/>
      <c r="F51" s="431"/>
      <c r="G51" s="1751"/>
      <c r="H51" s="1264" t="s">
        <v>682</v>
      </c>
      <c r="I51" s="1783"/>
      <c r="J51" s="1264" t="s">
        <v>682</v>
      </c>
      <c r="K51" s="1783"/>
      <c r="L51" s="1264"/>
      <c r="M51" s="1783"/>
      <c r="N51" s="1264"/>
      <c r="O51" s="1783"/>
      <c r="P51" s="1264"/>
      <c r="Q51" s="1783"/>
      <c r="R51" s="1264"/>
      <c r="S51" s="1783"/>
    </row>
    <row r="52" spans="1:19">
      <c r="A52" s="1589"/>
      <c r="B52" s="1432" t="s">
        <v>2079</v>
      </c>
      <c r="C52" s="23"/>
      <c r="D52" s="503"/>
      <c r="E52" s="86"/>
      <c r="F52" s="431"/>
      <c r="G52" s="1751"/>
      <c r="H52" s="1264" t="s">
        <v>682</v>
      </c>
      <c r="I52" s="1783"/>
      <c r="J52" s="1264" t="s">
        <v>682</v>
      </c>
      <c r="K52" s="1783"/>
      <c r="L52" s="1264"/>
      <c r="M52" s="1783"/>
      <c r="N52" s="1264"/>
      <c r="O52" s="1783"/>
      <c r="P52" s="1264"/>
      <c r="Q52" s="1783"/>
      <c r="R52" s="1264"/>
      <c r="S52" s="1783"/>
    </row>
    <row r="53" spans="1:19">
      <c r="A53" s="1589"/>
      <c r="B53" s="1432" t="s">
        <v>2080</v>
      </c>
      <c r="C53" s="23"/>
      <c r="D53" s="503"/>
      <c r="E53" s="86"/>
      <c r="F53" s="431"/>
      <c r="G53" s="1751"/>
      <c r="H53" s="1264" t="s">
        <v>682</v>
      </c>
      <c r="I53" s="1783"/>
      <c r="J53" s="1264" t="s">
        <v>682</v>
      </c>
      <c r="K53" s="1783"/>
      <c r="L53" s="1264"/>
      <c r="M53" s="1783"/>
      <c r="N53" s="1264"/>
      <c r="O53" s="1783"/>
      <c r="P53" s="1264"/>
      <c r="Q53" s="1783"/>
      <c r="R53" s="1264"/>
      <c r="S53" s="1783"/>
    </row>
    <row r="54" spans="1:19">
      <c r="A54" s="1589"/>
      <c r="B54" s="1432" t="s">
        <v>2081</v>
      </c>
      <c r="C54" s="23"/>
      <c r="D54" s="503"/>
      <c r="E54" s="86"/>
      <c r="F54" s="431"/>
      <c r="G54" s="1751"/>
      <c r="H54" s="1264" t="s">
        <v>682</v>
      </c>
      <c r="I54" s="1783"/>
      <c r="J54" s="1264" t="s">
        <v>682</v>
      </c>
      <c r="K54" s="1783"/>
      <c r="L54" s="1264"/>
      <c r="M54" s="1783"/>
      <c r="N54" s="1264"/>
      <c r="O54" s="1783"/>
      <c r="P54" s="1264"/>
      <c r="Q54" s="1783"/>
      <c r="R54" s="1264"/>
      <c r="S54" s="1783"/>
    </row>
    <row r="55" spans="1:19">
      <c r="A55" s="1589"/>
      <c r="B55" s="1432" t="s">
        <v>2082</v>
      </c>
      <c r="C55" s="23"/>
      <c r="D55" s="503"/>
      <c r="E55" s="86"/>
      <c r="F55" s="431"/>
      <c r="G55" s="1751"/>
      <c r="H55" s="1264" t="s">
        <v>682</v>
      </c>
      <c r="I55" s="1783"/>
      <c r="J55" s="1264" t="s">
        <v>682</v>
      </c>
      <c r="K55" s="1783"/>
      <c r="L55" s="1264"/>
      <c r="M55" s="1783"/>
      <c r="N55" s="1264"/>
      <c r="O55" s="1783"/>
      <c r="P55" s="1264"/>
      <c r="Q55" s="1783"/>
      <c r="R55" s="1264"/>
      <c r="S55" s="1783"/>
    </row>
    <row r="56" spans="1:19">
      <c r="A56" s="1589"/>
      <c r="B56" s="1432" t="s">
        <v>2083</v>
      </c>
      <c r="C56" s="23"/>
      <c r="D56" s="503"/>
      <c r="E56" s="86"/>
      <c r="F56" s="431"/>
      <c r="G56" s="1751"/>
      <c r="H56" s="1264" t="s">
        <v>682</v>
      </c>
      <c r="I56" s="1783"/>
      <c r="J56" s="1264" t="s">
        <v>682</v>
      </c>
      <c r="K56" s="1783"/>
      <c r="L56" s="1264"/>
      <c r="M56" s="1783"/>
      <c r="N56" s="1264"/>
      <c r="O56" s="1783"/>
      <c r="P56" s="1264"/>
      <c r="Q56" s="1783"/>
      <c r="R56" s="1264"/>
      <c r="S56" s="1783"/>
    </row>
    <row r="57" spans="1:19">
      <c r="A57" s="1589"/>
      <c r="B57" s="1432" t="s">
        <v>2084</v>
      </c>
      <c r="C57" s="23"/>
      <c r="D57" s="503"/>
      <c r="E57" s="86"/>
      <c r="F57" s="431"/>
      <c r="G57" s="1751"/>
      <c r="H57" s="1264" t="s">
        <v>682</v>
      </c>
      <c r="I57" s="1783"/>
      <c r="J57" s="1264" t="s">
        <v>682</v>
      </c>
      <c r="K57" s="1783"/>
      <c r="L57" s="1264"/>
      <c r="M57" s="1783"/>
      <c r="N57" s="1264"/>
      <c r="O57" s="1783"/>
      <c r="P57" s="1264"/>
      <c r="Q57" s="1783"/>
      <c r="R57" s="1264"/>
      <c r="S57" s="1783"/>
    </row>
    <row r="58" spans="1:19">
      <c r="A58" s="1589"/>
      <c r="B58" s="1432" t="s">
        <v>2085</v>
      </c>
      <c r="C58" s="23"/>
      <c r="D58" s="503"/>
      <c r="E58" s="86"/>
      <c r="F58" s="431"/>
      <c r="G58" s="1751"/>
      <c r="H58" s="1264" t="s">
        <v>682</v>
      </c>
      <c r="I58" s="1783"/>
      <c r="J58" s="1264" t="s">
        <v>682</v>
      </c>
      <c r="K58" s="1783"/>
      <c r="L58" s="1264"/>
      <c r="M58" s="1783"/>
      <c r="N58" s="1264"/>
      <c r="O58" s="1783"/>
      <c r="P58" s="1264"/>
      <c r="Q58" s="1783"/>
      <c r="R58" s="1264"/>
      <c r="S58" s="1783"/>
    </row>
    <row r="59" spans="1:19">
      <c r="A59" s="1589"/>
      <c r="B59" s="1432" t="s">
        <v>2086</v>
      </c>
      <c r="C59" s="23"/>
      <c r="D59" s="503"/>
      <c r="E59" s="86"/>
      <c r="F59" s="431"/>
      <c r="G59" s="1751"/>
      <c r="H59" s="1264" t="s">
        <v>682</v>
      </c>
      <c r="I59" s="1783"/>
      <c r="J59" s="1264" t="s">
        <v>682</v>
      </c>
      <c r="K59" s="1783"/>
      <c r="L59" s="1264"/>
      <c r="M59" s="1783"/>
      <c r="N59" s="1264"/>
      <c r="O59" s="1783"/>
      <c r="P59" s="1264"/>
      <c r="Q59" s="1783"/>
      <c r="R59" s="1264"/>
      <c r="S59" s="1783"/>
    </row>
    <row r="60" spans="1:19">
      <c r="A60" s="1589"/>
      <c r="B60" s="1432"/>
      <c r="C60" s="23"/>
      <c r="D60" s="503"/>
      <c r="E60" s="86"/>
      <c r="F60" s="431"/>
      <c r="G60" s="1751"/>
      <c r="H60" s="1264"/>
      <c r="I60" s="1783"/>
      <c r="J60" s="1264"/>
      <c r="K60" s="1783"/>
      <c r="L60" s="1264"/>
      <c r="M60" s="1783"/>
      <c r="N60" s="1264"/>
      <c r="O60" s="1783"/>
      <c r="P60" s="1264"/>
      <c r="Q60" s="1783"/>
      <c r="R60" s="1264"/>
      <c r="S60" s="1783"/>
    </row>
    <row r="61" spans="1:19" s="267" customFormat="1" ht="25.5">
      <c r="A61" s="1589"/>
      <c r="B61" s="1864" t="s">
        <v>2087</v>
      </c>
      <c r="C61" s="517"/>
      <c r="D61" s="518"/>
      <c r="E61" s="390"/>
      <c r="F61" s="463"/>
      <c r="G61" s="1865"/>
      <c r="H61" s="1866"/>
      <c r="I61" s="1867"/>
      <c r="J61" s="1866" t="s">
        <v>682</v>
      </c>
      <c r="K61" s="1868"/>
      <c r="L61" s="1866"/>
      <c r="M61" s="1868"/>
      <c r="N61" s="1866"/>
      <c r="O61" s="1868"/>
      <c r="P61" s="1866"/>
      <c r="Q61" s="1868"/>
      <c r="R61" s="1866"/>
      <c r="S61" s="1868"/>
    </row>
    <row r="62" spans="1:19">
      <c r="A62" s="1589"/>
      <c r="B62" s="1163" t="s">
        <v>2088</v>
      </c>
      <c r="C62" s="23"/>
      <c r="D62" s="503"/>
      <c r="E62" s="86"/>
      <c r="F62" s="431"/>
      <c r="G62" s="1751"/>
      <c r="H62" s="1264" t="s">
        <v>682</v>
      </c>
      <c r="I62" s="1783"/>
      <c r="J62" s="1264" t="s">
        <v>682</v>
      </c>
      <c r="K62" s="1783"/>
      <c r="L62" s="1264"/>
      <c r="M62" s="1783"/>
      <c r="N62" s="1264"/>
      <c r="O62" s="1783"/>
      <c r="P62" s="1264"/>
      <c r="Q62" s="1783"/>
      <c r="R62" s="1264"/>
      <c r="S62" s="1783"/>
    </row>
    <row r="63" spans="1:19">
      <c r="A63" s="1589"/>
      <c r="B63" s="1163" t="s">
        <v>2089</v>
      </c>
      <c r="C63" s="23"/>
      <c r="D63" s="503"/>
      <c r="E63" s="86"/>
      <c r="F63" s="431"/>
      <c r="G63" s="1751"/>
      <c r="H63" s="1264"/>
      <c r="I63" s="1783"/>
      <c r="J63" s="1264"/>
      <c r="K63" s="1783"/>
      <c r="L63" s="1264"/>
      <c r="M63" s="1783"/>
      <c r="N63" s="1264"/>
      <c r="O63" s="1783"/>
      <c r="P63" s="1264"/>
      <c r="Q63" s="1783"/>
      <c r="R63" s="1264"/>
      <c r="S63" s="1783"/>
    </row>
    <row r="64" spans="1:19">
      <c r="A64" s="1589"/>
      <c r="B64" s="1163" t="s">
        <v>2090</v>
      </c>
      <c r="C64" s="23"/>
      <c r="D64" s="503"/>
      <c r="E64" s="86"/>
      <c r="F64" s="431"/>
      <c r="G64" s="1751"/>
      <c r="H64" s="1264" t="s">
        <v>682</v>
      </c>
      <c r="I64" s="1783"/>
      <c r="J64" s="1264" t="s">
        <v>682</v>
      </c>
      <c r="K64" s="1783"/>
      <c r="L64" s="1264"/>
      <c r="M64" s="1783"/>
      <c r="N64" s="1264"/>
      <c r="O64" s="1783"/>
      <c r="P64" s="1264"/>
      <c r="Q64" s="1783"/>
      <c r="R64" s="1264"/>
      <c r="S64" s="1783"/>
    </row>
    <row r="65" spans="1:19">
      <c r="A65" s="1589"/>
      <c r="B65" s="1163" t="s">
        <v>2091</v>
      </c>
      <c r="C65" s="23"/>
      <c r="D65" s="503"/>
      <c r="E65" s="86"/>
      <c r="F65" s="431"/>
      <c r="G65" s="1751"/>
      <c r="H65" s="1264"/>
      <c r="I65" s="1855"/>
      <c r="J65" s="1264" t="s">
        <v>682</v>
      </c>
      <c r="K65" s="1783"/>
      <c r="L65" s="1264"/>
      <c r="M65" s="1783"/>
      <c r="N65" s="1264"/>
      <c r="O65" s="1783"/>
      <c r="P65" s="1264"/>
      <c r="Q65" s="1783"/>
      <c r="R65" s="1264"/>
      <c r="S65" s="1783"/>
    </row>
    <row r="66" spans="1:19">
      <c r="A66" s="1589"/>
      <c r="B66" s="1163" t="s">
        <v>2092</v>
      </c>
      <c r="C66" s="23"/>
      <c r="D66" s="503"/>
      <c r="E66" s="86"/>
      <c r="F66" s="431"/>
      <c r="G66" s="1751"/>
      <c r="H66" s="1264" t="s">
        <v>682</v>
      </c>
      <c r="I66" s="1783"/>
      <c r="J66" s="1264" t="s">
        <v>682</v>
      </c>
      <c r="K66" s="1783"/>
      <c r="L66" s="1264"/>
      <c r="M66" s="1783"/>
      <c r="N66" s="1264"/>
      <c r="O66" s="1783"/>
      <c r="P66" s="1264"/>
      <c r="Q66" s="1783"/>
      <c r="R66" s="1264"/>
      <c r="S66" s="1783"/>
    </row>
    <row r="67" spans="1:19">
      <c r="A67" s="1589"/>
      <c r="B67" s="1163" t="s">
        <v>2093</v>
      </c>
      <c r="C67" s="23"/>
      <c r="D67" s="503"/>
      <c r="E67" s="86"/>
      <c r="F67" s="431"/>
      <c r="G67" s="1751"/>
      <c r="H67" s="1264"/>
      <c r="I67" s="1855"/>
      <c r="J67" s="1264" t="s">
        <v>682</v>
      </c>
      <c r="K67" s="1783"/>
      <c r="L67" s="1264"/>
      <c r="M67" s="1783"/>
      <c r="N67" s="1264"/>
      <c r="O67" s="1783"/>
      <c r="P67" s="1264"/>
      <c r="Q67" s="1783"/>
      <c r="R67" s="1264"/>
      <c r="S67" s="1783"/>
    </row>
    <row r="68" spans="1:19" ht="25.5">
      <c r="A68" s="1589"/>
      <c r="B68" s="1163" t="s">
        <v>2094</v>
      </c>
      <c r="C68" s="23"/>
      <c r="D68" s="503"/>
      <c r="E68" s="86"/>
      <c r="F68" s="431"/>
      <c r="G68" s="1751"/>
      <c r="H68" s="1264" t="s">
        <v>682</v>
      </c>
      <c r="I68" s="1783"/>
      <c r="J68" s="1264" t="s">
        <v>682</v>
      </c>
      <c r="K68" s="1783"/>
      <c r="L68" s="1264"/>
      <c r="M68" s="1783"/>
      <c r="N68" s="1264"/>
      <c r="O68" s="1783"/>
      <c r="P68" s="1264"/>
      <c r="Q68" s="1783"/>
      <c r="R68" s="1264"/>
      <c r="S68" s="1783"/>
    </row>
    <row r="69" spans="1:19">
      <c r="A69" s="1589"/>
      <c r="B69" s="1163"/>
      <c r="C69" s="23"/>
      <c r="D69" s="503"/>
      <c r="E69" s="86"/>
      <c r="F69" s="431"/>
      <c r="G69" s="1751"/>
      <c r="H69" s="1264"/>
      <c r="I69" s="1783"/>
      <c r="J69" s="1264"/>
      <c r="K69" s="1783"/>
      <c r="L69" s="1264"/>
      <c r="M69" s="1783"/>
      <c r="N69" s="1264"/>
      <c r="O69" s="1783"/>
      <c r="P69" s="1264"/>
      <c r="Q69" s="1783"/>
      <c r="R69" s="1264"/>
      <c r="S69" s="1783"/>
    </row>
    <row r="70" spans="1:19">
      <c r="A70" s="1589"/>
      <c r="B70" s="1163" t="s">
        <v>2095</v>
      </c>
      <c r="C70" s="23"/>
      <c r="D70" s="524">
        <v>1</v>
      </c>
      <c r="E70" s="86" t="s">
        <v>468</v>
      </c>
      <c r="F70" s="431">
        <v>2500</v>
      </c>
      <c r="G70" s="1751">
        <f>F70</f>
        <v>2500</v>
      </c>
      <c r="H70" s="1264"/>
      <c r="I70" s="1855">
        <f>$G70</f>
        <v>2500</v>
      </c>
      <c r="J70" s="1264"/>
      <c r="K70" s="1855">
        <f>$G70</f>
        <v>2500</v>
      </c>
      <c r="L70" s="1264"/>
      <c r="M70" s="1855">
        <f>$G70</f>
        <v>2500</v>
      </c>
      <c r="N70" s="1264"/>
      <c r="O70" s="1783"/>
      <c r="P70" s="1264"/>
      <c r="Q70" s="1783"/>
      <c r="R70" s="1264"/>
      <c r="S70" s="1783"/>
    </row>
    <row r="71" spans="1:19">
      <c r="A71" s="1589"/>
      <c r="B71" s="1163" t="s">
        <v>2096</v>
      </c>
      <c r="C71" s="23"/>
      <c r="D71" s="524">
        <v>1</v>
      </c>
      <c r="E71" s="86" t="s">
        <v>468</v>
      </c>
      <c r="F71" s="431">
        <v>4500</v>
      </c>
      <c r="G71" s="1751">
        <f t="shared" ref="G71:G75" si="0">F71</f>
        <v>4500</v>
      </c>
      <c r="H71" s="1264"/>
      <c r="I71" s="1855">
        <f t="shared" ref="I71:M75" si="1">$G71</f>
        <v>4500</v>
      </c>
      <c r="J71" s="1264"/>
      <c r="K71" s="1855">
        <f t="shared" si="1"/>
        <v>4500</v>
      </c>
      <c r="L71" s="1264"/>
      <c r="M71" s="1855">
        <f t="shared" si="1"/>
        <v>4500</v>
      </c>
      <c r="N71" s="1264"/>
      <c r="O71" s="1783"/>
      <c r="P71" s="1264"/>
      <c r="Q71" s="1783"/>
      <c r="R71" s="1264"/>
      <c r="S71" s="1783"/>
    </row>
    <row r="72" spans="1:19">
      <c r="A72" s="1589"/>
      <c r="B72" s="1163" t="s">
        <v>2097</v>
      </c>
      <c r="C72" s="23"/>
      <c r="D72" s="524">
        <v>2</v>
      </c>
      <c r="E72" s="86" t="s">
        <v>800</v>
      </c>
      <c r="F72" s="431">
        <v>3500</v>
      </c>
      <c r="G72" s="1751">
        <f t="shared" si="0"/>
        <v>3500</v>
      </c>
      <c r="H72" s="1264"/>
      <c r="I72" s="1855">
        <f t="shared" si="1"/>
        <v>3500</v>
      </c>
      <c r="J72" s="1264"/>
      <c r="K72" s="1855">
        <f t="shared" si="1"/>
        <v>3500</v>
      </c>
      <c r="L72" s="1264"/>
      <c r="M72" s="1855">
        <f t="shared" si="1"/>
        <v>3500</v>
      </c>
      <c r="N72" s="1264"/>
      <c r="O72" s="1783"/>
      <c r="P72" s="1264"/>
      <c r="Q72" s="1783"/>
      <c r="R72" s="1264"/>
      <c r="S72" s="1783"/>
    </row>
    <row r="73" spans="1:19">
      <c r="A73" s="1589"/>
      <c r="B73" s="1163" t="s">
        <v>2098</v>
      </c>
      <c r="C73" s="23"/>
      <c r="D73" s="524">
        <v>1</v>
      </c>
      <c r="E73" s="86" t="s">
        <v>462</v>
      </c>
      <c r="F73" s="431">
        <v>25000</v>
      </c>
      <c r="G73" s="1751">
        <f t="shared" si="0"/>
        <v>25000</v>
      </c>
      <c r="H73" s="1264"/>
      <c r="I73" s="1855">
        <f t="shared" si="1"/>
        <v>25000</v>
      </c>
      <c r="J73" s="1264"/>
      <c r="K73" s="1855">
        <f t="shared" si="1"/>
        <v>25000</v>
      </c>
      <c r="L73" s="1264"/>
      <c r="M73" s="1855">
        <f t="shared" si="1"/>
        <v>25000</v>
      </c>
      <c r="N73" s="1264"/>
      <c r="O73" s="1783"/>
      <c r="P73" s="1264"/>
      <c r="Q73" s="1783"/>
      <c r="R73" s="1264"/>
      <c r="S73" s="1783"/>
    </row>
    <row r="74" spans="1:19">
      <c r="A74" s="1589"/>
      <c r="B74" s="1163" t="s">
        <v>2099</v>
      </c>
      <c r="C74" s="23"/>
      <c r="D74" s="524">
        <v>1</v>
      </c>
      <c r="E74" s="86" t="s">
        <v>462</v>
      </c>
      <c r="F74" s="431">
        <v>15000</v>
      </c>
      <c r="G74" s="1751">
        <f t="shared" si="0"/>
        <v>15000</v>
      </c>
      <c r="H74" s="1264"/>
      <c r="I74" s="1855">
        <f t="shared" si="1"/>
        <v>15000</v>
      </c>
      <c r="J74" s="1264"/>
      <c r="K74" s="1855">
        <f t="shared" si="1"/>
        <v>15000</v>
      </c>
      <c r="L74" s="1264"/>
      <c r="M74" s="1855">
        <f t="shared" si="1"/>
        <v>15000</v>
      </c>
      <c r="N74" s="1264"/>
      <c r="O74" s="1783"/>
      <c r="P74" s="1264"/>
      <c r="Q74" s="1783"/>
      <c r="R74" s="1264"/>
      <c r="S74" s="1783"/>
    </row>
    <row r="75" spans="1:19">
      <c r="A75" s="1589"/>
      <c r="B75" s="1163" t="s">
        <v>2100</v>
      </c>
      <c r="C75" s="23"/>
      <c r="D75" s="524">
        <v>1</v>
      </c>
      <c r="E75" s="86" t="s">
        <v>468</v>
      </c>
      <c r="F75" s="431">
        <v>5000</v>
      </c>
      <c r="G75" s="1751">
        <f t="shared" si="0"/>
        <v>5000</v>
      </c>
      <c r="H75" s="1264"/>
      <c r="I75" s="1855">
        <f t="shared" si="1"/>
        <v>5000</v>
      </c>
      <c r="J75" s="1264"/>
      <c r="K75" s="1855">
        <f t="shared" si="1"/>
        <v>5000</v>
      </c>
      <c r="L75" s="1264"/>
      <c r="M75" s="1855">
        <f t="shared" si="1"/>
        <v>5000</v>
      </c>
      <c r="N75" s="1264"/>
      <c r="O75" s="1783"/>
      <c r="P75" s="1264"/>
      <c r="Q75" s="1783"/>
      <c r="R75" s="1264"/>
      <c r="S75" s="1783"/>
    </row>
    <row r="76" spans="1:19">
      <c r="A76" s="1589"/>
      <c r="B76" s="1163"/>
      <c r="C76" s="23"/>
      <c r="D76" s="503"/>
      <c r="E76" s="86"/>
      <c r="F76" s="431"/>
      <c r="G76" s="1751"/>
      <c r="H76" s="1264"/>
      <c r="I76" s="1783"/>
      <c r="J76" s="1264"/>
      <c r="K76" s="1783"/>
      <c r="L76" s="1264"/>
      <c r="M76" s="1783"/>
      <c r="N76" s="1264"/>
      <c r="O76" s="1783"/>
      <c r="P76" s="1264"/>
      <c r="Q76" s="1783"/>
      <c r="R76" s="1264"/>
      <c r="S76" s="1783"/>
    </row>
    <row r="77" spans="1:19">
      <c r="A77" s="1589"/>
      <c r="B77" s="1163"/>
      <c r="C77" s="23"/>
      <c r="D77" s="503"/>
      <c r="E77" s="86"/>
      <c r="F77" s="431"/>
      <c r="G77" s="1751"/>
      <c r="H77" s="1264"/>
      <c r="I77" s="1783"/>
      <c r="J77" s="1264"/>
      <c r="K77" s="1783"/>
      <c r="L77" s="1264"/>
      <c r="M77" s="1783"/>
      <c r="N77" s="1264"/>
      <c r="O77" s="1783"/>
      <c r="P77" s="1264"/>
      <c r="Q77" s="1783"/>
      <c r="R77" s="1264"/>
      <c r="S77" s="1783"/>
    </row>
    <row r="78" spans="1:19">
      <c r="A78" s="1589"/>
      <c r="B78" s="1163"/>
      <c r="C78" s="23"/>
      <c r="D78" s="503"/>
      <c r="E78" s="86"/>
      <c r="F78" s="431"/>
      <c r="G78" s="1751"/>
      <c r="H78" s="1264"/>
      <c r="I78" s="1783"/>
      <c r="J78" s="1264"/>
      <c r="K78" s="1783"/>
      <c r="L78" s="1264"/>
      <c r="M78" s="1783"/>
      <c r="N78" s="1264"/>
      <c r="O78" s="1783"/>
      <c r="P78" s="1264"/>
      <c r="Q78" s="1783"/>
      <c r="R78" s="1264"/>
      <c r="S78" s="1783"/>
    </row>
    <row r="79" spans="1:19">
      <c r="A79" s="1589"/>
      <c r="B79" s="1163"/>
      <c r="C79" s="23"/>
      <c r="D79" s="503"/>
      <c r="E79" s="86"/>
      <c r="F79" s="431"/>
      <c r="G79" s="830"/>
      <c r="H79" s="1264"/>
      <c r="I79" s="1783"/>
      <c r="J79" s="1264"/>
      <c r="K79" s="1783"/>
      <c r="L79" s="1264"/>
      <c r="M79" s="1783"/>
      <c r="N79" s="1264"/>
      <c r="O79" s="1783"/>
      <c r="P79" s="1264"/>
      <c r="Q79" s="1783"/>
      <c r="R79" s="1264"/>
      <c r="S79" s="1783"/>
    </row>
    <row r="80" spans="1:19">
      <c r="A80" s="1589"/>
      <c r="B80" s="1163"/>
      <c r="C80" s="23"/>
      <c r="D80" s="503"/>
      <c r="E80" s="86"/>
      <c r="F80" s="431"/>
      <c r="G80" s="830"/>
      <c r="H80" s="1264"/>
      <c r="I80" s="1783"/>
      <c r="J80" s="1264"/>
      <c r="K80" s="1783"/>
      <c r="L80" s="1264"/>
      <c r="M80" s="1783"/>
      <c r="N80" s="1264"/>
      <c r="O80" s="1783"/>
      <c r="P80" s="1264"/>
      <c r="Q80" s="1783"/>
      <c r="R80" s="1264"/>
      <c r="S80" s="1783"/>
    </row>
    <row r="81" spans="1:34">
      <c r="A81" s="296"/>
      <c r="B81" s="301"/>
      <c r="C81" s="297"/>
      <c r="D81" s="505"/>
      <c r="E81" s="16"/>
      <c r="F81" s="282" t="s">
        <v>753</v>
      </c>
      <c r="G81" s="272"/>
      <c r="H81" s="273"/>
      <c r="I81" s="273">
        <f>SUM(I12:I80)</f>
        <v>1133900</v>
      </c>
      <c r="J81" s="273"/>
      <c r="K81" s="273">
        <f>SUM(K12:K80)</f>
        <v>684200</v>
      </c>
      <c r="L81" s="273"/>
      <c r="M81" s="273">
        <f>SUM(M12:M80)</f>
        <v>55500</v>
      </c>
      <c r="N81" s="273"/>
      <c r="O81" s="273">
        <f>SUM(O12:O80)</f>
        <v>0</v>
      </c>
      <c r="P81" s="273"/>
      <c r="Q81" s="273">
        <f>SUM(Q12:Q80)</f>
        <v>0</v>
      </c>
      <c r="R81" s="273"/>
      <c r="S81" s="273">
        <f>SUM(S12:S80)</f>
        <v>0</v>
      </c>
    </row>
    <row r="82" spans="1:34">
      <c r="A82" s="1114"/>
      <c r="B82" s="1164"/>
      <c r="C82" s="432"/>
      <c r="D82" s="506"/>
      <c r="E82" s="434"/>
      <c r="F82" s="435" t="s">
        <v>754</v>
      </c>
      <c r="G82" s="436"/>
      <c r="H82" s="1165">
        <v>0</v>
      </c>
      <c r="I82" s="1166"/>
      <c r="J82" s="1165">
        <v>0</v>
      </c>
      <c r="K82" s="1166"/>
      <c r="L82" s="1165">
        <v>0</v>
      </c>
      <c r="M82" s="1166"/>
      <c r="N82" s="1165">
        <v>0</v>
      </c>
      <c r="O82" s="1166"/>
      <c r="P82" s="1165">
        <v>0</v>
      </c>
      <c r="Q82" s="1166"/>
      <c r="R82" s="1165">
        <v>0</v>
      </c>
      <c r="S82" s="1166"/>
    </row>
    <row r="83" spans="1:34">
      <c r="A83" s="1114"/>
      <c r="B83" s="1164"/>
      <c r="C83" s="432"/>
      <c r="D83" s="506"/>
      <c r="E83" s="434"/>
      <c r="F83" s="435" t="s">
        <v>755</v>
      </c>
      <c r="G83" s="436"/>
      <c r="H83" s="1166"/>
      <c r="I83" s="1166">
        <f>H82*I81</f>
        <v>0</v>
      </c>
      <c r="J83" s="1166"/>
      <c r="K83" s="1166">
        <f>J82*K81</f>
        <v>0</v>
      </c>
      <c r="L83" s="1166"/>
      <c r="M83" s="1166">
        <f>L82*M81</f>
        <v>0</v>
      </c>
      <c r="N83" s="1166"/>
      <c r="O83" s="1166">
        <f>N82*O81</f>
        <v>0</v>
      </c>
      <c r="P83" s="1166"/>
      <c r="Q83" s="1166">
        <f>P82*Q81</f>
        <v>0</v>
      </c>
      <c r="R83" s="1166"/>
      <c r="S83" s="1166">
        <f>R82*S81</f>
        <v>0</v>
      </c>
    </row>
    <row r="84" spans="1:34">
      <c r="A84" s="1114"/>
      <c r="B84" s="1164"/>
      <c r="C84" s="432"/>
      <c r="D84" s="506"/>
      <c r="E84" s="434"/>
      <c r="F84" s="435"/>
      <c r="G84" s="436"/>
      <c r="H84" s="1166"/>
      <c r="I84" s="1166"/>
      <c r="J84" s="1166"/>
      <c r="K84" s="1166"/>
      <c r="L84" s="1166"/>
      <c r="M84" s="1166"/>
      <c r="N84" s="1166"/>
      <c r="O84" s="1166"/>
      <c r="P84" s="1166"/>
      <c r="Q84" s="1166"/>
      <c r="R84" s="1166"/>
      <c r="S84" s="1166"/>
    </row>
    <row r="85" spans="1:34">
      <c r="A85" s="1114"/>
      <c r="B85" s="1164"/>
      <c r="C85" s="432"/>
      <c r="D85" s="506"/>
      <c r="E85" s="434"/>
      <c r="F85" s="435" t="s">
        <v>756</v>
      </c>
      <c r="G85" s="436"/>
      <c r="H85" s="1166"/>
      <c r="I85" s="1166">
        <f>SUM(I81:I83)</f>
        <v>1133900</v>
      </c>
      <c r="J85" s="1166"/>
      <c r="K85" s="1166">
        <f>SUM(K81:K83)</f>
        <v>684200</v>
      </c>
      <c r="L85" s="1166"/>
      <c r="M85" s="1166">
        <f>SUM(M81:M83)</f>
        <v>55500</v>
      </c>
      <c r="N85" s="1166"/>
      <c r="O85" s="1166">
        <f>SUM(O81:O83)</f>
        <v>0</v>
      </c>
      <c r="P85" s="1166"/>
      <c r="Q85" s="1166">
        <f>SUM(Q81:Q83)</f>
        <v>0</v>
      </c>
      <c r="R85" s="1166"/>
      <c r="S85" s="1166">
        <f>SUM(S81:S83)</f>
        <v>0</v>
      </c>
    </row>
    <row r="86" spans="1:34">
      <c r="A86" s="1114"/>
      <c r="B86" s="1164"/>
      <c r="C86" s="432"/>
      <c r="D86" s="506"/>
      <c r="E86" s="434"/>
      <c r="F86" s="437" t="s">
        <v>757</v>
      </c>
      <c r="G86" s="438"/>
      <c r="H86" s="1167"/>
      <c r="I86" s="1167">
        <f>I85/'Area Calculations'!$G$4</f>
        <v>1.9595170245894415</v>
      </c>
      <c r="J86" s="1167"/>
      <c r="K86" s="1167">
        <f>K85/'Area Calculations'!$G$4</f>
        <v>1.1823807639334121</v>
      </c>
      <c r="L86" s="1167"/>
      <c r="M86" s="1167">
        <f>M85/'Area Calculations'!$G$4</f>
        <v>9.5910745978229128E-2</v>
      </c>
      <c r="N86" s="1167"/>
      <c r="O86" s="1167">
        <f>O85/'Area Calculations'!$G$4</f>
        <v>0</v>
      </c>
      <c r="P86" s="1167"/>
      <c r="Q86" s="1167">
        <f>Q85/'Area Calculations'!$G$4</f>
        <v>0</v>
      </c>
      <c r="R86" s="1167"/>
      <c r="S86" s="1167">
        <f>S85/'Area Calculations'!$G$4</f>
        <v>0</v>
      </c>
    </row>
    <row r="87" spans="1:34">
      <c r="A87" s="1114"/>
      <c r="B87" s="1164"/>
      <c r="C87" s="432"/>
      <c r="D87" s="506"/>
      <c r="E87" s="434"/>
      <c r="F87" s="437" t="s">
        <v>758</v>
      </c>
      <c r="G87" s="438"/>
      <c r="H87" s="1167"/>
      <c r="I87" s="1167">
        <f>I85/'Area Calculations'!$G$9</f>
        <v>10597.196261682244</v>
      </c>
      <c r="J87" s="1167"/>
      <c r="K87" s="1167">
        <f>K85/'Area Calculations'!$G$9</f>
        <v>6394.3925233644859</v>
      </c>
      <c r="L87" s="1167"/>
      <c r="M87" s="1167">
        <f>M85/'Area Calculations'!$G$9</f>
        <v>518.69158878504675</v>
      </c>
      <c r="N87" s="1167"/>
      <c r="O87" s="1167">
        <f>O85/'Area Calculations'!$G$9</f>
        <v>0</v>
      </c>
      <c r="P87" s="1167"/>
      <c r="Q87" s="1167">
        <f>Q85/'Area Calculations'!$G$9</f>
        <v>0</v>
      </c>
      <c r="R87" s="1167"/>
      <c r="S87" s="1167">
        <f>S85/'Area Calculations'!$G$9</f>
        <v>0</v>
      </c>
    </row>
    <row r="88" spans="1:34">
      <c r="A88" s="1114"/>
      <c r="B88" s="1164"/>
      <c r="C88" s="432"/>
      <c r="D88" s="506"/>
      <c r="E88" s="434"/>
      <c r="F88" s="439"/>
      <c r="G88" s="436"/>
      <c r="H88" s="1168"/>
      <c r="I88" s="1168"/>
      <c r="J88" s="1168"/>
      <c r="K88" s="1168"/>
      <c r="L88" s="1168"/>
      <c r="M88" s="1168"/>
      <c r="N88" s="1168"/>
      <c r="O88" s="1168"/>
      <c r="P88" s="1168"/>
      <c r="Q88" s="1168"/>
      <c r="R88" s="1168"/>
      <c r="S88" s="1168"/>
    </row>
    <row r="89" spans="1:34">
      <c r="A89" s="2331" t="s">
        <v>759</v>
      </c>
      <c r="B89" s="2332"/>
      <c r="C89" s="298"/>
      <c r="D89" s="507"/>
      <c r="E89" s="12"/>
      <c r="F89" s="12"/>
      <c r="G89" s="26"/>
      <c r="H89" s="20"/>
      <c r="I89" s="20"/>
      <c r="J89" s="24"/>
      <c r="K89" s="20"/>
      <c r="L89" s="20"/>
      <c r="M89" s="20"/>
      <c r="N89" s="20"/>
      <c r="O89" s="20"/>
      <c r="P89" s="20"/>
      <c r="Q89" s="20"/>
      <c r="R89" s="20"/>
      <c r="S89" s="20"/>
    </row>
    <row r="90" spans="1:34">
      <c r="A90" s="1580"/>
      <c r="B90" s="1105"/>
      <c r="C90" s="927"/>
      <c r="D90" s="1856"/>
      <c r="E90" s="1740"/>
      <c r="F90" s="1740"/>
      <c r="G90" s="1722"/>
      <c r="H90" s="1582"/>
      <c r="I90" s="1582"/>
      <c r="J90" s="1775"/>
      <c r="K90" s="1582"/>
      <c r="L90" s="1582"/>
      <c r="M90" s="1582"/>
      <c r="N90" s="1582"/>
      <c r="O90" s="1582"/>
      <c r="P90" s="1582"/>
      <c r="Q90" s="1582"/>
      <c r="R90" s="1582"/>
      <c r="S90" s="1582"/>
    </row>
    <row r="91" spans="1:34">
      <c r="A91" s="1580"/>
      <c r="B91" s="1105"/>
      <c r="C91" s="927"/>
      <c r="D91" s="1856"/>
      <c r="E91" s="1740"/>
      <c r="F91" s="1740"/>
      <c r="G91" s="1722"/>
      <c r="H91" s="1582"/>
      <c r="I91" s="1582"/>
      <c r="J91" s="1775"/>
      <c r="K91" s="1582"/>
      <c r="L91" s="1582"/>
      <c r="M91" s="1582"/>
      <c r="N91" s="1582"/>
      <c r="O91" s="1582"/>
      <c r="P91" s="1582"/>
      <c r="Q91" s="1582"/>
      <c r="R91" s="1582"/>
      <c r="S91" s="1582"/>
    </row>
    <row r="92" spans="1:34">
      <c r="A92" s="1580"/>
      <c r="B92" s="1105"/>
      <c r="C92" s="927"/>
      <c r="D92" s="1856"/>
      <c r="E92" s="1740"/>
      <c r="F92" s="1740"/>
      <c r="G92" s="1722"/>
      <c r="H92" s="1582"/>
      <c r="I92" s="1582"/>
      <c r="J92" s="1775"/>
      <c r="K92" s="1582"/>
      <c r="L92" s="1582"/>
      <c r="M92" s="1582"/>
      <c r="N92" s="1582"/>
      <c r="O92" s="1582"/>
      <c r="P92" s="1582"/>
      <c r="Q92" s="1582"/>
      <c r="R92" s="1582"/>
      <c r="S92" s="1582"/>
    </row>
    <row r="93" spans="1:34" s="2" customFormat="1">
      <c r="A93" s="2331" t="s">
        <v>760</v>
      </c>
      <c r="B93" s="2332"/>
      <c r="C93" s="298"/>
      <c r="D93" s="507"/>
      <c r="E93" s="12"/>
      <c r="F93" s="12"/>
      <c r="G93" s="26"/>
      <c r="H93" s="20"/>
      <c r="I93" s="20"/>
      <c r="J93" s="24"/>
      <c r="K93" s="20"/>
      <c r="L93" s="20"/>
      <c r="M93" s="20"/>
      <c r="N93" s="20"/>
      <c r="O93" s="20"/>
      <c r="P93" s="20"/>
      <c r="Q93" s="20"/>
      <c r="R93" s="20"/>
      <c r="S93" s="20"/>
      <c r="T93"/>
      <c r="U93"/>
      <c r="V93"/>
      <c r="W93"/>
      <c r="X93"/>
      <c r="Y93"/>
      <c r="Z93"/>
      <c r="AA93"/>
      <c r="AB93"/>
      <c r="AC93"/>
      <c r="AD93"/>
      <c r="AE93"/>
      <c r="AF93"/>
      <c r="AG93"/>
      <c r="AH93"/>
    </row>
    <row r="94" spans="1:34" s="2" customFormat="1">
      <c r="A94" s="1580"/>
      <c r="B94" s="1105"/>
      <c r="C94" s="927"/>
      <c r="D94" s="1856"/>
      <c r="E94" s="1740"/>
      <c r="F94" s="1740"/>
      <c r="G94" s="1722"/>
      <c r="H94" s="1582"/>
      <c r="I94" s="1582"/>
      <c r="J94" s="1775"/>
      <c r="K94" s="1582"/>
      <c r="L94" s="1582"/>
      <c r="M94" s="1582"/>
      <c r="N94" s="1582"/>
      <c r="O94" s="1582"/>
      <c r="P94" s="1582"/>
      <c r="Q94" s="1582"/>
      <c r="R94" s="1582"/>
      <c r="S94" s="1582"/>
      <c r="T94"/>
      <c r="U94"/>
      <c r="V94"/>
      <c r="W94"/>
      <c r="X94"/>
      <c r="Y94"/>
      <c r="Z94"/>
      <c r="AA94"/>
      <c r="AB94"/>
      <c r="AC94"/>
      <c r="AD94"/>
      <c r="AE94"/>
      <c r="AF94"/>
      <c r="AG94"/>
      <c r="AH94"/>
    </row>
    <row r="95" spans="1:34" s="2" customFormat="1">
      <c r="A95" s="1580"/>
      <c r="B95" s="1105"/>
      <c r="C95" s="927"/>
      <c r="D95" s="1856"/>
      <c r="E95" s="1740"/>
      <c r="F95" s="1740"/>
      <c r="G95" s="1722"/>
      <c r="H95" s="1582"/>
      <c r="I95" s="1582"/>
      <c r="J95" s="1775"/>
      <c r="K95" s="1582"/>
      <c r="L95" s="1582"/>
      <c r="M95" s="1582"/>
      <c r="N95" s="1582"/>
      <c r="O95" s="1582"/>
      <c r="P95" s="1582"/>
      <c r="Q95" s="1582"/>
      <c r="R95" s="1582"/>
      <c r="S95" s="1582"/>
      <c r="T95"/>
      <c r="U95"/>
      <c r="V95"/>
      <c r="W95"/>
      <c r="X95"/>
      <c r="Y95"/>
      <c r="Z95"/>
      <c r="AA95"/>
      <c r="AB95"/>
      <c r="AC95"/>
      <c r="AD95"/>
      <c r="AE95"/>
      <c r="AF95"/>
      <c r="AG95"/>
      <c r="AH95"/>
    </row>
    <row r="96" spans="1:34">
      <c r="A96" s="1580"/>
      <c r="B96" s="1105"/>
      <c r="C96" s="927"/>
      <c r="D96" s="1856"/>
      <c r="E96" s="1740"/>
      <c r="F96" s="1740"/>
      <c r="G96" s="1722"/>
      <c r="H96" s="1582"/>
      <c r="I96" s="1582"/>
      <c r="J96" s="1775"/>
      <c r="K96" s="1582"/>
      <c r="L96" s="1582"/>
      <c r="M96" s="1582"/>
      <c r="N96" s="1582"/>
      <c r="O96" s="1582"/>
      <c r="P96" s="1582"/>
      <c r="Q96" s="1582"/>
      <c r="R96" s="1582"/>
      <c r="S96" s="1582"/>
    </row>
    <row r="97" spans="1:34" s="2" customFormat="1">
      <c r="A97" s="2331" t="s">
        <v>761</v>
      </c>
      <c r="B97" s="2332"/>
      <c r="C97" s="298"/>
      <c r="D97" s="507"/>
      <c r="E97" s="12"/>
      <c r="F97" s="12"/>
      <c r="G97" s="26"/>
      <c r="H97" s="20"/>
      <c r="I97" s="20"/>
      <c r="J97" s="24"/>
      <c r="K97" s="20"/>
      <c r="L97" s="20"/>
      <c r="M97" s="20"/>
      <c r="N97" s="20"/>
      <c r="O97" s="20"/>
      <c r="P97" s="20"/>
      <c r="Q97" s="20"/>
      <c r="R97" s="20"/>
      <c r="S97" s="20"/>
      <c r="T97"/>
      <c r="U97"/>
      <c r="V97"/>
      <c r="W97"/>
      <c r="X97"/>
      <c r="Y97"/>
      <c r="Z97"/>
      <c r="AA97"/>
      <c r="AB97"/>
      <c r="AC97"/>
      <c r="AD97"/>
      <c r="AE97"/>
      <c r="AF97"/>
      <c r="AG97"/>
      <c r="AH97"/>
    </row>
    <row r="98" spans="1:34" s="2" customFormat="1">
      <c r="A98" s="1580"/>
      <c r="B98" s="1105"/>
      <c r="C98" s="927"/>
      <c r="D98" s="1856"/>
      <c r="E98" s="1740"/>
      <c r="F98" s="1740"/>
      <c r="G98" s="1722"/>
      <c r="H98" s="1582"/>
      <c r="I98" s="1582"/>
      <c r="J98" s="1775"/>
      <c r="K98" s="1582"/>
      <c r="L98" s="1582"/>
      <c r="M98" s="1582"/>
      <c r="N98" s="1582"/>
      <c r="O98" s="1582"/>
      <c r="P98" s="1582"/>
      <c r="Q98" s="1582"/>
      <c r="R98" s="1582"/>
      <c r="S98" s="1582"/>
      <c r="T98"/>
      <c r="U98"/>
      <c r="V98"/>
      <c r="W98"/>
      <c r="X98"/>
      <c r="Y98"/>
      <c r="Z98"/>
      <c r="AA98"/>
      <c r="AB98"/>
      <c r="AC98"/>
      <c r="AD98"/>
      <c r="AE98"/>
      <c r="AF98"/>
      <c r="AG98"/>
      <c r="AH98"/>
    </row>
    <row r="99" spans="1:34" s="2" customFormat="1">
      <c r="A99" s="1124"/>
      <c r="B99" s="1105"/>
      <c r="C99" s="415"/>
      <c r="D99" s="499"/>
      <c r="E99" s="422"/>
      <c r="F99" s="422"/>
      <c r="G99" s="831"/>
      <c r="H99" s="1173"/>
      <c r="I99" s="1173"/>
      <c r="J99" s="440"/>
      <c r="K99" s="1173"/>
      <c r="L99" s="1173"/>
      <c r="M99" s="1173"/>
      <c r="N99" s="1173"/>
      <c r="O99" s="1173"/>
      <c r="P99" s="1173"/>
      <c r="Q99" s="1173"/>
      <c r="R99" s="1173"/>
      <c r="S99" s="1173"/>
      <c r="T99"/>
      <c r="U99"/>
      <c r="V99"/>
      <c r="W99"/>
      <c r="X99"/>
      <c r="Y99"/>
      <c r="Z99"/>
      <c r="AA99"/>
      <c r="AB99"/>
      <c r="AC99"/>
      <c r="AD99"/>
      <c r="AE99"/>
      <c r="AF99"/>
      <c r="AG99"/>
      <c r="AH99"/>
    </row>
    <row r="100" spans="1:34" s="2" customFormat="1">
      <c r="A100" s="1126"/>
      <c r="B100" s="1174"/>
      <c r="C100" s="415"/>
      <c r="D100" s="499"/>
      <c r="E100" s="422"/>
      <c r="F100" s="422"/>
      <c r="G100" s="831"/>
      <c r="H100" s="1175"/>
      <c r="I100" s="1175"/>
      <c r="J100" s="441"/>
      <c r="K100" s="1175"/>
      <c r="L100" s="1175"/>
      <c r="M100" s="1175"/>
      <c r="N100" s="1175"/>
      <c r="O100" s="1175"/>
      <c r="P100" s="1175"/>
      <c r="Q100" s="1175"/>
      <c r="R100" s="1175"/>
      <c r="S100" s="1175"/>
    </row>
    <row r="101" spans="1:34" s="2" customFormat="1">
      <c r="A101" s="2331" t="s">
        <v>762</v>
      </c>
      <c r="B101" s="2332"/>
      <c r="C101" s="298"/>
      <c r="D101" s="507"/>
      <c r="E101" s="12"/>
      <c r="F101" s="12"/>
      <c r="G101" s="26"/>
      <c r="H101" s="20"/>
      <c r="I101" s="20"/>
      <c r="J101" s="24"/>
      <c r="K101" s="20"/>
      <c r="L101" s="20"/>
      <c r="M101" s="20"/>
      <c r="N101" s="20"/>
      <c r="O101" s="20"/>
      <c r="P101" s="20"/>
      <c r="Q101" s="20"/>
      <c r="R101" s="20"/>
      <c r="S101" s="20"/>
      <c r="T101"/>
      <c r="U101"/>
      <c r="V101"/>
      <c r="W101"/>
      <c r="X101"/>
      <c r="Y101"/>
      <c r="Z101"/>
      <c r="AA101"/>
      <c r="AB101"/>
      <c r="AC101"/>
      <c r="AD101"/>
      <c r="AE101"/>
      <c r="AF101"/>
      <c r="AG101"/>
      <c r="AH101"/>
    </row>
    <row r="102" spans="1:34">
      <c r="A102" s="1585"/>
      <c r="B102" s="1586"/>
      <c r="C102" s="927"/>
      <c r="D102" s="1856"/>
      <c r="E102" s="1740"/>
      <c r="F102" s="1740"/>
      <c r="G102" s="1722"/>
      <c r="H102" s="1582"/>
      <c r="I102" s="1582"/>
      <c r="J102" s="1775"/>
      <c r="K102" s="1582"/>
      <c r="L102" s="1582"/>
      <c r="M102" s="1582"/>
      <c r="N102" s="1582"/>
      <c r="O102" s="1582"/>
      <c r="P102" s="1582"/>
      <c r="Q102" s="1582"/>
      <c r="R102" s="1582"/>
      <c r="S102" s="1582"/>
      <c r="T102" s="2"/>
      <c r="U102" s="2"/>
      <c r="V102" s="2"/>
      <c r="W102" s="2"/>
      <c r="X102" s="2"/>
      <c r="Y102" s="2"/>
      <c r="Z102" s="2"/>
      <c r="AA102" s="2"/>
      <c r="AB102" s="2"/>
      <c r="AC102" s="2"/>
      <c r="AD102" s="2"/>
      <c r="AE102" s="2"/>
      <c r="AF102" s="2"/>
      <c r="AG102" s="2"/>
      <c r="AH102" s="2"/>
    </row>
    <row r="103" spans="1:34">
      <c r="A103" s="1126"/>
      <c r="B103" s="1174"/>
      <c r="C103" s="415"/>
      <c r="D103" s="499"/>
      <c r="E103" s="422"/>
      <c r="F103" s="422"/>
      <c r="G103" s="831"/>
      <c r="H103" s="1178"/>
      <c r="I103" s="1178"/>
      <c r="J103" s="442"/>
      <c r="K103" s="1178"/>
      <c r="L103" s="1178"/>
      <c r="M103" s="1178"/>
      <c r="N103" s="1178"/>
      <c r="O103" s="1178"/>
      <c r="P103" s="1178"/>
      <c r="Q103" s="1178"/>
      <c r="R103" s="1178"/>
      <c r="S103" s="1178"/>
      <c r="T103" s="2"/>
      <c r="U103" s="2"/>
      <c r="V103" s="2"/>
      <c r="W103" s="2"/>
      <c r="X103" s="2"/>
      <c r="Y103" s="2"/>
      <c r="Z103" s="2"/>
      <c r="AA103" s="2"/>
      <c r="AB103" s="2"/>
      <c r="AC103" s="2"/>
      <c r="AD103" s="2"/>
      <c r="AE103" s="2"/>
      <c r="AF103" s="2"/>
      <c r="AG103" s="2"/>
      <c r="AH103" s="2"/>
    </row>
    <row r="104" spans="1:34">
      <c r="A104" s="1126"/>
      <c r="B104" s="1174"/>
      <c r="C104" s="415"/>
      <c r="D104" s="499"/>
      <c r="E104" s="422"/>
      <c r="F104" s="422"/>
      <c r="G104" s="831"/>
      <c r="H104" s="1178"/>
      <c r="I104" s="1178"/>
      <c r="J104" s="442"/>
      <c r="K104" s="1178"/>
      <c r="L104" s="1178"/>
      <c r="M104" s="1178"/>
      <c r="N104" s="1178"/>
      <c r="O104" s="1178"/>
      <c r="P104" s="1178"/>
      <c r="Q104" s="1178"/>
      <c r="R104" s="1178"/>
      <c r="S104" s="1178"/>
      <c r="T104" s="2"/>
      <c r="U104" s="2"/>
      <c r="V104" s="2"/>
      <c r="W104" s="2"/>
      <c r="X104" s="2"/>
      <c r="Y104" s="2"/>
      <c r="Z104" s="2"/>
      <c r="AA104" s="2"/>
      <c r="AB104" s="2"/>
      <c r="AC104" s="2"/>
      <c r="AD104" s="2"/>
      <c r="AE104" s="2"/>
      <c r="AF104" s="2"/>
      <c r="AG104" s="2"/>
      <c r="AH104" s="2"/>
    </row>
    <row r="105" spans="1:34">
      <c r="A105" s="2331" t="s">
        <v>763</v>
      </c>
      <c r="B105" s="2332"/>
      <c r="C105" s="298"/>
      <c r="D105" s="507"/>
      <c r="E105" s="12"/>
      <c r="F105" s="12"/>
      <c r="G105" s="26"/>
      <c r="H105" s="20"/>
      <c r="I105" s="20"/>
      <c r="J105" s="24"/>
      <c r="K105" s="20"/>
      <c r="L105" s="20"/>
      <c r="M105" s="20"/>
      <c r="N105" s="20"/>
      <c r="O105" s="20"/>
      <c r="P105" s="20"/>
      <c r="Q105" s="20"/>
      <c r="R105" s="20"/>
      <c r="S105" s="20"/>
    </row>
    <row r="106" spans="1:34">
      <c r="A106" s="1124"/>
      <c r="B106" s="1105" t="s">
        <v>764</v>
      </c>
      <c r="C106" s="415"/>
      <c r="D106" s="499"/>
      <c r="E106" s="422"/>
      <c r="F106" s="422"/>
      <c r="G106" s="831"/>
      <c r="H106" s="1178"/>
      <c r="I106" s="1178"/>
      <c r="J106" s="442"/>
      <c r="K106" s="1178"/>
      <c r="L106" s="1178"/>
      <c r="M106" s="1178"/>
      <c r="N106" s="1178"/>
      <c r="O106" s="1178"/>
      <c r="P106" s="1178"/>
      <c r="Q106" s="1178"/>
      <c r="R106" s="1178"/>
      <c r="S106" s="1178"/>
    </row>
    <row r="107" spans="1:34">
      <c r="A107" s="1124"/>
      <c r="B107" s="1105" t="s">
        <v>765</v>
      </c>
      <c r="C107" s="415"/>
      <c r="D107" s="499"/>
      <c r="E107" s="422"/>
      <c r="F107" s="422"/>
      <c r="G107" s="831"/>
      <c r="H107" s="1178"/>
      <c r="I107" s="1178"/>
      <c r="J107" s="442"/>
      <c r="K107" s="1178"/>
      <c r="L107" s="1178"/>
      <c r="M107" s="1178"/>
      <c r="N107" s="1178"/>
      <c r="O107" s="1178"/>
      <c r="P107" s="1178"/>
      <c r="Q107" s="1178"/>
      <c r="R107" s="1178"/>
      <c r="S107" s="1178"/>
    </row>
    <row r="108" spans="1:34">
      <c r="A108" s="1124"/>
      <c r="B108" s="1105" t="s">
        <v>766</v>
      </c>
      <c r="C108" s="415"/>
      <c r="D108" s="499"/>
      <c r="E108" s="422"/>
      <c r="F108" s="422"/>
      <c r="G108" s="831"/>
      <c r="H108" s="1178"/>
      <c r="I108" s="1178"/>
      <c r="J108" s="442"/>
      <c r="K108" s="1178"/>
      <c r="L108" s="1178"/>
      <c r="M108" s="1178"/>
      <c r="N108" s="1178"/>
      <c r="O108" s="1178"/>
      <c r="P108" s="1178"/>
      <c r="Q108" s="1178"/>
      <c r="R108" s="1178"/>
      <c r="S108" s="1178"/>
    </row>
    <row r="109" spans="1:34">
      <c r="A109" s="1124"/>
      <c r="B109" s="1105" t="s">
        <v>767</v>
      </c>
      <c r="C109" s="415"/>
      <c r="D109" s="499"/>
      <c r="E109" s="422"/>
      <c r="F109" s="422"/>
      <c r="G109" s="831"/>
      <c r="H109" s="1178"/>
      <c r="I109" s="1178"/>
      <c r="J109" s="442"/>
      <c r="K109" s="1178"/>
      <c r="L109" s="1178"/>
      <c r="M109" s="1178"/>
      <c r="N109" s="1178"/>
      <c r="O109" s="1178"/>
      <c r="P109" s="1178"/>
      <c r="Q109" s="1178"/>
      <c r="R109" s="1178"/>
      <c r="S109" s="1178"/>
    </row>
    <row r="110" spans="1:34">
      <c r="A110" s="443"/>
      <c r="B110" s="421"/>
      <c r="C110" s="23"/>
      <c r="D110" s="500"/>
      <c r="E110" s="86"/>
      <c r="F110" s="86"/>
      <c r="G110" s="27"/>
      <c r="H110" s="444"/>
      <c r="I110" s="444"/>
      <c r="J110" s="25"/>
      <c r="K110" s="444"/>
      <c r="L110" s="444"/>
      <c r="M110" s="444"/>
      <c r="N110" s="444"/>
      <c r="O110" s="444"/>
      <c r="P110" s="444"/>
      <c r="Q110" s="444"/>
      <c r="R110" s="444"/>
      <c r="S110" s="444"/>
    </row>
    <row r="111" spans="1:34">
      <c r="A111" s="72" t="s">
        <v>768</v>
      </c>
      <c r="B111" s="73"/>
      <c r="C111" s="298"/>
      <c r="D111" s="507"/>
      <c r="E111" s="12"/>
      <c r="F111" s="12"/>
      <c r="G111" s="26"/>
      <c r="H111" s="20"/>
      <c r="I111" s="20"/>
      <c r="J111" s="24"/>
      <c r="K111" s="20"/>
      <c r="L111" s="20"/>
      <c r="M111" s="20"/>
      <c r="N111" s="20"/>
      <c r="O111" s="20"/>
      <c r="P111" s="20"/>
      <c r="Q111" s="20"/>
      <c r="R111" s="20"/>
      <c r="S111" s="20"/>
    </row>
    <row r="112" spans="1:34">
      <c r="A112" s="1580"/>
      <c r="B112" s="1587" t="s">
        <v>769</v>
      </c>
      <c r="C112" s="927"/>
      <c r="D112" s="1856"/>
      <c r="E112" s="1740"/>
      <c r="F112" s="1740"/>
      <c r="G112" s="1722"/>
      <c r="H112" s="1588"/>
      <c r="I112" s="1588"/>
      <c r="J112" s="1792"/>
      <c r="K112" s="1588"/>
      <c r="L112" s="1588"/>
      <c r="M112" s="1588"/>
      <c r="N112" s="1588"/>
      <c r="O112" s="1588"/>
      <c r="P112" s="1588"/>
      <c r="Q112" s="1588"/>
      <c r="R112" s="1588"/>
      <c r="S112" s="1588"/>
    </row>
    <row r="113" spans="1:19">
      <c r="A113" s="1124"/>
      <c r="B113" s="1105" t="s">
        <v>770</v>
      </c>
      <c r="C113" s="415"/>
      <c r="D113" s="499"/>
      <c r="E113" s="422"/>
      <c r="F113" s="422"/>
      <c r="G113" s="831"/>
      <c r="H113" s="1182"/>
      <c r="I113" s="1182"/>
      <c r="J113" s="445"/>
      <c r="K113" s="1182"/>
      <c r="L113" s="1182"/>
      <c r="M113" s="1182"/>
      <c r="N113" s="1182"/>
      <c r="O113" s="1182"/>
      <c r="P113" s="1182"/>
      <c r="Q113" s="1182"/>
      <c r="R113" s="1182"/>
      <c r="S113" s="1182"/>
    </row>
    <row r="114" spans="1:19">
      <c r="A114" s="1308"/>
      <c r="B114" s="1136" t="s">
        <v>771</v>
      </c>
      <c r="C114" s="935"/>
      <c r="D114" s="936"/>
      <c r="E114" s="938"/>
      <c r="F114" s="938"/>
      <c r="G114" s="939"/>
      <c r="H114" s="1140"/>
      <c r="I114" s="1140"/>
      <c r="J114" s="940"/>
      <c r="K114" s="1140"/>
      <c r="L114" s="1140"/>
      <c r="M114" s="1140"/>
      <c r="N114" s="1140"/>
      <c r="O114" s="1140"/>
      <c r="P114" s="1140"/>
      <c r="Q114" s="1140"/>
      <c r="R114" s="1140"/>
      <c r="S114" s="1140"/>
    </row>
    <row r="115" spans="1:19">
      <c r="F115" s="2"/>
      <c r="G115" s="2"/>
      <c r="H115" s="2"/>
      <c r="I115" s="2"/>
      <c r="J115" s="2"/>
      <c r="K115" s="2"/>
      <c r="L115" s="2"/>
      <c r="M115" s="2"/>
      <c r="N115" s="2"/>
      <c r="O115" s="2"/>
      <c r="P115" s="2"/>
      <c r="Q115" s="2"/>
      <c r="R115" s="2"/>
      <c r="S115" s="2"/>
    </row>
    <row r="116" spans="1:19">
      <c r="A116" s="37" t="s">
        <v>772</v>
      </c>
      <c r="B116" s="39"/>
      <c r="F116" s="2"/>
      <c r="G116" s="573" t="s">
        <v>2101</v>
      </c>
      <c r="H116" s="2"/>
      <c r="I116" s="673">
        <f>I28+I35+I42</f>
        <v>1069400</v>
      </c>
      <c r="J116" s="2"/>
      <c r="K116" s="270">
        <v>628700</v>
      </c>
      <c r="L116" s="2"/>
      <c r="M116" s="2"/>
      <c r="N116" s="2"/>
      <c r="O116" s="2"/>
      <c r="P116" s="2"/>
      <c r="Q116" s="2"/>
      <c r="R116" s="2"/>
      <c r="S116" s="2"/>
    </row>
    <row r="117" spans="1:19">
      <c r="A117" s="38" t="s">
        <v>693</v>
      </c>
      <c r="B117" s="1277" t="str">
        <f>H5</f>
        <v>KONE</v>
      </c>
      <c r="F117" s="2"/>
      <c r="G117" s="573" t="s">
        <v>2102</v>
      </c>
      <c r="H117" s="2">
        <v>24</v>
      </c>
      <c r="I117" s="673">
        <f>I116/H117</f>
        <v>44558.333333333336</v>
      </c>
      <c r="J117" s="2"/>
      <c r="K117" s="270">
        <f>K116/H117</f>
        <v>26195.833333333332</v>
      </c>
      <c r="L117" s="2"/>
      <c r="M117" s="2"/>
      <c r="N117" s="2"/>
      <c r="O117" s="2"/>
      <c r="P117" s="2"/>
      <c r="Q117" s="2"/>
      <c r="R117" s="2"/>
      <c r="S117" s="2"/>
    </row>
    <row r="118" spans="1:19">
      <c r="A118" s="1142" t="s">
        <v>702</v>
      </c>
      <c r="B118" s="1277" t="str">
        <f>H6</f>
        <v>Taylor Vaughan</v>
      </c>
      <c r="F118" s="2"/>
      <c r="G118" s="2"/>
      <c r="H118" s="2"/>
      <c r="I118" s="2"/>
      <c r="J118" s="2"/>
      <c r="K118" s="2"/>
      <c r="L118" s="2"/>
      <c r="M118" s="2"/>
      <c r="N118" s="2"/>
      <c r="O118" s="2"/>
      <c r="P118" s="2"/>
      <c r="Q118" s="2"/>
      <c r="R118" s="2"/>
      <c r="S118" s="2"/>
    </row>
    <row r="119" spans="1:19">
      <c r="A119" s="1191" t="s">
        <v>708</v>
      </c>
      <c r="B119" s="1192" t="str">
        <f>H7</f>
        <v xml:space="preserve">(407) 812-8033 </v>
      </c>
      <c r="F119" s="2"/>
      <c r="G119" s="2"/>
      <c r="H119" s="2"/>
      <c r="I119" s="2"/>
      <c r="J119" s="2"/>
      <c r="K119" s="2"/>
      <c r="L119" s="2"/>
      <c r="M119" s="2"/>
      <c r="N119" s="2"/>
      <c r="O119" s="2"/>
      <c r="P119" s="2"/>
      <c r="Q119" s="2"/>
      <c r="R119" s="2"/>
      <c r="S119" s="2"/>
    </row>
    <row r="120" spans="1:19">
      <c r="A120" s="1191" t="s">
        <v>713</v>
      </c>
      <c r="B120" s="1278" t="str">
        <f>H8</f>
        <v>taylor.vaughan@kone.com</v>
      </c>
      <c r="F120" s="2"/>
      <c r="G120" s="2"/>
      <c r="H120" s="2"/>
      <c r="I120" s="2"/>
      <c r="J120" s="2"/>
      <c r="K120" s="2"/>
      <c r="L120" s="2"/>
      <c r="M120" s="2"/>
      <c r="N120" s="2"/>
      <c r="O120" s="2"/>
      <c r="P120" s="2"/>
      <c r="Q120" s="2"/>
      <c r="R120" s="2"/>
      <c r="S120" s="2"/>
    </row>
    <row r="121" spans="1:19">
      <c r="A121" s="1145" t="s">
        <v>69</v>
      </c>
      <c r="B121" s="1146">
        <f>I85</f>
        <v>1133900</v>
      </c>
      <c r="F121" s="2"/>
      <c r="G121" s="2"/>
      <c r="H121" s="2"/>
      <c r="I121" s="2"/>
      <c r="J121" s="2"/>
      <c r="K121" s="2"/>
      <c r="L121" s="2"/>
      <c r="M121" s="2"/>
      <c r="N121" s="2"/>
      <c r="O121" s="2"/>
      <c r="P121" s="2"/>
      <c r="Q121" s="2"/>
      <c r="R121" s="2"/>
      <c r="S121" s="2"/>
    </row>
  </sheetData>
  <mergeCells count="41">
    <mergeCell ref="A89:B89"/>
    <mergeCell ref="A93:B93"/>
    <mergeCell ref="A97:B97"/>
    <mergeCell ref="A101:B101"/>
    <mergeCell ref="A105:B105"/>
    <mergeCell ref="R9:S9"/>
    <mergeCell ref="J8:K8"/>
    <mergeCell ref="L8:M8"/>
    <mergeCell ref="H8:I8"/>
    <mergeCell ref="N8:O8"/>
    <mergeCell ref="P8:Q8"/>
    <mergeCell ref="R8:S8"/>
    <mergeCell ref="J9:K9"/>
    <mergeCell ref="L9:M9"/>
    <mergeCell ref="H9:I9"/>
    <mergeCell ref="N9:O9"/>
    <mergeCell ref="P9:Q9"/>
    <mergeCell ref="R7:S7"/>
    <mergeCell ref="J6:K6"/>
    <mergeCell ref="L6:M6"/>
    <mergeCell ref="H6:I6"/>
    <mergeCell ref="N6:O6"/>
    <mergeCell ref="P6:Q6"/>
    <mergeCell ref="R6:S6"/>
    <mergeCell ref="J7:K7"/>
    <mergeCell ref="L7:M7"/>
    <mergeCell ref="H7:I7"/>
    <mergeCell ref="N7:O7"/>
    <mergeCell ref="P7:Q7"/>
    <mergeCell ref="R5:S5"/>
    <mergeCell ref="J4:K4"/>
    <mergeCell ref="L4:M4"/>
    <mergeCell ref="H4:I4"/>
    <mergeCell ref="N4:O4"/>
    <mergeCell ref="P4:Q4"/>
    <mergeCell ref="R4:S4"/>
    <mergeCell ref="J5:K5"/>
    <mergeCell ref="L5:M5"/>
    <mergeCell ref="H5:I5"/>
    <mergeCell ref="N5:O5"/>
    <mergeCell ref="P5:Q5"/>
  </mergeCells>
  <conditionalFormatting sqref="H11:H19">
    <cfRule type="cellIs" dxfId="213" priority="1" operator="equal">
      <formula>"X"</formula>
    </cfRule>
    <cfRule type="cellIs" dxfId="212" priority="2" operator="equal">
      <formula>"I"</formula>
    </cfRule>
  </conditionalFormatting>
  <conditionalFormatting sqref="J11:J19 L11:L19 N11:N19 P11:P19 R11:R19 H21:H80 J21:J80 L21:L80 N21:N80 P21:P80 R21:R80">
    <cfRule type="cellIs" dxfId="211" priority="15" operator="equal">
      <formula>"X"</formula>
    </cfRule>
    <cfRule type="cellIs" dxfId="210" priority="16" operator="equal">
      <formula>"I"</formula>
    </cfRule>
  </conditionalFormatting>
  <hyperlinks>
    <hyperlink ref="B4" location="'Cost Summary'!A1" display="BACK TO SUMMARY SHEET" xr:uid="{2D99696C-FCFC-48A7-A2CC-2E4C80C6CA14}"/>
    <hyperlink ref="H8" r:id="rId1" xr:uid="{184E4A29-F57A-4132-B03D-B55A6F2E0F7A}"/>
    <hyperlink ref="J8" r:id="rId2" xr:uid="{5AD0028B-5D0B-4CAF-A91E-3CAFD30C374E}"/>
  </hyperlinks>
  <pageMargins left="0.7" right="0.7" top="0.75" bottom="0.75" header="0.3" footer="0.3"/>
  <pageSetup orientation="portrait"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7DEA-3ACB-4080-9874-3EAD46B7C00D}">
  <dimension ref="A1:S97"/>
  <sheetViews>
    <sheetView workbookViewId="0">
      <pane xSplit="2" ySplit="9" topLeftCell="F46" activePane="bottomRight" state="frozen"/>
      <selection pane="topRight" activeCell="C1" sqref="C1"/>
      <selection pane="bottomLeft" activeCell="A11" sqref="A11"/>
      <selection pane="bottomRight" activeCell="I59" sqref="I59:I60"/>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85"/>
      <c r="F1" s="64"/>
      <c r="G1" s="62" t="s">
        <v>679</v>
      </c>
    </row>
    <row r="2" spans="1:19" ht="15.75" thickBot="1">
      <c r="E2" s="85"/>
      <c r="F2" s="61"/>
      <c r="G2" s="62" t="s">
        <v>681</v>
      </c>
      <c r="H2" s="2364"/>
      <c r="I2" s="2364"/>
      <c r="J2" s="2364"/>
      <c r="K2" s="2364"/>
      <c r="L2" s="2364"/>
      <c r="M2" s="2364"/>
      <c r="N2" s="2364"/>
      <c r="O2" s="2364"/>
      <c r="P2" s="2364"/>
      <c r="Q2" s="2364"/>
      <c r="R2" s="2364"/>
      <c r="S2" s="2364"/>
    </row>
    <row r="3" spans="1:19" ht="21" thickBot="1">
      <c r="B3" s="74" t="s">
        <v>684</v>
      </c>
      <c r="E3" s="85"/>
      <c r="F3" s="63"/>
      <c r="G3" s="62" t="s">
        <v>683</v>
      </c>
      <c r="H3" s="2319" t="s">
        <v>686</v>
      </c>
      <c r="I3" s="2320"/>
      <c r="J3" s="2319" t="s">
        <v>687</v>
      </c>
      <c r="K3" s="2320"/>
      <c r="L3" s="2319" t="s">
        <v>688</v>
      </c>
      <c r="M3" s="2320"/>
      <c r="N3" s="2319" t="s">
        <v>689</v>
      </c>
      <c r="O3" s="2320"/>
      <c r="P3" s="2319" t="s">
        <v>773</v>
      </c>
      <c r="Q3" s="2320"/>
      <c r="R3" s="2319" t="s">
        <v>774</v>
      </c>
      <c r="S3" s="2320"/>
    </row>
    <row r="4" spans="1:19" ht="15.75" thickTop="1">
      <c r="A4" s="3" t="s">
        <v>692</v>
      </c>
      <c r="B4" s="4" t="str">
        <f>'Area Calculations'!B4</f>
        <v>ERAU Residential Hall &amp; Garage Building</v>
      </c>
      <c r="C4" s="5"/>
      <c r="D4" s="5"/>
      <c r="E4" s="5"/>
      <c r="F4" s="5"/>
      <c r="G4" s="6" t="s">
        <v>693</v>
      </c>
      <c r="H4" s="2362"/>
      <c r="I4" s="2363"/>
      <c r="J4" s="2376"/>
      <c r="K4" s="2363"/>
      <c r="L4" s="2376"/>
      <c r="M4" s="2363"/>
      <c r="N4" s="2376"/>
      <c r="O4" s="2363"/>
      <c r="P4" s="2376"/>
      <c r="Q4" s="2363"/>
      <c r="R4" s="2376"/>
      <c r="S4" s="2363"/>
    </row>
    <row r="5" spans="1:19">
      <c r="A5" s="930" t="s">
        <v>700</v>
      </c>
      <c r="B5" s="481" t="s">
        <v>2103</v>
      </c>
      <c r="C5" s="422"/>
      <c r="D5" s="422"/>
      <c r="E5" s="422"/>
      <c r="F5" s="422"/>
      <c r="G5" s="466" t="s">
        <v>702</v>
      </c>
      <c r="H5" s="2359"/>
      <c r="I5" s="2360"/>
      <c r="J5" s="2378"/>
      <c r="K5" s="2360"/>
      <c r="L5" s="2378"/>
      <c r="M5" s="2360"/>
      <c r="N5" s="2378"/>
      <c r="O5" s="2360"/>
      <c r="P5" s="2378"/>
      <c r="Q5" s="2360"/>
      <c r="R5" s="2378"/>
      <c r="S5" s="2360"/>
    </row>
    <row r="6" spans="1:19">
      <c r="A6" s="930" t="s">
        <v>706</v>
      </c>
      <c r="B6" s="482" t="s">
        <v>2104</v>
      </c>
      <c r="C6" s="422"/>
      <c r="D6" s="422"/>
      <c r="E6" s="422"/>
      <c r="F6" s="422"/>
      <c r="G6" s="466" t="s">
        <v>708</v>
      </c>
      <c r="H6" s="2361"/>
      <c r="I6" s="2358"/>
      <c r="J6" s="2377"/>
      <c r="K6" s="2358"/>
      <c r="L6" s="2377"/>
      <c r="M6" s="2358"/>
      <c r="N6" s="2377"/>
      <c r="O6" s="2358"/>
      <c r="P6" s="2377"/>
      <c r="Q6" s="2358"/>
      <c r="R6" s="2377"/>
      <c r="S6" s="2358"/>
    </row>
    <row r="7" spans="1:19">
      <c r="A7" s="930" t="s">
        <v>712</v>
      </c>
      <c r="B7" s="483"/>
      <c r="C7" s="422"/>
      <c r="D7" s="422"/>
      <c r="E7" s="422"/>
      <c r="F7" s="422"/>
      <c r="G7" s="466" t="s">
        <v>713</v>
      </c>
      <c r="H7" s="2355"/>
      <c r="I7" s="2356"/>
      <c r="J7" s="2381"/>
      <c r="K7" s="2356"/>
      <c r="L7" s="2381"/>
      <c r="M7" s="2356"/>
      <c r="N7" s="2381"/>
      <c r="O7" s="2356"/>
      <c r="P7" s="2381"/>
      <c r="Q7" s="2356"/>
      <c r="R7" s="2381"/>
      <c r="S7" s="2356"/>
    </row>
    <row r="8" spans="1:19" ht="15.75" thickBot="1">
      <c r="A8" s="467" t="s">
        <v>717</v>
      </c>
      <c r="B8" s="340"/>
      <c r="C8" s="86"/>
      <c r="D8" s="86"/>
      <c r="E8" s="86"/>
      <c r="F8" s="86"/>
      <c r="G8" s="467" t="s">
        <v>717</v>
      </c>
      <c r="H8" s="2382">
        <f>I58</f>
        <v>0</v>
      </c>
      <c r="I8" s="2383"/>
      <c r="J8" s="2382">
        <f>K58</f>
        <v>0</v>
      </c>
      <c r="K8" s="2383"/>
      <c r="L8" s="2382">
        <f>M58</f>
        <v>0</v>
      </c>
      <c r="M8" s="2383"/>
      <c r="N8" s="2382">
        <f>O58</f>
        <v>0</v>
      </c>
      <c r="O8" s="2383"/>
      <c r="P8" s="2382">
        <f>Q58</f>
        <v>0</v>
      </c>
      <c r="Q8" s="2383"/>
      <c r="R8" s="2382">
        <f>S58</f>
        <v>0</v>
      </c>
      <c r="S8" s="2383"/>
    </row>
    <row r="9" spans="1:19" ht="31.5" thickTop="1" thickBot="1">
      <c r="A9" s="7" t="s">
        <v>1452</v>
      </c>
      <c r="B9" s="8"/>
      <c r="C9" s="9" t="s">
        <v>718</v>
      </c>
      <c r="D9" s="9" t="s">
        <v>719</v>
      </c>
      <c r="E9" s="9" t="s">
        <v>720</v>
      </c>
      <c r="F9" s="9" t="s">
        <v>721</v>
      </c>
      <c r="G9" s="10" t="s">
        <v>722</v>
      </c>
      <c r="H9" s="11" t="s">
        <v>723</v>
      </c>
      <c r="I9" s="11" t="s">
        <v>724</v>
      </c>
      <c r="J9" s="11" t="s">
        <v>723</v>
      </c>
      <c r="K9" s="11" t="s">
        <v>724</v>
      </c>
      <c r="L9" s="11" t="s">
        <v>723</v>
      </c>
      <c r="M9" s="11" t="s">
        <v>724</v>
      </c>
      <c r="N9" s="11" t="s">
        <v>723</v>
      </c>
      <c r="O9" s="11" t="s">
        <v>724</v>
      </c>
      <c r="P9" s="11" t="s">
        <v>723</v>
      </c>
      <c r="Q9" s="11" t="s">
        <v>724</v>
      </c>
      <c r="R9" s="11" t="s">
        <v>723</v>
      </c>
      <c r="S9" s="11" t="s">
        <v>724</v>
      </c>
    </row>
    <row r="10" spans="1:19" ht="15.75" hidden="1" thickTop="1">
      <c r="A10" s="931"/>
      <c r="B10" s="1732" t="s">
        <v>1453</v>
      </c>
      <c r="C10" s="422"/>
      <c r="D10" s="422"/>
      <c r="E10" s="422"/>
      <c r="F10" s="422"/>
      <c r="G10" s="468"/>
      <c r="H10" s="1649"/>
      <c r="I10" s="1649"/>
      <c r="J10" s="1649"/>
      <c r="K10" s="1649"/>
      <c r="L10" s="1649"/>
      <c r="M10" s="1649"/>
      <c r="N10" s="1649"/>
      <c r="O10" s="1649"/>
      <c r="P10" s="1649"/>
      <c r="Q10" s="1649"/>
      <c r="R10" s="1649"/>
      <c r="S10" s="1649"/>
    </row>
    <row r="11" spans="1:19" hidden="1">
      <c r="A11" s="931"/>
      <c r="B11" s="481" t="e">
        <f>'Area Calculations'!#REF!</f>
        <v>#REF!</v>
      </c>
      <c r="C11" s="484" t="s">
        <v>1035</v>
      </c>
      <c r="D11" s="422"/>
      <c r="E11" s="422"/>
      <c r="F11" s="422"/>
      <c r="G11" s="468"/>
      <c r="H11" s="1649"/>
      <c r="I11" s="1649"/>
      <c r="J11" s="1649"/>
      <c r="K11" s="1649"/>
      <c r="L11" s="1649"/>
      <c r="M11" s="1649"/>
      <c r="N11" s="1649"/>
      <c r="O11" s="1649"/>
      <c r="P11" s="1649"/>
      <c r="Q11" s="1649"/>
      <c r="R11" s="1649"/>
      <c r="S11" s="1649"/>
    </row>
    <row r="12" spans="1:19" hidden="1">
      <c r="A12" s="931"/>
      <c r="B12" s="481" t="e">
        <f>'Area Calculations'!#REF!</f>
        <v>#REF!</v>
      </c>
      <c r="C12" s="484" t="s">
        <v>1035</v>
      </c>
      <c r="D12" s="422"/>
      <c r="E12" s="422"/>
      <c r="F12" s="422"/>
      <c r="G12" s="468"/>
      <c r="H12" s="1649"/>
      <c r="I12" s="1649"/>
      <c r="J12" s="1649"/>
      <c r="K12" s="1649"/>
      <c r="L12" s="1649"/>
      <c r="M12" s="1649"/>
      <c r="N12" s="1649"/>
      <c r="O12" s="1649"/>
      <c r="P12" s="1649"/>
      <c r="Q12" s="1649"/>
      <c r="R12" s="1649"/>
      <c r="S12" s="1649"/>
    </row>
    <row r="13" spans="1:19" hidden="1">
      <c r="A13" s="931"/>
      <c r="B13" s="481" t="e">
        <f>'Area Calculations'!#REF!</f>
        <v>#REF!</v>
      </c>
      <c r="C13" s="484" t="s">
        <v>1035</v>
      </c>
      <c r="D13" s="422"/>
      <c r="E13" s="422"/>
      <c r="F13" s="422"/>
      <c r="G13" s="468"/>
      <c r="H13" s="1649"/>
      <c r="I13" s="1649"/>
      <c r="J13" s="1649"/>
      <c r="K13" s="1649"/>
      <c r="L13" s="1649"/>
      <c r="M13" s="1649"/>
      <c r="N13" s="1649"/>
      <c r="O13" s="1649"/>
      <c r="P13" s="1649"/>
      <c r="Q13" s="1649"/>
      <c r="R13" s="1649"/>
      <c r="S13" s="1649"/>
    </row>
    <row r="14" spans="1:19" hidden="1">
      <c r="A14" s="931"/>
      <c r="B14" s="481" t="e">
        <f>'Area Calculations'!#REF!</f>
        <v>#REF!</v>
      </c>
      <c r="C14" s="484" t="s">
        <v>1035</v>
      </c>
      <c r="D14" s="422"/>
      <c r="E14" s="422"/>
      <c r="F14" s="422"/>
      <c r="G14" s="468"/>
      <c r="H14" s="1649"/>
      <c r="I14" s="1649"/>
      <c r="J14" s="1649"/>
      <c r="K14" s="1649"/>
      <c r="L14" s="1649"/>
      <c r="M14" s="1649"/>
      <c r="N14" s="1649"/>
      <c r="O14" s="1649"/>
      <c r="P14" s="1649"/>
      <c r="Q14" s="1649"/>
      <c r="R14" s="1649"/>
      <c r="S14" s="1649"/>
    </row>
    <row r="15" spans="1:19" hidden="1">
      <c r="A15" s="931"/>
      <c r="B15" s="481" t="e">
        <f>'Area Calculations'!#REF!</f>
        <v>#REF!</v>
      </c>
      <c r="C15" s="484" t="s">
        <v>1035</v>
      </c>
      <c r="D15" s="422"/>
      <c r="E15" s="422"/>
      <c r="F15" s="422"/>
      <c r="G15" s="468"/>
      <c r="H15" s="1649"/>
      <c r="I15" s="1649"/>
      <c r="J15" s="1649"/>
      <c r="K15" s="1649"/>
      <c r="L15" s="1649"/>
      <c r="M15" s="1649"/>
      <c r="N15" s="1649"/>
      <c r="O15" s="1649"/>
      <c r="P15" s="1649"/>
      <c r="Q15" s="1649"/>
      <c r="R15" s="1649"/>
      <c r="S15" s="1649"/>
    </row>
    <row r="16" spans="1:19" hidden="1">
      <c r="A16" s="931"/>
      <c r="B16" s="481" t="e">
        <f>'Area Calculations'!#REF!</f>
        <v>#REF!</v>
      </c>
      <c r="C16" s="484" t="s">
        <v>1035</v>
      </c>
      <c r="D16" s="422"/>
      <c r="E16" s="422"/>
      <c r="F16" s="422"/>
      <c r="G16" s="468"/>
      <c r="H16" s="1649"/>
      <c r="I16" s="1649"/>
      <c r="J16" s="1649"/>
      <c r="K16" s="1649"/>
      <c r="L16" s="1649"/>
      <c r="M16" s="1649"/>
      <c r="N16" s="1649"/>
      <c r="O16" s="1649"/>
      <c r="P16" s="1649"/>
      <c r="Q16" s="1649"/>
      <c r="R16" s="1649"/>
      <c r="S16" s="1649"/>
    </row>
    <row r="17" spans="1:19" hidden="1">
      <c r="A17" s="931"/>
      <c r="B17" s="481" t="e">
        <f>'Area Calculations'!#REF!</f>
        <v>#REF!</v>
      </c>
      <c r="C17" s="484" t="s">
        <v>1035</v>
      </c>
      <c r="D17" s="422"/>
      <c r="E17" s="422"/>
      <c r="F17" s="422"/>
      <c r="G17" s="468"/>
      <c r="H17" s="1649"/>
      <c r="I17" s="1649"/>
      <c r="J17" s="1649"/>
      <c r="K17" s="1649"/>
      <c r="L17" s="1649"/>
      <c r="M17" s="1649"/>
      <c r="N17" s="1649"/>
      <c r="O17" s="1649"/>
      <c r="P17" s="1649"/>
      <c r="Q17" s="1649"/>
      <c r="R17" s="1649"/>
      <c r="S17" s="1649"/>
    </row>
    <row r="18" spans="1:19" hidden="1">
      <c r="A18" s="931"/>
      <c r="B18" s="481" t="e">
        <f>'Area Calculations'!#REF!</f>
        <v>#REF!</v>
      </c>
      <c r="C18" s="484" t="s">
        <v>1035</v>
      </c>
      <c r="D18" s="422"/>
      <c r="E18" s="422"/>
      <c r="F18" s="422"/>
      <c r="G18" s="468"/>
      <c r="H18" s="1649"/>
      <c r="I18" s="1649"/>
      <c r="J18" s="1649"/>
      <c r="K18" s="1649"/>
      <c r="L18" s="1649"/>
      <c r="M18" s="1649"/>
      <c r="N18" s="1649"/>
      <c r="O18" s="1649"/>
      <c r="P18" s="1649"/>
      <c r="Q18" s="1649"/>
      <c r="R18" s="1649"/>
      <c r="S18" s="1649"/>
    </row>
    <row r="19" spans="1:19" hidden="1">
      <c r="A19" s="931"/>
      <c r="B19" s="481" t="e">
        <f>'Area Calculations'!#REF!</f>
        <v>#REF!</v>
      </c>
      <c r="C19" s="484" t="s">
        <v>1035</v>
      </c>
      <c r="D19" s="422"/>
      <c r="E19" s="422"/>
      <c r="F19" s="422"/>
      <c r="G19" s="468"/>
      <c r="H19" s="1649"/>
      <c r="I19" s="1649"/>
      <c r="J19" s="1649"/>
      <c r="K19" s="1649"/>
      <c r="L19" s="1649"/>
      <c r="M19" s="1649"/>
      <c r="N19" s="1649"/>
      <c r="O19" s="1649"/>
      <c r="P19" s="1649"/>
      <c r="Q19" s="1649"/>
      <c r="R19" s="1649"/>
      <c r="S19" s="1649"/>
    </row>
    <row r="20" spans="1:19" ht="15.75" thickTop="1">
      <c r="A20" s="1757"/>
      <c r="B20" s="481"/>
      <c r="C20" s="484"/>
      <c r="D20" s="422"/>
      <c r="E20" s="422"/>
      <c r="F20" s="422"/>
      <c r="G20" s="468"/>
      <c r="H20" s="1649"/>
      <c r="I20" s="1649"/>
      <c r="J20" s="1649"/>
      <c r="K20" s="1649"/>
      <c r="L20" s="1649"/>
      <c r="M20" s="1649"/>
      <c r="N20" s="1649"/>
      <c r="O20" s="1649"/>
      <c r="P20" s="1649"/>
      <c r="Q20" s="1649"/>
      <c r="R20" s="1649"/>
      <c r="S20" s="1649"/>
    </row>
    <row r="21" spans="1:19" ht="15.75" thickBot="1">
      <c r="A21" s="1869"/>
      <c r="B21" s="485" t="s">
        <v>2103</v>
      </c>
      <c r="C21" s="28"/>
      <c r="D21" s="29"/>
      <c r="E21" s="29"/>
      <c r="F21" s="29"/>
      <c r="G21" s="33"/>
      <c r="H21" s="1652"/>
      <c r="I21" s="1870"/>
      <c r="J21" s="1652"/>
      <c r="K21" s="1792"/>
      <c r="L21" s="1652"/>
      <c r="M21" s="1792"/>
      <c r="N21" s="1792"/>
      <c r="O21" s="1792"/>
      <c r="P21" s="1792"/>
      <c r="Q21" s="1792"/>
      <c r="R21" s="1792"/>
      <c r="S21" s="1792"/>
    </row>
    <row r="22" spans="1:19">
      <c r="A22" s="1869"/>
      <c r="B22" s="1654" t="s">
        <v>725</v>
      </c>
      <c r="C22" s="484"/>
      <c r="D22" s="422"/>
      <c r="E22" s="422"/>
      <c r="F22" s="422"/>
      <c r="G22" s="468"/>
      <c r="H22" s="1652"/>
      <c r="I22" s="1870"/>
      <c r="J22" s="1652"/>
      <c r="K22" s="1792"/>
      <c r="L22" s="1652"/>
      <c r="M22" s="1792"/>
      <c r="N22" s="1792"/>
      <c r="O22" s="1792"/>
      <c r="P22" s="1792"/>
      <c r="Q22" s="1792"/>
      <c r="R22" s="1792"/>
      <c r="S22" s="1792"/>
    </row>
    <row r="23" spans="1:19">
      <c r="A23" s="1869"/>
      <c r="B23" s="1871" t="s">
        <v>726</v>
      </c>
      <c r="C23" s="484"/>
      <c r="D23" s="422"/>
      <c r="E23" s="422"/>
      <c r="F23" s="422"/>
      <c r="G23" s="468"/>
      <c r="H23" s="1652"/>
      <c r="I23" s="1870"/>
      <c r="J23" s="1652"/>
      <c r="K23" s="1792"/>
      <c r="L23" s="1652"/>
      <c r="M23" s="1792"/>
      <c r="N23" s="1792"/>
      <c r="O23" s="1792"/>
      <c r="P23" s="1792"/>
      <c r="Q23" s="1792"/>
      <c r="R23" s="1792"/>
      <c r="S23" s="1792"/>
    </row>
    <row r="24" spans="1:19">
      <c r="A24" s="1869"/>
      <c r="B24" s="1871" t="s">
        <v>728</v>
      </c>
      <c r="C24" s="476"/>
      <c r="D24" s="422"/>
      <c r="E24" s="422"/>
      <c r="F24" s="422"/>
      <c r="G24" s="468"/>
      <c r="H24" s="1652"/>
      <c r="I24" s="1870"/>
      <c r="J24" s="1652"/>
      <c r="K24" s="1792"/>
      <c r="L24" s="1652"/>
      <c r="M24" s="1792"/>
      <c r="N24" s="1792"/>
      <c r="O24" s="1792"/>
      <c r="P24" s="1792"/>
      <c r="Q24" s="1792"/>
      <c r="R24" s="1792"/>
      <c r="S24" s="1792"/>
    </row>
    <row r="25" spans="1:19">
      <c r="A25" s="1757"/>
      <c r="B25" s="1872" t="s">
        <v>729</v>
      </c>
      <c r="C25" s="476"/>
      <c r="D25" s="422"/>
      <c r="E25" s="422"/>
      <c r="F25" s="422"/>
      <c r="G25" s="468"/>
      <c r="H25" s="1652"/>
      <c r="I25" s="1870"/>
      <c r="J25" s="1652"/>
      <c r="K25" s="1792"/>
      <c r="L25" s="1652"/>
      <c r="M25" s="1792"/>
      <c r="N25" s="1792"/>
      <c r="O25" s="1792"/>
      <c r="P25" s="1792"/>
      <c r="Q25" s="1792"/>
      <c r="R25" s="1792"/>
      <c r="S25" s="1792"/>
    </row>
    <row r="26" spans="1:19" s="36" customFormat="1">
      <c r="A26" s="1869"/>
      <c r="B26" s="1872" t="s">
        <v>731</v>
      </c>
      <c r="C26" s="423"/>
      <c r="D26" s="418"/>
      <c r="E26" s="418"/>
      <c r="F26" s="418"/>
      <c r="G26" s="423"/>
      <c r="H26" s="1652"/>
      <c r="I26" s="1870"/>
      <c r="J26" s="1658"/>
      <c r="K26" s="1783"/>
      <c r="L26" s="1658"/>
      <c r="M26" s="1783"/>
      <c r="N26" s="1783"/>
      <c r="O26" s="1783"/>
      <c r="P26" s="1783"/>
      <c r="Q26" s="1783"/>
      <c r="R26" s="1783"/>
      <c r="S26" s="1783"/>
    </row>
    <row r="27" spans="1:19" s="36" customFormat="1">
      <c r="A27" s="1869"/>
      <c r="B27" s="1872" t="s">
        <v>732</v>
      </c>
      <c r="C27" s="423"/>
      <c r="D27" s="418"/>
      <c r="E27" s="418"/>
      <c r="F27" s="418"/>
      <c r="G27" s="423"/>
      <c r="H27" s="1652"/>
      <c r="I27" s="1870"/>
      <c r="J27" s="1658"/>
      <c r="K27" s="1783"/>
      <c r="L27" s="1658"/>
      <c r="M27" s="1783"/>
      <c r="N27" s="1783"/>
      <c r="O27" s="1783"/>
      <c r="P27" s="1783"/>
      <c r="Q27" s="1783"/>
      <c r="R27" s="1783"/>
      <c r="S27" s="1783"/>
    </row>
    <row r="28" spans="1:19" s="36" customFormat="1">
      <c r="A28" s="1869"/>
      <c r="B28" s="1872" t="s">
        <v>733</v>
      </c>
      <c r="C28" s="423"/>
      <c r="D28" s="418"/>
      <c r="E28" s="418"/>
      <c r="F28" s="418"/>
      <c r="G28" s="423"/>
      <c r="H28" s="1652"/>
      <c r="I28" s="1870"/>
      <c r="J28" s="1658"/>
      <c r="K28" s="1783"/>
      <c r="L28" s="1658"/>
      <c r="M28" s="1783"/>
      <c r="N28" s="1783"/>
      <c r="O28" s="1783"/>
      <c r="P28" s="1783"/>
      <c r="Q28" s="1783"/>
      <c r="R28" s="1783"/>
      <c r="S28" s="1783"/>
    </row>
    <row r="29" spans="1:19" s="36" customFormat="1">
      <c r="A29" s="1869"/>
      <c r="B29" s="1873" t="s">
        <v>736</v>
      </c>
      <c r="C29" s="423"/>
      <c r="D29" s="418"/>
      <c r="E29" s="418"/>
      <c r="F29" s="418"/>
      <c r="G29" s="423"/>
      <c r="H29" s="1652"/>
      <c r="I29" s="1652"/>
      <c r="J29" s="1658"/>
      <c r="K29" s="1783"/>
      <c r="L29" s="1658"/>
      <c r="M29" s="1783"/>
      <c r="N29" s="1783"/>
      <c r="O29" s="1783"/>
      <c r="P29" s="1783"/>
      <c r="Q29" s="1783"/>
      <c r="R29" s="1783"/>
      <c r="S29" s="1783"/>
    </row>
    <row r="30" spans="1:19" s="36" customFormat="1">
      <c r="A30" s="1869"/>
      <c r="B30" s="1874" t="s">
        <v>737</v>
      </c>
      <c r="C30" s="427"/>
      <c r="D30" s="426"/>
      <c r="E30" s="426"/>
      <c r="F30" s="426"/>
      <c r="G30" s="427"/>
      <c r="H30" s="1661"/>
      <c r="I30" s="1875"/>
      <c r="J30" s="1156"/>
      <c r="K30" s="1787"/>
      <c r="L30" s="1156"/>
      <c r="M30" s="1787"/>
      <c r="N30" s="1787"/>
      <c r="O30" s="1787"/>
      <c r="P30" s="1787"/>
      <c r="Q30" s="1787"/>
      <c r="R30" s="1787"/>
      <c r="S30" s="1787"/>
    </row>
    <row r="31" spans="1:19" s="36" customFormat="1">
      <c r="A31" s="1869"/>
      <c r="B31" s="66"/>
      <c r="C31" s="423"/>
      <c r="D31" s="418"/>
      <c r="E31" s="418"/>
      <c r="F31" s="418"/>
      <c r="G31" s="423"/>
      <c r="H31" s="1652"/>
      <c r="I31" s="1870"/>
      <c r="J31" s="1658"/>
      <c r="K31" s="1783"/>
      <c r="L31" s="1658"/>
      <c r="M31" s="1783"/>
      <c r="N31" s="1783"/>
      <c r="O31" s="1783"/>
      <c r="P31" s="1783"/>
      <c r="Q31" s="1783"/>
      <c r="R31" s="1783"/>
      <c r="S31" s="1783"/>
    </row>
    <row r="32" spans="1:19" s="36" customFormat="1">
      <c r="A32" s="1736"/>
      <c r="B32" s="1876"/>
      <c r="C32" s="477"/>
      <c r="D32" s="418"/>
      <c r="E32" s="418"/>
      <c r="F32" s="418"/>
      <c r="G32" s="423"/>
      <c r="H32" s="1652"/>
      <c r="I32" s="1870"/>
      <c r="J32" s="1658"/>
      <c r="K32" s="1783"/>
      <c r="L32" s="1658"/>
      <c r="M32" s="1783"/>
      <c r="N32" s="1783"/>
      <c r="O32" s="1783"/>
      <c r="P32" s="1783"/>
      <c r="Q32" s="1783"/>
      <c r="R32" s="1783"/>
      <c r="S32" s="1783"/>
    </row>
    <row r="33" spans="1:19" s="36" customFormat="1">
      <c r="A33" s="1736"/>
      <c r="B33" s="1876"/>
      <c r="C33" s="477"/>
      <c r="D33" s="418"/>
      <c r="E33" s="418"/>
      <c r="F33" s="418"/>
      <c r="G33" s="423"/>
      <c r="H33" s="1652"/>
      <c r="I33" s="1870"/>
      <c r="J33" s="1658"/>
      <c r="K33" s="1783"/>
      <c r="L33" s="1658"/>
      <c r="M33" s="1783"/>
      <c r="N33" s="1783"/>
      <c r="O33" s="1783"/>
      <c r="P33" s="1783"/>
      <c r="Q33" s="1783"/>
      <c r="R33" s="1783"/>
      <c r="S33" s="1783"/>
    </row>
    <row r="34" spans="1:19" s="36" customFormat="1">
      <c r="A34" s="1736"/>
      <c r="B34" s="1876"/>
      <c r="C34" s="477"/>
      <c r="D34" s="418"/>
      <c r="E34" s="418"/>
      <c r="F34" s="418"/>
      <c r="G34" s="423"/>
      <c r="H34" s="1652"/>
      <c r="I34" s="1870"/>
      <c r="J34" s="1658"/>
      <c r="K34" s="1783"/>
      <c r="L34" s="1658"/>
      <c r="M34" s="1783"/>
      <c r="N34" s="1783"/>
      <c r="O34" s="1783"/>
      <c r="P34" s="1783"/>
      <c r="Q34" s="1783"/>
      <c r="R34" s="1783"/>
      <c r="S34" s="1783"/>
    </row>
    <row r="35" spans="1:19" s="36" customFormat="1">
      <c r="A35" s="1736"/>
      <c r="B35" s="1876"/>
      <c r="C35" s="477"/>
      <c r="D35" s="418"/>
      <c r="E35" s="418"/>
      <c r="F35" s="418"/>
      <c r="G35" s="423"/>
      <c r="H35" s="1652"/>
      <c r="I35" s="1870"/>
      <c r="J35" s="1658"/>
      <c r="K35" s="1783"/>
      <c r="L35" s="1658"/>
      <c r="M35" s="1783"/>
      <c r="N35" s="1783"/>
      <c r="O35" s="1783"/>
      <c r="P35" s="1783"/>
      <c r="Q35" s="1783"/>
      <c r="R35" s="1783"/>
      <c r="S35" s="1783"/>
    </row>
    <row r="36" spans="1:19" s="36" customFormat="1">
      <c r="A36" s="1736"/>
      <c r="B36" s="1876"/>
      <c r="C36" s="477"/>
      <c r="D36" s="418"/>
      <c r="E36" s="418"/>
      <c r="F36" s="418"/>
      <c r="G36" s="423"/>
      <c r="H36" s="1652"/>
      <c r="I36" s="1870"/>
      <c r="J36" s="1658"/>
      <c r="K36" s="1783"/>
      <c r="L36" s="1658"/>
      <c r="M36" s="1783"/>
      <c r="N36" s="1783"/>
      <c r="O36" s="1783"/>
      <c r="P36" s="1783"/>
      <c r="Q36" s="1783"/>
      <c r="R36" s="1783"/>
      <c r="S36" s="1783"/>
    </row>
    <row r="37" spans="1:19" s="36" customFormat="1">
      <c r="A37" s="1736"/>
      <c r="B37" s="1876"/>
      <c r="C37" s="477"/>
      <c r="D37" s="418"/>
      <c r="E37" s="478"/>
      <c r="F37" s="492"/>
      <c r="G37" s="423"/>
      <c r="H37" s="1652"/>
      <c r="I37" s="1870"/>
      <c r="J37" s="1658"/>
      <c r="K37" s="1783"/>
      <c r="L37" s="1658"/>
      <c r="M37" s="1783"/>
      <c r="N37" s="1783"/>
      <c r="O37" s="1783"/>
      <c r="P37" s="1783"/>
      <c r="Q37" s="1783"/>
      <c r="R37" s="1783"/>
      <c r="S37" s="1783"/>
    </row>
    <row r="38" spans="1:19" s="36" customFormat="1">
      <c r="A38" s="1736"/>
      <c r="B38" s="1876"/>
      <c r="C38" s="477"/>
      <c r="D38" s="418"/>
      <c r="E38" s="478"/>
      <c r="F38" s="492"/>
      <c r="G38" s="423"/>
      <c r="H38" s="1652"/>
      <c r="I38" s="1870"/>
      <c r="J38" s="1658"/>
      <c r="K38" s="1783"/>
      <c r="L38" s="1658"/>
      <c r="M38" s="1783"/>
      <c r="N38" s="1783"/>
      <c r="O38" s="1783"/>
      <c r="P38" s="1783"/>
      <c r="Q38" s="1783"/>
      <c r="R38" s="1783"/>
      <c r="S38" s="1783"/>
    </row>
    <row r="39" spans="1:19" s="36" customFormat="1">
      <c r="A39" s="1736"/>
      <c r="B39" s="1876"/>
      <c r="C39" s="477"/>
      <c r="D39" s="418"/>
      <c r="E39" s="478"/>
      <c r="F39" s="492"/>
      <c r="G39" s="423"/>
      <c r="H39" s="1652"/>
      <c r="I39" s="1870"/>
      <c r="J39" s="1658"/>
      <c r="K39" s="1783"/>
      <c r="L39" s="1658"/>
      <c r="M39" s="1783"/>
      <c r="N39" s="1783"/>
      <c r="O39" s="1783"/>
      <c r="P39" s="1783"/>
      <c r="Q39" s="1783"/>
      <c r="R39" s="1783"/>
      <c r="S39" s="1783"/>
    </row>
    <row r="40" spans="1:19" s="36" customFormat="1">
      <c r="A40" s="1736"/>
      <c r="B40" s="1876"/>
      <c r="C40" s="477"/>
      <c r="D40" s="418"/>
      <c r="E40" s="478"/>
      <c r="F40" s="492"/>
      <c r="G40" s="423"/>
      <c r="H40" s="1652"/>
      <c r="I40" s="1870"/>
      <c r="J40" s="1658"/>
      <c r="K40" s="1783"/>
      <c r="L40" s="1658"/>
      <c r="M40" s="1783"/>
      <c r="N40" s="1783"/>
      <c r="O40" s="1783"/>
      <c r="P40" s="1783"/>
      <c r="Q40" s="1783"/>
      <c r="R40" s="1783"/>
      <c r="S40" s="1783"/>
    </row>
    <row r="41" spans="1:19" s="36" customFormat="1">
      <c r="A41" s="1736"/>
      <c r="B41" s="1876"/>
      <c r="C41" s="477"/>
      <c r="D41" s="418"/>
      <c r="E41" s="478"/>
      <c r="F41" s="492"/>
      <c r="G41" s="423"/>
      <c r="H41" s="1652"/>
      <c r="I41" s="1870"/>
      <c r="J41" s="1658"/>
      <c r="K41" s="1783"/>
      <c r="L41" s="1658"/>
      <c r="M41" s="1783"/>
      <c r="N41" s="1783"/>
      <c r="O41" s="1783"/>
      <c r="P41" s="1783"/>
      <c r="Q41" s="1783"/>
      <c r="R41" s="1783"/>
      <c r="S41" s="1783"/>
    </row>
    <row r="42" spans="1:19" s="36" customFormat="1">
      <c r="A42" s="1736"/>
      <c r="B42" s="1876"/>
      <c r="C42" s="477"/>
      <c r="D42" s="418"/>
      <c r="E42" s="478"/>
      <c r="F42" s="492"/>
      <c r="G42" s="423"/>
      <c r="H42" s="1652"/>
      <c r="I42" s="1870"/>
      <c r="J42" s="1658"/>
      <c r="K42" s="1783"/>
      <c r="L42" s="1658"/>
      <c r="M42" s="1783"/>
      <c r="N42" s="1783"/>
      <c r="O42" s="1783"/>
      <c r="P42" s="1783"/>
      <c r="Q42" s="1783"/>
      <c r="R42" s="1783"/>
      <c r="S42" s="1783"/>
    </row>
    <row r="43" spans="1:19" s="36" customFormat="1">
      <c r="A43" s="1736"/>
      <c r="B43" s="1876"/>
      <c r="C43" s="477"/>
      <c r="D43" s="418"/>
      <c r="E43" s="478"/>
      <c r="F43" s="492"/>
      <c r="G43" s="423"/>
      <c r="H43" s="1652"/>
      <c r="I43" s="1870"/>
      <c r="J43" s="1658"/>
      <c r="K43" s="1783"/>
      <c r="L43" s="1658"/>
      <c r="M43" s="1783"/>
      <c r="N43" s="1783"/>
      <c r="O43" s="1783"/>
      <c r="P43" s="1783"/>
      <c r="Q43" s="1783"/>
      <c r="R43" s="1783"/>
      <c r="S43" s="1783"/>
    </row>
    <row r="44" spans="1:19" s="36" customFormat="1">
      <c r="A44" s="1736"/>
      <c r="B44" s="1876"/>
      <c r="C44" s="477"/>
      <c r="D44" s="418"/>
      <c r="E44" s="478"/>
      <c r="F44" s="492"/>
      <c r="G44" s="423"/>
      <c r="H44" s="1652"/>
      <c r="I44" s="1870"/>
      <c r="J44" s="1658"/>
      <c r="K44" s="1783"/>
      <c r="L44" s="1658"/>
      <c r="M44" s="1783"/>
      <c r="N44" s="1783"/>
      <c r="O44" s="1783"/>
      <c r="P44" s="1783"/>
      <c r="Q44" s="1783"/>
      <c r="R44" s="1783"/>
      <c r="S44" s="1783"/>
    </row>
    <row r="45" spans="1:19" s="36" customFormat="1">
      <c r="A45" s="1736"/>
      <c r="B45" s="1876"/>
      <c r="C45" s="477"/>
      <c r="D45" s="418"/>
      <c r="E45" s="478"/>
      <c r="F45" s="492"/>
      <c r="G45" s="423"/>
      <c r="H45" s="1652"/>
      <c r="I45" s="1870"/>
      <c r="J45" s="1658"/>
      <c r="K45" s="1783"/>
      <c r="L45" s="1658"/>
      <c r="M45" s="1783"/>
      <c r="N45" s="1783"/>
      <c r="O45" s="1783"/>
      <c r="P45" s="1783"/>
      <c r="Q45" s="1783"/>
      <c r="R45" s="1783"/>
      <c r="S45" s="1783"/>
    </row>
    <row r="46" spans="1:19" s="36" customFormat="1">
      <c r="A46" s="1736"/>
      <c r="B46" s="1876"/>
      <c r="C46" s="477"/>
      <c r="D46" s="418"/>
      <c r="E46" s="478"/>
      <c r="F46" s="492"/>
      <c r="G46" s="423"/>
      <c r="H46" s="1652"/>
      <c r="I46" s="1870"/>
      <c r="J46" s="1658"/>
      <c r="K46" s="1783"/>
      <c r="L46" s="1658"/>
      <c r="M46" s="1783"/>
      <c r="N46" s="1783"/>
      <c r="O46" s="1783"/>
      <c r="P46" s="1783"/>
      <c r="Q46" s="1783"/>
      <c r="R46" s="1783"/>
      <c r="S46" s="1783"/>
    </row>
    <row r="47" spans="1:19" s="36" customFormat="1">
      <c r="A47" s="1736"/>
      <c r="B47" s="1876"/>
      <c r="C47" s="477"/>
      <c r="D47" s="418"/>
      <c r="E47" s="478"/>
      <c r="F47" s="492"/>
      <c r="G47" s="423"/>
      <c r="H47" s="1652"/>
      <c r="I47" s="1870"/>
      <c r="J47" s="1658"/>
      <c r="K47" s="1783"/>
      <c r="L47" s="1658"/>
      <c r="M47" s="1783"/>
      <c r="N47" s="1783"/>
      <c r="O47" s="1783"/>
      <c r="P47" s="1783"/>
      <c r="Q47" s="1783"/>
      <c r="R47" s="1783"/>
      <c r="S47" s="1783"/>
    </row>
    <row r="48" spans="1:19" s="36" customFormat="1">
      <c r="A48" s="1736"/>
      <c r="B48" s="1876"/>
      <c r="C48" s="477"/>
      <c r="D48" s="418"/>
      <c r="E48" s="478"/>
      <c r="F48" s="492"/>
      <c r="G48" s="423"/>
      <c r="H48" s="1652"/>
      <c r="I48" s="1870"/>
      <c r="J48" s="1658"/>
      <c r="K48" s="1783"/>
      <c r="L48" s="1658"/>
      <c r="M48" s="1783"/>
      <c r="N48" s="1783"/>
      <c r="O48" s="1783"/>
      <c r="P48" s="1783"/>
      <c r="Q48" s="1783"/>
      <c r="R48" s="1783"/>
      <c r="S48" s="1783"/>
    </row>
    <row r="49" spans="1:19" s="36" customFormat="1">
      <c r="A49" s="1736"/>
      <c r="B49" s="1876"/>
      <c r="C49" s="477"/>
      <c r="D49" s="418"/>
      <c r="E49" s="478"/>
      <c r="F49" s="492"/>
      <c r="G49" s="423"/>
      <c r="H49" s="1652"/>
      <c r="I49" s="1870"/>
      <c r="J49" s="1658"/>
      <c r="K49" s="1783"/>
      <c r="L49" s="1658"/>
      <c r="M49" s="1783"/>
      <c r="N49" s="1783"/>
      <c r="O49" s="1783"/>
      <c r="P49" s="1783"/>
      <c r="Q49" s="1783"/>
      <c r="R49" s="1783"/>
      <c r="S49" s="1783"/>
    </row>
    <row r="50" spans="1:19" s="36" customFormat="1">
      <c r="A50" s="1736"/>
      <c r="B50" s="1876"/>
      <c r="C50" s="477"/>
      <c r="D50" s="418"/>
      <c r="E50" s="478"/>
      <c r="F50" s="492"/>
      <c r="G50" s="423"/>
      <c r="H50" s="1652"/>
      <c r="I50" s="1870"/>
      <c r="J50" s="1658"/>
      <c r="K50" s="1783"/>
      <c r="L50" s="1658"/>
      <c r="M50" s="1783"/>
      <c r="N50" s="1783"/>
      <c r="O50" s="1783"/>
      <c r="P50" s="1783"/>
      <c r="Q50" s="1783"/>
      <c r="R50" s="1783"/>
      <c r="S50" s="1783"/>
    </row>
    <row r="51" spans="1:19" s="36" customFormat="1">
      <c r="A51" s="1736"/>
      <c r="B51" s="1662"/>
      <c r="C51" s="477"/>
      <c r="D51" s="418"/>
      <c r="E51" s="478"/>
      <c r="F51" s="492"/>
      <c r="G51" s="423"/>
      <c r="H51" s="1652"/>
      <c r="I51" s="1870"/>
      <c r="J51" s="1658"/>
      <c r="K51" s="1783"/>
      <c r="L51" s="1658"/>
      <c r="M51" s="1783"/>
      <c r="N51" s="1783"/>
      <c r="O51" s="1783"/>
      <c r="P51" s="1783"/>
      <c r="Q51" s="1783"/>
      <c r="R51" s="1783"/>
      <c r="S51" s="1783"/>
    </row>
    <row r="52" spans="1:19" s="36" customFormat="1">
      <c r="A52" s="1736"/>
      <c r="B52" s="1662"/>
      <c r="C52" s="477"/>
      <c r="D52" s="418"/>
      <c r="E52" s="478"/>
      <c r="F52" s="492"/>
      <c r="G52" s="423"/>
      <c r="H52" s="1652"/>
      <c r="I52" s="1870"/>
      <c r="J52" s="1658"/>
      <c r="K52" s="1783"/>
      <c r="L52" s="1658"/>
      <c r="M52" s="1783"/>
      <c r="N52" s="1783"/>
      <c r="O52" s="1783"/>
      <c r="P52" s="1783"/>
      <c r="Q52" s="1783"/>
      <c r="R52" s="1783"/>
      <c r="S52" s="1783"/>
    </row>
    <row r="53" spans="1:19" s="36" customFormat="1" ht="15.75" thickBot="1">
      <c r="A53" s="1736"/>
      <c r="B53" s="1662"/>
      <c r="C53" s="477"/>
      <c r="D53" s="418"/>
      <c r="E53" s="478"/>
      <c r="F53" s="492"/>
      <c r="G53" s="423"/>
      <c r="H53" s="1652"/>
      <c r="I53" s="1870"/>
      <c r="J53" s="1658"/>
      <c r="K53" s="1783"/>
      <c r="L53" s="1658"/>
      <c r="M53" s="1783"/>
      <c r="N53" s="1783"/>
      <c r="O53" s="1783"/>
      <c r="P53" s="1783"/>
      <c r="Q53" s="1783"/>
      <c r="R53" s="1783"/>
      <c r="S53" s="1783"/>
    </row>
    <row r="54" spans="1:19" ht="15.75" thickTop="1">
      <c r="A54" s="13"/>
      <c r="B54" s="14"/>
      <c r="C54" s="15"/>
      <c r="D54" s="15"/>
      <c r="E54" s="16"/>
      <c r="F54" s="17" t="s">
        <v>753</v>
      </c>
      <c r="G54" s="18"/>
      <c r="H54" s="19"/>
      <c r="I54" s="32">
        <f>SUM(I23:I53)</f>
        <v>0</v>
      </c>
      <c r="J54" s="19"/>
      <c r="K54" s="32">
        <f>SUM(K23:K53)</f>
        <v>0</v>
      </c>
      <c r="L54" s="19"/>
      <c r="M54" s="32">
        <f>SUM(M23:M53)</f>
        <v>0</v>
      </c>
      <c r="N54" s="19"/>
      <c r="O54" s="32">
        <f>SUM(O23:O53)</f>
        <v>0</v>
      </c>
      <c r="P54" s="19"/>
      <c r="Q54" s="32">
        <f>SUM(Q23:Q53)</f>
        <v>0</v>
      </c>
      <c r="R54" s="19"/>
      <c r="S54" s="32">
        <f>SUM(S23:S53)</f>
        <v>0</v>
      </c>
    </row>
    <row r="55" spans="1:19">
      <c r="A55" s="932"/>
      <c r="B55" s="488"/>
      <c r="C55" s="433"/>
      <c r="D55" s="433"/>
      <c r="E55" s="434"/>
      <c r="F55" s="489" t="s">
        <v>754</v>
      </c>
      <c r="G55" s="471"/>
      <c r="H55" s="1165">
        <v>0</v>
      </c>
      <c r="I55" s="1667"/>
      <c r="J55" s="1165">
        <v>0</v>
      </c>
      <c r="K55" s="1667"/>
      <c r="L55" s="1165">
        <v>0</v>
      </c>
      <c r="M55" s="1667"/>
      <c r="N55" s="1165">
        <v>0</v>
      </c>
      <c r="O55" s="1667"/>
      <c r="P55" s="1165">
        <v>0</v>
      </c>
      <c r="Q55" s="1667"/>
      <c r="R55" s="1165">
        <v>0</v>
      </c>
      <c r="S55" s="1667"/>
    </row>
    <row r="56" spans="1:19">
      <c r="A56" s="932"/>
      <c r="B56" s="488"/>
      <c r="C56" s="433"/>
      <c r="D56" s="433"/>
      <c r="E56" s="434"/>
      <c r="F56" s="489" t="s">
        <v>755</v>
      </c>
      <c r="G56" s="471"/>
      <c r="H56" s="1166"/>
      <c r="I56" s="1668">
        <f>H55*I54</f>
        <v>0</v>
      </c>
      <c r="J56" s="1166"/>
      <c r="K56" s="1668">
        <f>J55*K54</f>
        <v>0</v>
      </c>
      <c r="L56" s="1166"/>
      <c r="M56" s="1668">
        <f>L55*M54</f>
        <v>0</v>
      </c>
      <c r="N56" s="1166"/>
      <c r="O56" s="1668">
        <f>N55*O54</f>
        <v>0</v>
      </c>
      <c r="P56" s="1166"/>
      <c r="Q56" s="1668">
        <f>P55*Q54</f>
        <v>0</v>
      </c>
      <c r="R56" s="1166"/>
      <c r="S56" s="1668">
        <f>R55*S54</f>
        <v>0</v>
      </c>
    </row>
    <row r="57" spans="1:19">
      <c r="A57" s="932"/>
      <c r="B57" s="488"/>
      <c r="C57" s="433"/>
      <c r="D57" s="433"/>
      <c r="E57" s="434"/>
      <c r="F57" s="489"/>
      <c r="G57" s="471"/>
      <c r="H57" s="1166"/>
      <c r="I57" s="1669"/>
      <c r="J57" s="1166"/>
      <c r="K57" s="1669"/>
      <c r="L57" s="1166"/>
      <c r="M57" s="1669"/>
      <c r="N57" s="1166"/>
      <c r="O57" s="1669"/>
      <c r="P57" s="1166"/>
      <c r="Q57" s="1669"/>
      <c r="R57" s="1166"/>
      <c r="S57" s="1669"/>
    </row>
    <row r="58" spans="1:19">
      <c r="A58" s="932"/>
      <c r="B58" s="488"/>
      <c r="C58" s="433"/>
      <c r="D58" s="433"/>
      <c r="E58" s="434"/>
      <c r="F58" s="489" t="s">
        <v>756</v>
      </c>
      <c r="G58" s="471"/>
      <c r="H58" s="1670"/>
      <c r="I58" s="1671">
        <f>SUM(I54:I56)</f>
        <v>0</v>
      </c>
      <c r="J58" s="1670"/>
      <c r="K58" s="1671">
        <f>SUM(K54:K56)</f>
        <v>0</v>
      </c>
      <c r="L58" s="1670"/>
      <c r="M58" s="1671">
        <f>SUM(M54:M56)</f>
        <v>0</v>
      </c>
      <c r="N58" s="1670"/>
      <c r="O58" s="1671">
        <f>SUM(O54:O56)</f>
        <v>0</v>
      </c>
      <c r="P58" s="1670"/>
      <c r="Q58" s="1671">
        <f>SUM(Q54:Q56)</f>
        <v>0</v>
      </c>
      <c r="R58" s="1670"/>
      <c r="S58" s="1671">
        <f>SUM(S54:S56)</f>
        <v>0</v>
      </c>
    </row>
    <row r="59" spans="1:19">
      <c r="A59" s="932"/>
      <c r="B59" s="488"/>
      <c r="C59" s="433"/>
      <c r="D59" s="433"/>
      <c r="E59" s="434"/>
      <c r="F59" s="490" t="s">
        <v>757</v>
      </c>
      <c r="G59" s="472"/>
      <c r="H59" s="1672"/>
      <c r="I59" s="1673">
        <f>I58/'Area Calculations'!$G$4</f>
        <v>0</v>
      </c>
      <c r="J59" s="1672"/>
      <c r="K59" s="1673">
        <f>K58/'Area Calculations'!$G$4</f>
        <v>0</v>
      </c>
      <c r="L59" s="1672"/>
      <c r="M59" s="1673">
        <f>M58/'Area Calculations'!$G$4</f>
        <v>0</v>
      </c>
      <c r="N59" s="1672"/>
      <c r="O59" s="1673">
        <f>O58/'Area Calculations'!$G$4</f>
        <v>0</v>
      </c>
      <c r="P59" s="1672"/>
      <c r="Q59" s="1673">
        <f>Q58/'Area Calculations'!$G$4</f>
        <v>0</v>
      </c>
      <c r="R59" s="1672"/>
      <c r="S59" s="1673">
        <f>S58/'Area Calculations'!$G$4</f>
        <v>0</v>
      </c>
    </row>
    <row r="60" spans="1:19">
      <c r="A60" s="932"/>
      <c r="B60" s="488"/>
      <c r="C60" s="433"/>
      <c r="D60" s="433"/>
      <c r="E60" s="434"/>
      <c r="F60" s="490" t="s">
        <v>758</v>
      </c>
      <c r="G60" s="473"/>
      <c r="H60" s="1672"/>
      <c r="I60" s="1673">
        <f>I58/'Area Calculations'!$G$9</f>
        <v>0</v>
      </c>
      <c r="J60" s="1672"/>
      <c r="K60" s="1673">
        <f>K58/'Area Calculations'!$G$9</f>
        <v>0</v>
      </c>
      <c r="L60" s="1672"/>
      <c r="M60" s="1673">
        <f>M58/'Area Calculations'!$G$9</f>
        <v>0</v>
      </c>
      <c r="N60" s="1672"/>
      <c r="O60" s="1673">
        <f>O58/'Area Calculations'!$G$9</f>
        <v>0</v>
      </c>
      <c r="P60" s="1672"/>
      <c r="Q60" s="1673">
        <f>Q58/'Area Calculations'!$G$9</f>
        <v>0</v>
      </c>
      <c r="R60" s="1672"/>
      <c r="S60" s="1673">
        <f>S58/'Area Calculations'!$G$9</f>
        <v>0</v>
      </c>
    </row>
    <row r="61" spans="1:19" ht="15.75" thickBot="1">
      <c r="A61" s="932"/>
      <c r="B61" s="488"/>
      <c r="C61" s="433"/>
      <c r="D61" s="433"/>
      <c r="E61" s="434"/>
      <c r="F61" s="489"/>
      <c r="G61" s="474"/>
      <c r="H61" s="1771"/>
      <c r="I61" s="1675"/>
      <c r="J61" s="1771"/>
      <c r="K61" s="1675"/>
      <c r="L61" s="1771"/>
      <c r="M61" s="1675"/>
      <c r="N61" s="1771"/>
      <c r="O61" s="1675"/>
      <c r="P61" s="1771"/>
      <c r="Q61" s="1675"/>
      <c r="R61" s="1771"/>
      <c r="S61" s="1675"/>
    </row>
    <row r="62" spans="1:19" ht="16.5" thickTop="1" thickBot="1">
      <c r="A62" s="2331" t="s">
        <v>759</v>
      </c>
      <c r="B62" s="2365"/>
      <c r="C62" s="12"/>
      <c r="D62" s="12"/>
      <c r="E62" s="12"/>
      <c r="F62" s="12"/>
      <c r="G62" s="26"/>
      <c r="H62" s="24"/>
      <c r="I62" s="20"/>
      <c r="J62" s="20"/>
      <c r="K62" s="20"/>
      <c r="L62" s="20"/>
      <c r="M62" s="20"/>
      <c r="N62" s="20"/>
      <c r="O62" s="20"/>
      <c r="P62" s="20"/>
      <c r="Q62" s="20"/>
      <c r="R62" s="20"/>
      <c r="S62" s="20"/>
    </row>
    <row r="63" spans="1:19" ht="15.75" thickTop="1">
      <c r="A63" s="1739"/>
      <c r="B63" s="481"/>
      <c r="C63" s="1740"/>
      <c r="D63" s="1740"/>
      <c r="E63" s="1740"/>
      <c r="F63" s="1740"/>
      <c r="G63" s="1722"/>
      <c r="H63" s="1775"/>
      <c r="I63" s="1582"/>
      <c r="J63" s="1582"/>
      <c r="K63" s="1582"/>
      <c r="L63" s="1582"/>
      <c r="M63" s="1582"/>
      <c r="N63" s="1582"/>
      <c r="O63" s="1582"/>
      <c r="P63" s="1582"/>
      <c r="Q63" s="1582"/>
      <c r="R63" s="1582"/>
      <c r="S63" s="1582"/>
    </row>
    <row r="64" spans="1:19" s="2" customFormat="1">
      <c r="A64" s="1739"/>
      <c r="B64" s="481"/>
      <c r="C64" s="1740"/>
      <c r="D64" s="1740"/>
      <c r="E64" s="1740"/>
      <c r="F64" s="1740"/>
      <c r="G64" s="1722"/>
      <c r="H64" s="1775"/>
      <c r="I64" s="1582"/>
      <c r="J64" s="1582"/>
      <c r="K64" s="1582"/>
      <c r="L64" s="1582"/>
      <c r="M64" s="1582"/>
      <c r="N64" s="1582"/>
      <c r="O64" s="1582"/>
      <c r="P64" s="1582"/>
      <c r="Q64" s="1582"/>
      <c r="R64" s="1582"/>
      <c r="S64" s="1582"/>
    </row>
    <row r="65" spans="1:19" s="2" customFormat="1" ht="15.75" thickBot="1">
      <c r="A65" s="1739"/>
      <c r="B65" s="481"/>
      <c r="C65" s="1740"/>
      <c r="D65" s="1740"/>
      <c r="E65" s="1740"/>
      <c r="F65" s="1740"/>
      <c r="G65" s="1722"/>
      <c r="H65" s="1775"/>
      <c r="I65" s="1582"/>
      <c r="J65" s="1582"/>
      <c r="K65" s="1582"/>
      <c r="L65" s="1582"/>
      <c r="M65" s="1582"/>
      <c r="N65" s="1582"/>
      <c r="O65" s="1582"/>
      <c r="P65" s="1582"/>
      <c r="Q65" s="1582"/>
      <c r="R65" s="1582"/>
      <c r="S65" s="1582"/>
    </row>
    <row r="66" spans="1:19" ht="16.5" thickTop="1" thickBot="1">
      <c r="A66" s="2331" t="s">
        <v>760</v>
      </c>
      <c r="B66" s="2365"/>
      <c r="C66" s="12"/>
      <c r="D66" s="12"/>
      <c r="E66" s="12"/>
      <c r="F66" s="12"/>
      <c r="G66" s="26"/>
      <c r="H66" s="24"/>
      <c r="I66" s="20"/>
      <c r="J66" s="20"/>
      <c r="K66" s="20"/>
      <c r="L66" s="20"/>
      <c r="M66" s="20"/>
      <c r="N66" s="20"/>
      <c r="O66" s="20"/>
      <c r="P66" s="20"/>
      <c r="Q66" s="20"/>
      <c r="R66" s="20"/>
      <c r="S66" s="20"/>
    </row>
    <row r="67" spans="1:19" s="2" customFormat="1" ht="15.75" thickTop="1">
      <c r="A67" s="1739"/>
      <c r="B67" s="481"/>
      <c r="C67" s="1740"/>
      <c r="D67" s="1740"/>
      <c r="E67" s="1740"/>
      <c r="F67" s="1740"/>
      <c r="G67" s="1722"/>
      <c r="H67" s="1775"/>
      <c r="I67" s="1582"/>
      <c r="J67" s="1582"/>
      <c r="K67" s="1582"/>
      <c r="L67" s="1582"/>
      <c r="M67" s="1582"/>
      <c r="N67" s="1582"/>
      <c r="O67" s="1582"/>
      <c r="P67" s="1582"/>
      <c r="Q67" s="1582"/>
      <c r="R67" s="1582"/>
      <c r="S67" s="1582"/>
    </row>
    <row r="68" spans="1:19" s="2" customFormat="1">
      <c r="A68" s="1739"/>
      <c r="B68" s="481"/>
      <c r="C68" s="1740"/>
      <c r="D68" s="1740"/>
      <c r="E68" s="1740"/>
      <c r="F68" s="1740"/>
      <c r="G68" s="1722"/>
      <c r="H68" s="1775"/>
      <c r="I68" s="1582"/>
      <c r="J68" s="1582"/>
      <c r="K68" s="1582"/>
      <c r="L68" s="1582"/>
      <c r="M68" s="1582"/>
      <c r="N68" s="1582"/>
      <c r="O68" s="1582"/>
      <c r="P68" s="1582"/>
      <c r="Q68" s="1582"/>
      <c r="R68" s="1582"/>
      <c r="S68" s="1582"/>
    </row>
    <row r="69" spans="1:19" ht="15.75" thickBot="1">
      <c r="A69" s="1739"/>
      <c r="B69" s="481"/>
      <c r="C69" s="1740"/>
      <c r="D69" s="1740"/>
      <c r="E69" s="1740"/>
      <c r="F69" s="1740"/>
      <c r="G69" s="1722"/>
      <c r="H69" s="1775"/>
      <c r="I69" s="1582"/>
      <c r="J69" s="1582"/>
      <c r="K69" s="1582"/>
      <c r="L69" s="1582"/>
      <c r="M69" s="1582"/>
      <c r="N69" s="1582"/>
      <c r="O69" s="1582"/>
      <c r="P69" s="1582"/>
      <c r="Q69" s="1582"/>
      <c r="R69" s="1582"/>
      <c r="S69" s="1582"/>
    </row>
    <row r="70" spans="1:19" ht="16.5" thickTop="1" thickBot="1">
      <c r="A70" s="2331" t="s">
        <v>761</v>
      </c>
      <c r="B70" s="2365"/>
      <c r="C70" s="12"/>
      <c r="D70" s="12"/>
      <c r="E70" s="12"/>
      <c r="F70" s="12"/>
      <c r="G70" s="26"/>
      <c r="H70" s="24"/>
      <c r="I70" s="20"/>
      <c r="J70" s="20"/>
      <c r="K70" s="20"/>
      <c r="L70" s="20"/>
      <c r="M70" s="20"/>
      <c r="N70" s="20"/>
      <c r="O70" s="20"/>
      <c r="P70" s="20"/>
      <c r="Q70" s="20"/>
      <c r="R70" s="20"/>
      <c r="S70" s="20"/>
    </row>
    <row r="71" spans="1:19" ht="15.75" thickTop="1">
      <c r="A71" s="1739"/>
      <c r="B71" s="481"/>
      <c r="C71" s="1740"/>
      <c r="D71" s="1740"/>
      <c r="E71" s="1740"/>
      <c r="F71" s="1740"/>
      <c r="G71" s="1722"/>
      <c r="H71" s="1775"/>
      <c r="I71" s="1582"/>
      <c r="J71" s="1582"/>
      <c r="K71" s="1582"/>
      <c r="L71" s="1582"/>
      <c r="M71" s="1582"/>
      <c r="N71" s="1582"/>
      <c r="O71" s="1582"/>
      <c r="P71" s="1582"/>
      <c r="Q71" s="1582"/>
      <c r="R71" s="1582"/>
      <c r="S71" s="1582"/>
    </row>
    <row r="72" spans="1:19">
      <c r="A72" s="931"/>
      <c r="B72" s="481"/>
      <c r="C72" s="422"/>
      <c r="D72" s="422"/>
      <c r="E72" s="422"/>
      <c r="F72" s="422"/>
      <c r="G72" s="831"/>
      <c r="H72" s="440"/>
      <c r="I72" s="1173"/>
      <c r="J72" s="1173"/>
      <c r="K72" s="1173"/>
      <c r="L72" s="1173"/>
      <c r="M72" s="1173"/>
      <c r="N72" s="1173"/>
      <c r="O72" s="1173"/>
      <c r="P72" s="1173"/>
      <c r="Q72" s="1173"/>
      <c r="R72" s="1173"/>
      <c r="S72" s="1173"/>
    </row>
    <row r="73" spans="1:19" ht="15.75" thickBot="1">
      <c r="A73" s="933"/>
      <c r="B73" s="491"/>
      <c r="C73" s="422"/>
      <c r="D73" s="422"/>
      <c r="E73" s="422"/>
      <c r="F73" s="422"/>
      <c r="G73" s="831"/>
      <c r="H73" s="441"/>
      <c r="I73" s="1175"/>
      <c r="J73" s="1175"/>
      <c r="K73" s="1175"/>
      <c r="L73" s="1175"/>
      <c r="M73" s="1175"/>
      <c r="N73" s="1175"/>
      <c r="O73" s="1175"/>
      <c r="P73" s="1175"/>
      <c r="Q73" s="1175"/>
      <c r="R73" s="1175"/>
      <c r="S73" s="1175"/>
    </row>
    <row r="74" spans="1:19" ht="16.5" thickTop="1" thickBot="1">
      <c r="A74" s="2331" t="s">
        <v>762</v>
      </c>
      <c r="B74" s="2365"/>
      <c r="C74" s="12"/>
      <c r="D74" s="12"/>
      <c r="E74" s="12"/>
      <c r="F74" s="12"/>
      <c r="G74" s="26"/>
      <c r="H74" s="24"/>
      <c r="I74" s="20"/>
      <c r="J74" s="20"/>
      <c r="K74" s="20"/>
      <c r="L74" s="20"/>
      <c r="M74" s="20"/>
      <c r="N74" s="20"/>
      <c r="O74" s="20"/>
      <c r="P74" s="20"/>
      <c r="Q74" s="20"/>
      <c r="R74" s="20"/>
      <c r="S74" s="20"/>
    </row>
    <row r="75" spans="1:19" ht="15.75" thickTop="1">
      <c r="A75" s="1741"/>
      <c r="B75" s="1742"/>
      <c r="C75" s="1740"/>
      <c r="D75" s="1740"/>
      <c r="E75" s="1740"/>
      <c r="F75" s="1740"/>
      <c r="G75" s="1722"/>
      <c r="H75" s="1775"/>
      <c r="I75" s="1582"/>
      <c r="J75" s="1582"/>
      <c r="K75" s="1582"/>
      <c r="L75" s="1582"/>
      <c r="M75" s="1582"/>
      <c r="N75" s="1582"/>
      <c r="O75" s="1582"/>
      <c r="P75" s="1582"/>
      <c r="Q75" s="1582"/>
      <c r="R75" s="1582"/>
      <c r="S75" s="1582"/>
    </row>
    <row r="76" spans="1:19">
      <c r="A76" s="933"/>
      <c r="B76" s="491"/>
      <c r="C76" s="422"/>
      <c r="D76" s="422"/>
      <c r="E76" s="422"/>
      <c r="F76" s="422"/>
      <c r="G76" s="831"/>
      <c r="H76" s="442"/>
      <c r="I76" s="1178"/>
      <c r="J76" s="1178"/>
      <c r="K76" s="1178"/>
      <c r="L76" s="1178"/>
      <c r="M76" s="1178"/>
      <c r="N76" s="1178"/>
      <c r="O76" s="1178"/>
      <c r="P76" s="1178"/>
      <c r="Q76" s="1178"/>
      <c r="R76" s="1178"/>
      <c r="S76" s="1178"/>
    </row>
    <row r="77" spans="1:19" ht="15.75" thickBot="1">
      <c r="A77" s="933"/>
      <c r="B77" s="491"/>
      <c r="C77" s="422"/>
      <c r="D77" s="422"/>
      <c r="E77" s="422"/>
      <c r="F77" s="422"/>
      <c r="G77" s="831"/>
      <c r="H77" s="442"/>
      <c r="I77" s="1178"/>
      <c r="J77" s="1178"/>
      <c r="K77" s="1178"/>
      <c r="L77" s="1178"/>
      <c r="M77" s="1178"/>
      <c r="N77" s="1178"/>
      <c r="O77" s="1178"/>
      <c r="P77" s="1178"/>
      <c r="Q77" s="1178"/>
      <c r="R77" s="1178"/>
      <c r="S77" s="1178"/>
    </row>
    <row r="78" spans="1:19" ht="16.5" thickTop="1" thickBot="1">
      <c r="A78" s="2331" t="s">
        <v>763</v>
      </c>
      <c r="B78" s="2365"/>
      <c r="C78" s="12"/>
      <c r="D78" s="12"/>
      <c r="E78" s="12"/>
      <c r="F78" s="12"/>
      <c r="G78" s="26"/>
      <c r="H78" s="24"/>
      <c r="I78" s="20"/>
      <c r="J78" s="20"/>
      <c r="K78" s="20"/>
      <c r="L78" s="20"/>
      <c r="M78" s="20"/>
      <c r="N78" s="20"/>
      <c r="O78" s="20"/>
      <c r="P78" s="20"/>
      <c r="Q78" s="20"/>
      <c r="R78" s="20"/>
      <c r="S78" s="20"/>
    </row>
    <row r="79" spans="1:19" ht="15.75" thickTop="1">
      <c r="A79" s="931"/>
      <c r="B79" s="481" t="s">
        <v>764</v>
      </c>
      <c r="C79" s="422"/>
      <c r="D79" s="422"/>
      <c r="E79" s="422"/>
      <c r="F79" s="422"/>
      <c r="G79" s="831"/>
      <c r="H79" s="442"/>
      <c r="I79" s="1178"/>
      <c r="J79" s="1178"/>
      <c r="K79" s="1178"/>
      <c r="L79" s="1178"/>
      <c r="M79" s="1178"/>
      <c r="N79" s="1178"/>
      <c r="O79" s="1178"/>
      <c r="P79" s="1178"/>
      <c r="Q79" s="1178"/>
      <c r="R79" s="1178"/>
      <c r="S79" s="1178"/>
    </row>
    <row r="80" spans="1:19">
      <c r="A80" s="931"/>
      <c r="B80" s="481" t="s">
        <v>765</v>
      </c>
      <c r="C80" s="422"/>
      <c r="D80" s="422"/>
      <c r="E80" s="422"/>
      <c r="F80" s="422"/>
      <c r="G80" s="831"/>
      <c r="H80" s="442"/>
      <c r="I80" s="1178"/>
      <c r="J80" s="1178"/>
      <c r="K80" s="1178"/>
      <c r="L80" s="1178"/>
      <c r="M80" s="1178"/>
      <c r="N80" s="1178"/>
      <c r="O80" s="1178"/>
      <c r="P80" s="1178"/>
      <c r="Q80" s="1178"/>
      <c r="R80" s="1178"/>
      <c r="S80" s="1178"/>
    </row>
    <row r="81" spans="1:19">
      <c r="A81" s="931"/>
      <c r="B81" s="481" t="s">
        <v>766</v>
      </c>
      <c r="C81" s="422"/>
      <c r="D81" s="422"/>
      <c r="E81" s="422"/>
      <c r="F81" s="422"/>
      <c r="G81" s="831"/>
      <c r="H81" s="442"/>
      <c r="I81" s="1178"/>
      <c r="J81" s="1178"/>
      <c r="K81" s="1178"/>
      <c r="L81" s="1178"/>
      <c r="M81" s="1178"/>
      <c r="N81" s="1178"/>
      <c r="O81" s="1178"/>
      <c r="P81" s="1178"/>
      <c r="Q81" s="1178"/>
      <c r="R81" s="1178"/>
      <c r="S81" s="1178"/>
    </row>
    <row r="82" spans="1:19">
      <c r="A82" s="931"/>
      <c r="B82" s="481" t="s">
        <v>767</v>
      </c>
      <c r="C82" s="422"/>
      <c r="D82" s="422"/>
      <c r="E82" s="422"/>
      <c r="F82" s="422"/>
      <c r="G82" s="831"/>
      <c r="H82" s="442"/>
      <c r="I82" s="1178"/>
      <c r="J82" s="1178"/>
      <c r="K82" s="1178"/>
      <c r="L82" s="1178"/>
      <c r="M82" s="1178"/>
      <c r="N82" s="1178"/>
      <c r="O82" s="1178"/>
      <c r="P82" s="1178"/>
      <c r="Q82" s="1178"/>
      <c r="R82" s="1178"/>
      <c r="S82" s="1178"/>
    </row>
    <row r="83" spans="1:19" ht="15.75" thickBot="1">
      <c r="A83" s="475"/>
      <c r="B83" s="340"/>
      <c r="C83" s="86"/>
      <c r="D83" s="86"/>
      <c r="E83" s="86"/>
      <c r="F83" s="86"/>
      <c r="G83" s="27"/>
      <c r="H83" s="25"/>
      <c r="I83" s="444"/>
      <c r="J83" s="444"/>
      <c r="K83" s="444"/>
      <c r="L83" s="444"/>
      <c r="M83" s="444"/>
      <c r="N83" s="444"/>
      <c r="O83" s="444"/>
      <c r="P83" s="444"/>
      <c r="Q83" s="444"/>
      <c r="R83" s="444"/>
      <c r="S83" s="444"/>
    </row>
    <row r="84" spans="1:19" ht="16.5" thickTop="1" thickBot="1">
      <c r="A84" s="7" t="s">
        <v>768</v>
      </c>
      <c r="B84" s="8"/>
      <c r="C84" s="12"/>
      <c r="D84" s="12"/>
      <c r="E84" s="12"/>
      <c r="F84" s="12"/>
      <c r="G84" s="26"/>
      <c r="H84" s="24"/>
      <c r="I84" s="20"/>
      <c r="J84" s="20"/>
      <c r="K84" s="20"/>
      <c r="L84" s="20"/>
      <c r="M84" s="20"/>
      <c r="N84" s="20"/>
      <c r="O84" s="20"/>
      <c r="P84" s="20"/>
      <c r="Q84" s="20"/>
      <c r="R84" s="20"/>
      <c r="S84" s="20"/>
    </row>
    <row r="85" spans="1:19" ht="15.75" thickTop="1">
      <c r="A85" s="1739"/>
      <c r="B85" s="1743" t="s">
        <v>769</v>
      </c>
      <c r="C85" s="1740"/>
      <c r="D85" s="1740"/>
      <c r="E85" s="1740"/>
      <c r="F85" s="1740"/>
      <c r="G85" s="1722"/>
      <c r="H85" s="1792"/>
      <c r="I85" s="1588"/>
      <c r="J85" s="1588"/>
      <c r="K85" s="1588"/>
      <c r="L85" s="1588"/>
      <c r="M85" s="1588"/>
      <c r="N85" s="1588"/>
      <c r="O85" s="1588"/>
      <c r="P85" s="1588"/>
      <c r="Q85" s="1588"/>
      <c r="R85" s="1588"/>
      <c r="S85" s="1588"/>
    </row>
    <row r="86" spans="1:19">
      <c r="A86" s="931"/>
      <c r="B86" s="481" t="s">
        <v>770</v>
      </c>
      <c r="C86" s="422"/>
      <c r="D86" s="422"/>
      <c r="E86" s="422"/>
      <c r="F86" s="422"/>
      <c r="G86" s="831"/>
      <c r="H86" s="445"/>
      <c r="I86" s="1182"/>
      <c r="J86" s="1182"/>
      <c r="K86" s="1182"/>
      <c r="L86" s="1182"/>
      <c r="M86" s="1182"/>
      <c r="N86" s="1182"/>
      <c r="O86" s="1182"/>
      <c r="P86" s="1182"/>
      <c r="Q86" s="1182"/>
      <c r="R86" s="1182"/>
      <c r="S86" s="1182"/>
    </row>
    <row r="87" spans="1:19" ht="15.75" thickBot="1">
      <c r="A87" s="1779"/>
      <c r="B87" s="943" t="s">
        <v>771</v>
      </c>
      <c r="C87" s="938"/>
      <c r="D87" s="938"/>
      <c r="E87" s="938"/>
      <c r="F87" s="938"/>
      <c r="G87" s="939"/>
      <c r="H87" s="940"/>
      <c r="I87" s="1140"/>
      <c r="J87" s="1140"/>
      <c r="K87" s="1140"/>
      <c r="L87" s="1140"/>
      <c r="M87" s="1140"/>
      <c r="N87" s="1140"/>
      <c r="O87" s="1140"/>
      <c r="P87" s="1140"/>
      <c r="Q87" s="1140"/>
      <c r="R87" s="1140"/>
      <c r="S87" s="1140"/>
    </row>
    <row r="88" spans="1:19" ht="16.5" thickTop="1" thickBot="1"/>
    <row r="89" spans="1:19" ht="16.5" thickTop="1" thickBot="1">
      <c r="A89" s="37" t="s">
        <v>772</v>
      </c>
      <c r="B89" s="39"/>
    </row>
    <row r="90" spans="1:19" ht="15.75" thickTop="1">
      <c r="A90" s="38" t="s">
        <v>693</v>
      </c>
      <c r="B90" s="1190"/>
    </row>
    <row r="91" spans="1:19">
      <c r="A91" s="1142" t="s">
        <v>702</v>
      </c>
      <c r="B91" s="1190"/>
    </row>
    <row r="92" spans="1:19">
      <c r="A92" s="1191" t="s">
        <v>708</v>
      </c>
      <c r="B92" s="1192"/>
    </row>
    <row r="93" spans="1:19">
      <c r="A93" s="1191" t="s">
        <v>713</v>
      </c>
      <c r="B93" s="1193"/>
    </row>
    <row r="94" spans="1:19" ht="15.75" thickBot="1">
      <c r="A94" s="1145" t="s">
        <v>69</v>
      </c>
      <c r="B94" s="1780"/>
    </row>
    <row r="95" spans="1:19" ht="15.75" thickTop="1"/>
    <row r="96" spans="1:19">
      <c r="A96" s="40"/>
      <c r="B96" s="1" t="s">
        <v>1454</v>
      </c>
    </row>
    <row r="97" spans="1:2">
      <c r="A97" s="41"/>
      <c r="B97" s="1" t="s">
        <v>1455</v>
      </c>
    </row>
  </sheetData>
  <mergeCells count="47">
    <mergeCell ref="A62:B62"/>
    <mergeCell ref="A66:B66"/>
    <mergeCell ref="A70:B70"/>
    <mergeCell ref="A74:B74"/>
    <mergeCell ref="A78:B7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DE4921A3-2112-41F9-9469-923CC900A199}"/>
  </hyperlink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F3D7-CFA7-46AB-8CC3-F4EEAB495E9D}">
  <sheetPr>
    <tabColor rgb="FF00B0F0"/>
  </sheetPr>
  <dimension ref="A1:AO103"/>
  <sheetViews>
    <sheetView zoomScale="90" zoomScaleNormal="90" workbookViewId="0">
      <pane xSplit="2" ySplit="10" topLeftCell="D26" activePane="bottomRight" state="frozen"/>
      <selection pane="topRight" activeCell="C1" sqref="C1"/>
      <selection pane="bottomLeft" activeCell="A10" sqref="A10"/>
      <selection pane="bottomRight" activeCell="B4" sqref="B4"/>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525" customWidth="1"/>
    <col min="9" max="9" width="15.7109375" style="270" customWidth="1"/>
    <col min="10" max="10" width="7.7109375" style="270" customWidth="1"/>
    <col min="11" max="11" width="15.7109375" style="270" customWidth="1"/>
    <col min="12" max="12" width="7.7109375" style="525" customWidth="1"/>
    <col min="13" max="13" width="15.7109375" style="270" customWidth="1"/>
    <col min="14" max="14" width="7.7109375" style="525"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687</v>
      </c>
      <c r="I4" s="2320"/>
      <c r="J4" s="2319" t="s">
        <v>686</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92" t="s">
        <v>2105</v>
      </c>
      <c r="I5" s="2393"/>
      <c r="J5" s="2392" t="s">
        <v>2106</v>
      </c>
      <c r="K5" s="2393"/>
      <c r="L5" s="2392" t="s">
        <v>2107</v>
      </c>
      <c r="M5" s="2393"/>
      <c r="N5" s="2392" t="s">
        <v>2108</v>
      </c>
      <c r="O5" s="2393"/>
      <c r="P5" s="2321" t="s">
        <v>2109</v>
      </c>
      <c r="Q5" s="2322"/>
      <c r="R5" s="2333"/>
      <c r="S5" s="2334"/>
      <c r="X5" s="261"/>
    </row>
    <row r="6" spans="1:24">
      <c r="A6" s="1082" t="s">
        <v>700</v>
      </c>
      <c r="B6" s="1196" t="s">
        <v>2110</v>
      </c>
      <c r="C6" s="415"/>
      <c r="D6" s="416"/>
      <c r="E6" s="417"/>
      <c r="F6" s="418"/>
      <c r="G6" s="419" t="s">
        <v>702</v>
      </c>
      <c r="H6" s="2394" t="s">
        <v>2111</v>
      </c>
      <c r="I6" s="2395"/>
      <c r="J6" s="2394" t="s">
        <v>2112</v>
      </c>
      <c r="K6" s="2395"/>
      <c r="L6" s="2394" t="s">
        <v>2113</v>
      </c>
      <c r="M6" s="2395"/>
      <c r="N6" s="2394" t="s">
        <v>2114</v>
      </c>
      <c r="O6" s="2395"/>
      <c r="P6" s="2325"/>
      <c r="Q6" s="2326"/>
      <c r="R6" s="2313"/>
      <c r="S6" s="2314"/>
      <c r="X6" s="261"/>
    </row>
    <row r="7" spans="1:24">
      <c r="A7" s="1082" t="s">
        <v>706</v>
      </c>
      <c r="B7" s="1197" t="s">
        <v>353</v>
      </c>
      <c r="C7" s="415"/>
      <c r="D7" s="416"/>
      <c r="E7" s="417"/>
      <c r="F7" s="418"/>
      <c r="G7" s="829" t="s">
        <v>708</v>
      </c>
      <c r="H7" s="2394" t="s">
        <v>2115</v>
      </c>
      <c r="I7" s="2395"/>
      <c r="J7" s="2394" t="s">
        <v>2116</v>
      </c>
      <c r="K7" s="2395"/>
      <c r="L7" s="2394" t="s">
        <v>2117</v>
      </c>
      <c r="M7" s="2395"/>
      <c r="N7" s="2394" t="s">
        <v>2118</v>
      </c>
      <c r="O7" s="2395"/>
      <c r="P7" s="2325"/>
      <c r="Q7" s="2326"/>
      <c r="R7" s="2313"/>
      <c r="S7" s="2314"/>
      <c r="X7" s="261"/>
    </row>
    <row r="8" spans="1:24">
      <c r="A8" s="1082" t="s">
        <v>712</v>
      </c>
      <c r="B8" s="1198"/>
      <c r="C8" s="415"/>
      <c r="D8" s="416"/>
      <c r="E8" s="417"/>
      <c r="F8" s="418"/>
      <c r="G8" s="829" t="s">
        <v>713</v>
      </c>
      <c r="H8" s="2327" t="s">
        <v>2119</v>
      </c>
      <c r="I8" s="2328"/>
      <c r="J8" s="2327" t="s">
        <v>2120</v>
      </c>
      <c r="K8" s="2328"/>
      <c r="L8" s="2327" t="s">
        <v>2121</v>
      </c>
      <c r="M8" s="2328"/>
      <c r="N8" s="2327" t="s">
        <v>2122</v>
      </c>
      <c r="O8" s="2328"/>
      <c r="P8" s="2327"/>
      <c r="Q8" s="2328"/>
      <c r="R8" s="2315"/>
      <c r="S8" s="2316"/>
      <c r="X8" s="261"/>
    </row>
    <row r="9" spans="1:24" ht="15.75" thickBot="1">
      <c r="A9" s="420"/>
      <c r="B9" s="421"/>
      <c r="C9" s="23"/>
      <c r="D9" s="265"/>
      <c r="E9" s="266"/>
      <c r="F9" s="283"/>
      <c r="G9" s="284" t="s">
        <v>717</v>
      </c>
      <c r="H9" s="2317">
        <f>I66</f>
        <v>114439.55</v>
      </c>
      <c r="I9" s="2318"/>
      <c r="J9" s="2317">
        <f>K66</f>
        <v>125190</v>
      </c>
      <c r="K9" s="2318"/>
      <c r="L9" s="2317">
        <f>M66</f>
        <v>126625.48000000001</v>
      </c>
      <c r="M9" s="2318"/>
      <c r="N9" s="2330">
        <f>O66</f>
        <v>131210</v>
      </c>
      <c r="O9" s="2330"/>
      <c r="P9" s="2317">
        <f>Q66</f>
        <v>0</v>
      </c>
      <c r="Q9" s="2318"/>
      <c r="R9" s="2317">
        <f>S66</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c r="A11" s="1589"/>
      <c r="B11" s="1877" t="s">
        <v>725</v>
      </c>
      <c r="C11" s="927"/>
      <c r="D11" s="1740"/>
      <c r="E11" s="1740"/>
      <c r="F11" s="1744"/>
      <c r="G11" s="1781"/>
      <c r="H11" s="1878"/>
      <c r="I11" s="348"/>
      <c r="J11" s="1879"/>
      <c r="K11" s="1782"/>
      <c r="L11" s="1878"/>
      <c r="M11" s="1783"/>
      <c r="N11" s="1878"/>
      <c r="O11" s="1783"/>
      <c r="P11" s="1879"/>
      <c r="Q11" s="1783"/>
      <c r="R11" s="1879"/>
      <c r="S11" s="1783"/>
    </row>
    <row r="12" spans="1:24">
      <c r="A12" s="1589"/>
      <c r="B12" s="1201" t="s">
        <v>726</v>
      </c>
      <c r="C12" s="415"/>
      <c r="D12" s="422"/>
      <c r="E12" s="422"/>
      <c r="F12" s="418"/>
      <c r="G12" s="423"/>
      <c r="H12" s="1264" t="s">
        <v>727</v>
      </c>
      <c r="I12" s="1783"/>
      <c r="J12" s="1202"/>
      <c r="K12" s="1782"/>
      <c r="L12" s="1880"/>
      <c r="M12" s="1783"/>
      <c r="N12" s="1880"/>
      <c r="O12" s="1783"/>
      <c r="P12" s="1202"/>
      <c r="Q12" s="1783"/>
      <c r="R12" s="1202"/>
      <c r="S12" s="1783"/>
    </row>
    <row r="13" spans="1:24">
      <c r="A13" s="1097"/>
      <c r="B13" s="1201" t="s">
        <v>728</v>
      </c>
      <c r="C13" s="415"/>
      <c r="D13" s="422"/>
      <c r="E13" s="422"/>
      <c r="F13" s="418"/>
      <c r="G13" s="423"/>
      <c r="H13" s="1264" t="s">
        <v>727</v>
      </c>
      <c r="I13" s="1783"/>
      <c r="J13" s="1202"/>
      <c r="K13" s="1782"/>
      <c r="L13" s="1880"/>
      <c r="M13" s="1783"/>
      <c r="N13" s="1880"/>
      <c r="O13" s="1783"/>
      <c r="P13" s="1202"/>
      <c r="Q13" s="1783"/>
      <c r="R13" s="1202"/>
      <c r="S13" s="1783"/>
    </row>
    <row r="14" spans="1:24">
      <c r="A14" s="1589"/>
      <c r="B14" s="1203" t="s">
        <v>729</v>
      </c>
      <c r="C14" s="415"/>
      <c r="D14" s="422"/>
      <c r="E14" s="422"/>
      <c r="F14" s="418"/>
      <c r="G14" s="423"/>
      <c r="H14" s="1264" t="s">
        <v>730</v>
      </c>
      <c r="I14" s="1783"/>
      <c r="J14" s="1202"/>
      <c r="K14" s="1782"/>
      <c r="L14" s="1880"/>
      <c r="M14" s="1783"/>
      <c r="N14" s="1880"/>
      <c r="O14" s="1783"/>
      <c r="P14" s="1202"/>
      <c r="Q14" s="1783"/>
      <c r="R14" s="1202"/>
      <c r="S14" s="1783"/>
    </row>
    <row r="15" spans="1:24">
      <c r="A15" s="1097"/>
      <c r="B15" s="1203" t="s">
        <v>731</v>
      </c>
      <c r="C15" s="415"/>
      <c r="D15" s="422"/>
      <c r="E15" s="422"/>
      <c r="F15" s="418"/>
      <c r="G15" s="423"/>
      <c r="H15" s="1264" t="s">
        <v>727</v>
      </c>
      <c r="I15" s="1782"/>
      <c r="J15" s="1202"/>
      <c r="K15" s="1782"/>
      <c r="L15" s="1880"/>
      <c r="M15" s="1782"/>
      <c r="N15" s="1880"/>
      <c r="O15" s="1782"/>
      <c r="P15" s="1202"/>
      <c r="Q15" s="1782"/>
      <c r="R15" s="1202"/>
      <c r="S15" s="1782"/>
    </row>
    <row r="16" spans="1:24">
      <c r="A16" s="1589"/>
      <c r="B16" s="1203" t="s">
        <v>732</v>
      </c>
      <c r="C16" s="415"/>
      <c r="D16" s="422"/>
      <c r="E16" s="422"/>
      <c r="F16" s="418"/>
      <c r="G16" s="423"/>
      <c r="H16" s="1264" t="s">
        <v>727</v>
      </c>
      <c r="I16" s="1783"/>
      <c r="J16" s="1202"/>
      <c r="K16" s="1782"/>
      <c r="L16" s="1880"/>
      <c r="M16" s="1783"/>
      <c r="N16" s="1880"/>
      <c r="O16" s="1783"/>
      <c r="P16" s="1202"/>
      <c r="Q16" s="1783"/>
      <c r="R16" s="1202"/>
      <c r="S16" s="1783"/>
    </row>
    <row r="17" spans="1:41">
      <c r="A17" s="1097"/>
      <c r="B17" s="1203" t="s">
        <v>733</v>
      </c>
      <c r="C17" s="415"/>
      <c r="D17" s="422"/>
      <c r="E17" s="422"/>
      <c r="F17" s="418"/>
      <c r="G17" s="423"/>
      <c r="H17" s="1264" t="s">
        <v>727</v>
      </c>
      <c r="I17" s="1783"/>
      <c r="J17" s="1202"/>
      <c r="K17" s="1782"/>
      <c r="L17" s="1880"/>
      <c r="M17" s="1783"/>
      <c r="N17" s="1880"/>
      <c r="O17" s="1783"/>
      <c r="P17" s="1202"/>
      <c r="Q17" s="1783"/>
      <c r="R17" s="1202"/>
      <c r="S17" s="1783"/>
    </row>
    <row r="18" spans="1:41">
      <c r="A18" s="1589"/>
      <c r="B18" s="726" t="s">
        <v>734</v>
      </c>
      <c r="C18" s="415"/>
      <c r="D18" s="422"/>
      <c r="E18" s="422"/>
      <c r="F18" s="418"/>
      <c r="G18" s="423"/>
      <c r="H18" s="1264" t="s">
        <v>730</v>
      </c>
      <c r="I18" s="1783" t="s">
        <v>917</v>
      </c>
      <c r="J18" s="1202"/>
      <c r="K18" s="1782"/>
      <c r="L18" s="1880"/>
      <c r="M18" s="1783"/>
      <c r="N18" s="1880"/>
      <c r="O18" s="1783"/>
      <c r="P18" s="1202"/>
      <c r="Q18" s="1783"/>
      <c r="R18" s="1202"/>
      <c r="S18" s="1783"/>
    </row>
    <row r="19" spans="1:41">
      <c r="A19" s="1589"/>
      <c r="B19" s="1099" t="s">
        <v>736</v>
      </c>
      <c r="C19" s="415"/>
      <c r="D19" s="422"/>
      <c r="E19" s="422"/>
      <c r="F19" s="418"/>
      <c r="G19" s="423"/>
      <c r="H19" s="1880"/>
      <c r="I19" s="1783"/>
      <c r="J19" s="1202"/>
      <c r="K19" s="1782"/>
      <c r="L19" s="1880"/>
      <c r="M19" s="1783"/>
      <c r="N19" s="1880"/>
      <c r="O19" s="1783"/>
      <c r="P19" s="1202"/>
      <c r="Q19" s="1783"/>
      <c r="R19" s="1202"/>
      <c r="S19" s="1783"/>
    </row>
    <row r="20" spans="1:41">
      <c r="A20" s="1097"/>
      <c r="B20" s="1881" t="s">
        <v>737</v>
      </c>
      <c r="C20" s="424"/>
      <c r="D20" s="425"/>
      <c r="E20" s="425"/>
      <c r="F20" s="426"/>
      <c r="G20" s="427"/>
      <c r="H20" s="1882"/>
      <c r="I20" s="1883"/>
      <c r="J20" s="1101"/>
      <c r="K20" s="1884">
        <v>95900</v>
      </c>
      <c r="L20" s="1882"/>
      <c r="M20" s="1883"/>
      <c r="N20" s="1882"/>
      <c r="O20" s="1883"/>
      <c r="P20" s="1101"/>
      <c r="Q20" s="1883"/>
      <c r="R20" s="1101"/>
      <c r="S20" s="1883"/>
    </row>
    <row r="21" spans="1:41">
      <c r="A21" s="1589"/>
      <c r="B21" s="1788"/>
      <c r="C21" s="23"/>
      <c r="D21" s="86"/>
      <c r="E21" s="86"/>
      <c r="F21" s="280"/>
      <c r="G21" s="274"/>
      <c r="H21" s="1880"/>
      <c r="I21" s="428"/>
      <c r="J21" s="1202"/>
      <c r="K21" s="428"/>
      <c r="L21" s="1880"/>
      <c r="M21" s="428"/>
      <c r="N21" s="1880"/>
      <c r="O21" s="428"/>
      <c r="P21" s="1202"/>
      <c r="Q21" s="428"/>
      <c r="R21" s="1202"/>
      <c r="S21" s="428"/>
    </row>
    <row r="22" spans="1:41" s="69" customFormat="1" ht="45">
      <c r="A22" s="1097"/>
      <c r="B22" s="1105" t="s">
        <v>2123</v>
      </c>
      <c r="C22" s="415"/>
      <c r="D22" s="422"/>
      <c r="E22" s="422"/>
      <c r="F22" s="791"/>
      <c r="G22" s="792"/>
      <c r="H22" s="1880"/>
      <c r="I22" s="1885"/>
      <c r="J22" s="1202"/>
      <c r="K22" s="1886" t="s">
        <v>2106</v>
      </c>
      <c r="L22" s="1880"/>
      <c r="M22" s="1885"/>
      <c r="N22" s="1880"/>
      <c r="O22" s="1886"/>
      <c r="P22" s="1202"/>
      <c r="Q22" s="1886"/>
      <c r="R22" s="1202"/>
      <c r="S22" s="1885"/>
      <c r="T22"/>
      <c r="U22"/>
      <c r="V22"/>
      <c r="W22"/>
      <c r="X22"/>
      <c r="Y22"/>
      <c r="Z22"/>
      <c r="AA22"/>
      <c r="AB22"/>
      <c r="AC22"/>
      <c r="AD22"/>
      <c r="AE22"/>
      <c r="AF22"/>
      <c r="AG22"/>
      <c r="AH22"/>
      <c r="AI22"/>
      <c r="AJ22"/>
      <c r="AK22"/>
      <c r="AL22"/>
      <c r="AM22"/>
      <c r="AN22"/>
      <c r="AO22"/>
    </row>
    <row r="23" spans="1:41">
      <c r="A23" s="1097"/>
      <c r="B23" s="1887" t="s">
        <v>2124</v>
      </c>
      <c r="C23" s="415"/>
      <c r="D23" s="430"/>
      <c r="E23" s="422"/>
      <c r="F23" s="793"/>
      <c r="G23" s="1888"/>
      <c r="H23" s="1880"/>
      <c r="I23" s="1889"/>
      <c r="J23" s="1202"/>
      <c r="K23" s="1889"/>
      <c r="L23" s="1880"/>
      <c r="M23" s="1889"/>
      <c r="N23" s="1880"/>
      <c r="O23" s="1889"/>
      <c r="P23" s="1202"/>
      <c r="Q23" s="1889"/>
      <c r="R23" s="1202"/>
      <c r="S23" s="1889"/>
    </row>
    <row r="24" spans="1:41">
      <c r="A24" s="1589"/>
      <c r="B24" s="1887" t="s">
        <v>2125</v>
      </c>
      <c r="C24" s="415"/>
      <c r="D24" s="430"/>
      <c r="E24" s="422"/>
      <c r="F24" s="793"/>
      <c r="G24" s="1888"/>
      <c r="H24" s="1880"/>
      <c r="I24" s="1889"/>
      <c r="J24" s="1202"/>
      <c r="K24" s="1889"/>
      <c r="L24" s="1880"/>
      <c r="M24" s="1889"/>
      <c r="N24" s="1880"/>
      <c r="O24" s="1889"/>
      <c r="P24" s="1202"/>
      <c r="Q24" s="1889"/>
      <c r="R24" s="1202"/>
      <c r="S24" s="1889"/>
    </row>
    <row r="25" spans="1:41">
      <c r="A25" s="1097"/>
      <c r="B25" s="1887" t="s">
        <v>2126</v>
      </c>
      <c r="C25" s="415"/>
      <c r="D25" s="430"/>
      <c r="E25" s="422"/>
      <c r="F25" s="793"/>
      <c r="G25" s="1888"/>
      <c r="H25" s="1880"/>
      <c r="I25" s="1889"/>
      <c r="J25" s="1202"/>
      <c r="K25" s="1889"/>
      <c r="L25" s="1880"/>
      <c r="M25" s="1889"/>
      <c r="N25" s="1880"/>
      <c r="O25" s="1889"/>
      <c r="P25" s="1202"/>
      <c r="Q25" s="1889"/>
      <c r="R25" s="1202"/>
      <c r="S25" s="1889"/>
    </row>
    <row r="26" spans="1:41">
      <c r="A26" s="1589"/>
      <c r="B26" s="1887" t="s">
        <v>2127</v>
      </c>
      <c r="C26" s="415"/>
      <c r="D26" s="430"/>
      <c r="E26" s="422"/>
      <c r="F26" s="793"/>
      <c r="G26" s="1888"/>
      <c r="H26" s="1880"/>
      <c r="I26" s="1889"/>
      <c r="J26" s="1202"/>
      <c r="K26" s="1889"/>
      <c r="L26" s="1880"/>
      <c r="M26" s="1889"/>
      <c r="N26" s="1880"/>
      <c r="O26" s="1889"/>
      <c r="P26" s="1202"/>
      <c r="Q26" s="1889"/>
      <c r="R26" s="1202"/>
      <c r="S26" s="1889"/>
    </row>
    <row r="27" spans="1:41">
      <c r="A27" s="1097"/>
      <c r="B27" s="1887" t="s">
        <v>2128</v>
      </c>
      <c r="C27" s="415"/>
      <c r="D27" s="430"/>
      <c r="E27" s="422"/>
      <c r="F27" s="793"/>
      <c r="G27" s="1888"/>
      <c r="H27" s="1880"/>
      <c r="I27" s="1889"/>
      <c r="J27" s="1202"/>
      <c r="K27" s="1889"/>
      <c r="L27" s="1880"/>
      <c r="M27" s="1889"/>
      <c r="N27" s="1880"/>
      <c r="O27" s="1889"/>
      <c r="P27" s="1202"/>
      <c r="Q27" s="1889"/>
      <c r="R27" s="1202"/>
      <c r="S27" s="1889"/>
    </row>
    <row r="28" spans="1:41">
      <c r="A28" s="1589"/>
      <c r="B28" s="1887" t="s">
        <v>2129</v>
      </c>
      <c r="C28" s="415"/>
      <c r="D28" s="430"/>
      <c r="E28" s="422"/>
      <c r="F28" s="793"/>
      <c r="G28" s="1888"/>
      <c r="H28" s="1880"/>
      <c r="I28" s="1889"/>
      <c r="J28" s="1202"/>
      <c r="K28" s="1889"/>
      <c r="L28" s="1880"/>
      <c r="M28" s="1889"/>
      <c r="N28" s="1880"/>
      <c r="O28" s="1889"/>
      <c r="P28" s="1202"/>
      <c r="Q28" s="1889"/>
      <c r="R28" s="1202"/>
      <c r="S28" s="1889"/>
    </row>
    <row r="29" spans="1:41">
      <c r="A29" s="1097"/>
      <c r="B29" s="1887" t="s">
        <v>2130</v>
      </c>
      <c r="C29" s="415"/>
      <c r="D29" s="430"/>
      <c r="E29" s="422"/>
      <c r="F29" s="793"/>
      <c r="G29" s="1888"/>
      <c r="H29" s="1880"/>
      <c r="I29" s="1889"/>
      <c r="J29" s="1202"/>
      <c r="K29" s="1889"/>
      <c r="L29" s="1880"/>
      <c r="M29" s="1889"/>
      <c r="N29" s="1880"/>
      <c r="O29" s="1889"/>
      <c r="P29" s="1202"/>
      <c r="Q29" s="1889"/>
      <c r="R29" s="1202"/>
      <c r="S29" s="1889"/>
    </row>
    <row r="30" spans="1:41">
      <c r="A30" s="1589"/>
      <c r="B30" s="1890"/>
      <c r="C30" s="415"/>
      <c r="D30" s="430"/>
      <c r="E30" s="422"/>
      <c r="F30" s="793"/>
      <c r="G30" s="1888"/>
      <c r="H30" s="1880"/>
      <c r="I30" s="1889"/>
      <c r="J30" s="1202"/>
      <c r="K30" s="1889"/>
      <c r="L30" s="1880"/>
      <c r="M30" s="1889"/>
      <c r="N30" s="1880"/>
      <c r="O30" s="1889"/>
      <c r="P30" s="1202"/>
      <c r="Q30" s="1889"/>
      <c r="R30" s="1202"/>
      <c r="S30" s="1889"/>
    </row>
    <row r="31" spans="1:41">
      <c r="A31" s="1097"/>
      <c r="B31" s="1890" t="s">
        <v>2131</v>
      </c>
      <c r="C31" s="415"/>
      <c r="D31" s="430">
        <v>2</v>
      </c>
      <c r="E31" s="422" t="s">
        <v>468</v>
      </c>
      <c r="F31" s="793"/>
      <c r="G31" s="1888"/>
      <c r="H31" s="1880" t="s">
        <v>682</v>
      </c>
      <c r="I31" s="1889">
        <v>37031.440000000002</v>
      </c>
      <c r="J31" s="1880" t="s">
        <v>682</v>
      </c>
      <c r="K31" s="1889"/>
      <c r="L31" s="1880" t="s">
        <v>682</v>
      </c>
      <c r="M31" s="1889">
        <v>48367.54</v>
      </c>
      <c r="N31" s="1880" t="s">
        <v>682</v>
      </c>
      <c r="O31" s="1889">
        <v>73170</v>
      </c>
      <c r="P31" s="1202"/>
      <c r="Q31" s="1889"/>
      <c r="R31" s="1202"/>
      <c r="S31" s="1889"/>
    </row>
    <row r="32" spans="1:41">
      <c r="A32" s="1589"/>
      <c r="B32" s="1887" t="s">
        <v>2132</v>
      </c>
      <c r="C32" s="23"/>
      <c r="D32" s="430"/>
      <c r="E32" s="422"/>
      <c r="F32" s="793"/>
      <c r="G32" s="1888"/>
      <c r="H32" s="1880" t="s">
        <v>682</v>
      </c>
      <c r="I32" s="1889" t="s">
        <v>2133</v>
      </c>
      <c r="J32" s="1880"/>
      <c r="K32" s="1891" t="s">
        <v>2133</v>
      </c>
      <c r="L32" s="1880" t="s">
        <v>682</v>
      </c>
      <c r="M32" s="1892" t="s">
        <v>2134</v>
      </c>
      <c r="N32" s="1880"/>
      <c r="O32" s="1891" t="s">
        <v>2133</v>
      </c>
      <c r="P32" s="1202"/>
      <c r="Q32" s="1783"/>
      <c r="R32" s="1202"/>
      <c r="S32" s="1889"/>
    </row>
    <row r="33" spans="1:19" ht="45">
      <c r="A33" s="1589"/>
      <c r="B33" s="1247" t="s">
        <v>2135</v>
      </c>
      <c r="C33" s="23"/>
      <c r="D33" s="430"/>
      <c r="E33" s="422"/>
      <c r="F33" s="793"/>
      <c r="G33" s="1888"/>
      <c r="H33" s="1880" t="s">
        <v>682</v>
      </c>
      <c r="I33" s="1889"/>
      <c r="J33" s="1880" t="s">
        <v>682</v>
      </c>
      <c r="K33" s="1889"/>
      <c r="L33" s="1880" t="s">
        <v>682</v>
      </c>
      <c r="M33" s="1889"/>
      <c r="N33" s="1880" t="s">
        <v>682</v>
      </c>
      <c r="O33" s="1889"/>
      <c r="P33" s="1202"/>
      <c r="Q33" s="1889"/>
      <c r="R33" s="1202"/>
      <c r="S33" s="1889"/>
    </row>
    <row r="34" spans="1:19" ht="60">
      <c r="A34" s="1589"/>
      <c r="B34" s="1247" t="s">
        <v>2136</v>
      </c>
      <c r="C34" s="23"/>
      <c r="D34" s="87"/>
      <c r="E34" s="86"/>
      <c r="F34" s="793"/>
      <c r="G34" s="1888"/>
      <c r="H34" s="1880" t="s">
        <v>682</v>
      </c>
      <c r="I34" s="1889"/>
      <c r="J34" s="1880" t="s">
        <v>682</v>
      </c>
      <c r="K34" s="1889"/>
      <c r="L34" s="1880" t="s">
        <v>682</v>
      </c>
      <c r="M34" s="1889"/>
      <c r="N34" s="1880" t="s">
        <v>682</v>
      </c>
      <c r="O34" s="1889"/>
      <c r="P34" s="1202"/>
      <c r="Q34" s="1889"/>
      <c r="R34" s="1202"/>
      <c r="S34" s="1889"/>
    </row>
    <row r="35" spans="1:19" ht="30">
      <c r="A35" s="1589"/>
      <c r="B35" s="1247" t="s">
        <v>2137</v>
      </c>
      <c r="C35" s="23"/>
      <c r="D35" s="87"/>
      <c r="E35" s="86"/>
      <c r="F35" s="793"/>
      <c r="G35" s="1888"/>
      <c r="H35" s="1880" t="s">
        <v>682</v>
      </c>
      <c r="I35" s="1889"/>
      <c r="J35" s="1880" t="s">
        <v>682</v>
      </c>
      <c r="K35" s="1889"/>
      <c r="L35" s="1880" t="s">
        <v>682</v>
      </c>
      <c r="M35" s="1889"/>
      <c r="N35" s="1880" t="s">
        <v>682</v>
      </c>
      <c r="O35" s="1889"/>
      <c r="P35" s="1202"/>
      <c r="Q35" s="1889"/>
      <c r="R35" s="1202"/>
      <c r="S35" s="1889"/>
    </row>
    <row r="36" spans="1:19">
      <c r="A36" s="1589"/>
      <c r="B36" s="1247" t="s">
        <v>2138</v>
      </c>
      <c r="C36" s="23"/>
      <c r="D36" s="87"/>
      <c r="E36" s="86"/>
      <c r="F36" s="793"/>
      <c r="G36" s="1888"/>
      <c r="H36" s="1880"/>
      <c r="I36" s="1892" t="s">
        <v>2139</v>
      </c>
      <c r="J36" s="1880"/>
      <c r="K36" s="1892" t="s">
        <v>2139</v>
      </c>
      <c r="L36" s="1880" t="s">
        <v>682</v>
      </c>
      <c r="M36" s="1889"/>
      <c r="N36" s="1880"/>
      <c r="O36" s="1892" t="s">
        <v>2139</v>
      </c>
      <c r="P36" s="1202"/>
      <c r="Q36" s="1889"/>
      <c r="R36" s="1202"/>
      <c r="S36" s="1889"/>
    </row>
    <row r="37" spans="1:19" ht="45">
      <c r="A37" s="1589"/>
      <c r="B37" s="1247" t="s">
        <v>2140</v>
      </c>
      <c r="C37" s="23"/>
      <c r="D37" s="87"/>
      <c r="E37" s="86"/>
      <c r="F37" s="793"/>
      <c r="G37" s="1888"/>
      <c r="H37" s="1880" t="s">
        <v>682</v>
      </c>
      <c r="I37" s="1889"/>
      <c r="J37" s="1880" t="s">
        <v>682</v>
      </c>
      <c r="K37" s="1889"/>
      <c r="L37" s="1880" t="s">
        <v>682</v>
      </c>
      <c r="M37" s="1889"/>
      <c r="N37" s="1880" t="s">
        <v>682</v>
      </c>
      <c r="O37" s="1889"/>
      <c r="P37" s="1202"/>
      <c r="Q37" s="1889"/>
      <c r="R37" s="1202"/>
      <c r="S37" s="1889"/>
    </row>
    <row r="38" spans="1:19" ht="60">
      <c r="A38" s="1589"/>
      <c r="B38" s="1247" t="s">
        <v>2141</v>
      </c>
      <c r="C38" s="23"/>
      <c r="D38" s="87"/>
      <c r="E38" s="86"/>
      <c r="F38" s="793"/>
      <c r="G38" s="1888"/>
      <c r="H38" s="1880" t="s">
        <v>682</v>
      </c>
      <c r="I38" s="1889"/>
      <c r="J38" s="1880" t="s">
        <v>682</v>
      </c>
      <c r="K38" s="1889"/>
      <c r="L38" s="1880" t="s">
        <v>682</v>
      </c>
      <c r="M38" s="1889"/>
      <c r="N38" s="1880" t="s">
        <v>682</v>
      </c>
      <c r="O38" s="1889"/>
      <c r="P38" s="1202"/>
      <c r="Q38" s="1889"/>
      <c r="R38" s="1202"/>
      <c r="S38" s="1889"/>
    </row>
    <row r="39" spans="1:19" ht="60">
      <c r="A39" s="1589"/>
      <c r="B39" s="1247" t="s">
        <v>2142</v>
      </c>
      <c r="C39" s="23"/>
      <c r="D39" s="87"/>
      <c r="E39" s="86"/>
      <c r="F39" s="793"/>
      <c r="G39" s="1888"/>
      <c r="H39" s="1880" t="s">
        <v>682</v>
      </c>
      <c r="I39" s="1889"/>
      <c r="J39" s="1880" t="s">
        <v>682</v>
      </c>
      <c r="K39" s="1889"/>
      <c r="L39" s="1880" t="s">
        <v>682</v>
      </c>
      <c r="M39" s="1889"/>
      <c r="N39" s="1880" t="s">
        <v>682</v>
      </c>
      <c r="O39" s="1889"/>
      <c r="P39" s="1202"/>
      <c r="Q39" s="1889"/>
      <c r="R39" s="1202"/>
      <c r="S39" s="1889"/>
    </row>
    <row r="40" spans="1:19" s="267" customFormat="1" ht="30">
      <c r="A40" s="1589"/>
      <c r="B40" s="1893" t="s">
        <v>2143</v>
      </c>
      <c r="C40" s="517"/>
      <c r="D40" s="574"/>
      <c r="E40" s="390"/>
      <c r="F40" s="794"/>
      <c r="G40" s="1894"/>
      <c r="H40" s="1880" t="s">
        <v>682</v>
      </c>
      <c r="I40" s="1895"/>
      <c r="J40" s="1880"/>
      <c r="K40" s="1896">
        <v>6290</v>
      </c>
      <c r="L40" s="1880" t="s">
        <v>682</v>
      </c>
      <c r="M40" s="1895"/>
      <c r="N40" s="1880" t="s">
        <v>682</v>
      </c>
      <c r="O40" s="1895"/>
      <c r="P40" s="1202"/>
      <c r="Q40" s="1783"/>
      <c r="R40" s="1880"/>
      <c r="S40" s="1895"/>
    </row>
    <row r="41" spans="1:19">
      <c r="A41" s="1589"/>
      <c r="B41" s="1113"/>
      <c r="C41" s="23"/>
      <c r="D41" s="87"/>
      <c r="E41" s="86"/>
      <c r="F41" s="793"/>
      <c r="G41" s="1888"/>
      <c r="H41" s="1880"/>
      <c r="I41" s="1889"/>
      <c r="J41" s="1880"/>
      <c r="K41" s="1889"/>
      <c r="L41" s="1880"/>
      <c r="M41" s="1889"/>
      <c r="N41" s="1880"/>
      <c r="O41" s="1889"/>
      <c r="P41" s="1202"/>
      <c r="Q41" s="1889"/>
      <c r="R41" s="1202"/>
      <c r="S41" s="1889"/>
    </row>
    <row r="42" spans="1:19">
      <c r="A42" s="1589"/>
      <c r="B42" s="1113" t="s">
        <v>2144</v>
      </c>
      <c r="C42" s="23"/>
      <c r="D42" s="87">
        <v>2</v>
      </c>
      <c r="E42" s="86" t="s">
        <v>468</v>
      </c>
      <c r="F42" s="793">
        <f>I42/D42</f>
        <v>27204.055</v>
      </c>
      <c r="G42" s="1888"/>
      <c r="H42" s="1880" t="s">
        <v>682</v>
      </c>
      <c r="I42" s="1889">
        <v>54408.11</v>
      </c>
      <c r="J42" s="1880" t="s">
        <v>682</v>
      </c>
      <c r="K42" s="1889"/>
      <c r="L42" s="1880"/>
      <c r="M42" s="1889">
        <v>55257.94</v>
      </c>
      <c r="N42" s="1880"/>
      <c r="O42" s="1889">
        <v>35040</v>
      </c>
      <c r="P42" s="1202"/>
      <c r="Q42" s="1889"/>
      <c r="R42" s="1202"/>
      <c r="S42" s="1889"/>
    </row>
    <row r="43" spans="1:19" ht="45">
      <c r="A43" s="1589"/>
      <c r="B43" s="1247" t="s">
        <v>2145</v>
      </c>
      <c r="C43" s="23"/>
      <c r="D43" s="87"/>
      <c r="E43" s="86"/>
      <c r="F43" s="793"/>
      <c r="G43" s="1888"/>
      <c r="H43" s="1880" t="s">
        <v>682</v>
      </c>
      <c r="I43" s="1889"/>
      <c r="J43" s="1880"/>
      <c r="K43" s="1897" t="s">
        <v>2146</v>
      </c>
      <c r="L43" s="1880" t="s">
        <v>682</v>
      </c>
      <c r="M43" s="1889"/>
      <c r="N43" s="1880" t="s">
        <v>682</v>
      </c>
      <c r="O43" s="1895"/>
      <c r="P43" s="1202"/>
      <c r="Q43" s="1889"/>
      <c r="R43" s="1202"/>
      <c r="S43" s="1889"/>
    </row>
    <row r="44" spans="1:19">
      <c r="A44" s="1589"/>
      <c r="B44" s="1247"/>
      <c r="C44" s="23"/>
      <c r="D44" s="87"/>
      <c r="E44" s="86"/>
      <c r="F44" s="793"/>
      <c r="G44" s="1888"/>
      <c r="H44" s="1880"/>
      <c r="I44" s="1889"/>
      <c r="J44" s="1880"/>
      <c r="K44" s="1889"/>
      <c r="L44" s="1880"/>
      <c r="M44" s="1889"/>
      <c r="N44" s="1880"/>
      <c r="O44" s="1889"/>
      <c r="P44" s="1202"/>
      <c r="Q44" s="1889"/>
      <c r="R44" s="1202"/>
      <c r="S44" s="1889"/>
    </row>
    <row r="45" spans="1:19">
      <c r="A45" s="1589"/>
      <c r="B45" s="1113" t="s">
        <v>2147</v>
      </c>
      <c r="C45" s="23"/>
      <c r="D45" s="87"/>
      <c r="E45" s="86"/>
      <c r="F45" s="793"/>
      <c r="G45" s="1888"/>
      <c r="H45" s="1880" t="s">
        <v>682</v>
      </c>
      <c r="I45" s="1889"/>
      <c r="J45" s="1880" t="s">
        <v>682</v>
      </c>
      <c r="K45" s="1889"/>
      <c r="L45" s="1880" t="s">
        <v>682</v>
      </c>
      <c r="M45" s="1889"/>
      <c r="N45" s="1880" t="s">
        <v>682</v>
      </c>
      <c r="O45" s="1889"/>
      <c r="P45" s="1202"/>
      <c r="Q45" s="1889"/>
      <c r="R45" s="1202"/>
      <c r="S45" s="1889"/>
    </row>
    <row r="46" spans="1:19">
      <c r="A46" s="1589"/>
      <c r="B46" s="1113" t="s">
        <v>2148</v>
      </c>
      <c r="C46" s="23"/>
      <c r="D46" s="87"/>
      <c r="E46" s="86"/>
      <c r="F46" s="793"/>
      <c r="G46" s="1888"/>
      <c r="H46" s="1880" t="s">
        <v>682</v>
      </c>
      <c r="I46" s="1889"/>
      <c r="J46" s="1880" t="s">
        <v>682</v>
      </c>
      <c r="K46" s="1889"/>
      <c r="L46" s="1880" t="s">
        <v>682</v>
      </c>
      <c r="M46" s="1889"/>
      <c r="N46" s="1880" t="s">
        <v>682</v>
      </c>
      <c r="O46" s="1889"/>
      <c r="P46" s="1202"/>
      <c r="Q46" s="1889"/>
      <c r="R46" s="1202"/>
      <c r="S46" s="1889"/>
    </row>
    <row r="47" spans="1:19">
      <c r="A47" s="1589"/>
      <c r="B47" s="1113" t="s">
        <v>2149</v>
      </c>
      <c r="C47" s="23"/>
      <c r="D47" s="87"/>
      <c r="E47" s="86"/>
      <c r="F47" s="793"/>
      <c r="G47" s="1888"/>
      <c r="H47" s="1880" t="s">
        <v>682</v>
      </c>
      <c r="I47" s="1889"/>
      <c r="J47" s="1880" t="s">
        <v>682</v>
      </c>
      <c r="K47" s="1889"/>
      <c r="L47" s="1880" t="s">
        <v>682</v>
      </c>
      <c r="M47" s="1889"/>
      <c r="N47" s="1880" t="s">
        <v>682</v>
      </c>
      <c r="O47" s="1889"/>
      <c r="P47" s="1202"/>
      <c r="Q47" s="1889"/>
      <c r="R47" s="1202"/>
      <c r="S47" s="1889"/>
    </row>
    <row r="48" spans="1:19">
      <c r="A48" s="1589"/>
      <c r="B48" s="1113" t="s">
        <v>2150</v>
      </c>
      <c r="C48" s="23"/>
      <c r="D48" s="87"/>
      <c r="E48" s="86"/>
      <c r="F48" s="793"/>
      <c r="G48" s="1888"/>
      <c r="H48" s="1880" t="s">
        <v>682</v>
      </c>
      <c r="I48" s="1889"/>
      <c r="J48" s="1880" t="s">
        <v>682</v>
      </c>
      <c r="K48" s="1889"/>
      <c r="L48" s="1880" t="s">
        <v>682</v>
      </c>
      <c r="M48" s="1889"/>
      <c r="N48" s="1880" t="s">
        <v>682</v>
      </c>
      <c r="O48" s="1889"/>
      <c r="P48" s="1202"/>
      <c r="Q48" s="1889"/>
      <c r="R48" s="1202"/>
      <c r="S48" s="1889"/>
    </row>
    <row r="49" spans="1:19">
      <c r="A49" s="1589"/>
      <c r="B49" s="1113" t="s">
        <v>2151</v>
      </c>
      <c r="C49" s="23"/>
      <c r="D49" s="87"/>
      <c r="E49" s="86"/>
      <c r="F49" s="793"/>
      <c r="G49" s="1888"/>
      <c r="H49" s="1880" t="s">
        <v>682</v>
      </c>
      <c r="I49" s="1889"/>
      <c r="J49" s="1880" t="s">
        <v>682</v>
      </c>
      <c r="K49" s="1889"/>
      <c r="L49" s="1880" t="s">
        <v>682</v>
      </c>
      <c r="M49" s="1889"/>
      <c r="N49" s="1880" t="s">
        <v>682</v>
      </c>
      <c r="O49" s="1889"/>
      <c r="P49" s="1202"/>
      <c r="Q49" s="1889"/>
      <c r="R49" s="1202"/>
      <c r="S49" s="1889"/>
    </row>
    <row r="50" spans="1:19">
      <c r="A50" s="1589"/>
      <c r="B50" s="1113" t="s">
        <v>2152</v>
      </c>
      <c r="C50" s="23"/>
      <c r="D50" s="87"/>
      <c r="E50" s="86"/>
      <c r="F50" s="793"/>
      <c r="G50" s="1888"/>
      <c r="H50" s="1880" t="s">
        <v>682</v>
      </c>
      <c r="I50" s="1889"/>
      <c r="J50" s="1880" t="s">
        <v>682</v>
      </c>
      <c r="K50" s="1889"/>
      <c r="L50" s="1880" t="s">
        <v>682</v>
      </c>
      <c r="M50" s="1889"/>
      <c r="N50" s="1880" t="s">
        <v>682</v>
      </c>
      <c r="O50" s="1889"/>
      <c r="P50" s="1202"/>
      <c r="Q50" s="1889"/>
      <c r="R50" s="1202"/>
      <c r="S50" s="1889"/>
    </row>
    <row r="51" spans="1:19" ht="30">
      <c r="A51" s="1589"/>
      <c r="B51" s="1113" t="s">
        <v>2153</v>
      </c>
      <c r="C51" s="23"/>
      <c r="D51" s="87"/>
      <c r="E51" s="86"/>
      <c r="F51" s="793"/>
      <c r="G51" s="1888"/>
      <c r="H51" s="1880" t="s">
        <v>682</v>
      </c>
      <c r="I51" s="1889"/>
      <c r="J51" s="1880" t="s">
        <v>682</v>
      </c>
      <c r="K51" s="1889"/>
      <c r="L51" s="1880" t="s">
        <v>682</v>
      </c>
      <c r="M51" s="1889"/>
      <c r="N51" s="1880" t="s">
        <v>682</v>
      </c>
      <c r="O51" s="1889"/>
      <c r="P51" s="1202"/>
      <c r="Q51" s="1889"/>
      <c r="R51" s="1202"/>
      <c r="S51" s="1889"/>
    </row>
    <row r="52" spans="1:19">
      <c r="A52" s="1589"/>
      <c r="B52" s="1113"/>
      <c r="C52" s="23"/>
      <c r="D52" s="87"/>
      <c r="E52" s="86"/>
      <c r="F52" s="793"/>
      <c r="G52" s="1888"/>
      <c r="H52" s="1880"/>
      <c r="I52" s="1889"/>
      <c r="J52" s="1880"/>
      <c r="K52" s="1889"/>
      <c r="L52" s="1880"/>
      <c r="M52" s="1889"/>
      <c r="N52" s="1880"/>
      <c r="O52" s="1889"/>
      <c r="P52" s="1202"/>
      <c r="Q52" s="1889"/>
      <c r="R52" s="1202"/>
      <c r="S52" s="1889"/>
    </row>
    <row r="53" spans="1:19">
      <c r="A53" s="1589"/>
      <c r="B53" s="1113" t="s">
        <v>2154</v>
      </c>
      <c r="C53" s="23"/>
      <c r="D53" s="87">
        <v>2</v>
      </c>
      <c r="E53" s="86" t="s">
        <v>468</v>
      </c>
      <c r="F53" s="793">
        <v>1500</v>
      </c>
      <c r="G53" s="1888">
        <f>D53*F53</f>
        <v>3000</v>
      </c>
      <c r="H53" s="1880"/>
      <c r="I53" s="1892">
        <f>$G53</f>
        <v>3000</v>
      </c>
      <c r="J53" s="1880"/>
      <c r="K53" s="1892">
        <f>$G53</f>
        <v>3000</v>
      </c>
      <c r="L53" s="1880"/>
      <c r="M53" s="1892">
        <f>$G53</f>
        <v>3000</v>
      </c>
      <c r="N53" s="1880"/>
      <c r="O53" s="1892">
        <f>$G53</f>
        <v>3000</v>
      </c>
      <c r="P53" s="1202"/>
      <c r="Q53" s="1889"/>
      <c r="R53" s="1202"/>
      <c r="S53" s="1889"/>
    </row>
    <row r="54" spans="1:19">
      <c r="A54" s="1589"/>
      <c r="B54" s="1113" t="s">
        <v>2155</v>
      </c>
      <c r="C54" s="23"/>
      <c r="D54" s="87">
        <v>2</v>
      </c>
      <c r="E54" s="86" t="s">
        <v>468</v>
      </c>
      <c r="F54" s="431">
        <v>750</v>
      </c>
      <c r="G54" s="1888">
        <f>D54*F54</f>
        <v>1500</v>
      </c>
      <c r="H54" s="1880"/>
      <c r="I54" s="1892">
        <f t="shared" ref="I54:I58" si="0">$G54</f>
        <v>1500</v>
      </c>
      <c r="J54" s="1880"/>
      <c r="K54" s="1892">
        <f t="shared" ref="K54:K58" si="1">$G54</f>
        <v>1500</v>
      </c>
      <c r="L54" s="1880"/>
      <c r="M54" s="1892">
        <f t="shared" ref="M54:M58" si="2">$G54</f>
        <v>1500</v>
      </c>
      <c r="N54" s="1880"/>
      <c r="O54" s="1892">
        <f t="shared" ref="O54:O58" si="3">$G54</f>
        <v>1500</v>
      </c>
      <c r="P54" s="1202"/>
      <c r="Q54" s="1889"/>
      <c r="R54" s="1202"/>
      <c r="S54" s="1889"/>
    </row>
    <row r="55" spans="1:19">
      <c r="A55" s="1589"/>
      <c r="B55" s="1113" t="s">
        <v>2156</v>
      </c>
      <c r="C55" s="23"/>
      <c r="D55" s="87">
        <v>2</v>
      </c>
      <c r="E55" s="86" t="s">
        <v>468</v>
      </c>
      <c r="F55" s="431">
        <v>750</v>
      </c>
      <c r="G55" s="1888">
        <f>D55*F55</f>
        <v>1500</v>
      </c>
      <c r="H55" s="1880"/>
      <c r="I55" s="1892">
        <f t="shared" si="0"/>
        <v>1500</v>
      </c>
      <c r="J55" s="1880"/>
      <c r="K55" s="1892">
        <f t="shared" si="1"/>
        <v>1500</v>
      </c>
      <c r="L55" s="1880"/>
      <c r="M55" s="1892">
        <f t="shared" si="2"/>
        <v>1500</v>
      </c>
      <c r="N55" s="1880"/>
      <c r="O55" s="1892">
        <f t="shared" si="3"/>
        <v>1500</v>
      </c>
      <c r="P55" s="1202"/>
      <c r="Q55" s="1783"/>
      <c r="R55" s="1202"/>
      <c r="S55" s="1783"/>
    </row>
    <row r="56" spans="1:19">
      <c r="A56" s="1589"/>
      <c r="B56" s="1113" t="s">
        <v>2157</v>
      </c>
      <c r="C56" s="23"/>
      <c r="D56" s="87">
        <v>2</v>
      </c>
      <c r="E56" s="86" t="s">
        <v>468</v>
      </c>
      <c r="F56" s="431">
        <v>1000</v>
      </c>
      <c r="G56" s="1888">
        <f>D56*F56</f>
        <v>2000</v>
      </c>
      <c r="H56" s="1880"/>
      <c r="I56" s="1892">
        <f t="shared" si="0"/>
        <v>2000</v>
      </c>
      <c r="J56" s="1880"/>
      <c r="K56" s="1892">
        <f t="shared" si="1"/>
        <v>2000</v>
      </c>
      <c r="L56" s="1880"/>
      <c r="M56" s="1892">
        <f t="shared" si="2"/>
        <v>2000</v>
      </c>
      <c r="N56" s="1880"/>
      <c r="O56" s="1892">
        <f t="shared" si="3"/>
        <v>2000</v>
      </c>
      <c r="P56" s="1202"/>
      <c r="Q56" s="1783"/>
      <c r="R56" s="1202"/>
      <c r="S56" s="1783"/>
    </row>
    <row r="57" spans="1:19">
      <c r="A57" s="1589"/>
      <c r="B57" s="1113"/>
      <c r="C57" s="23"/>
      <c r="D57" s="87"/>
      <c r="E57" s="86"/>
      <c r="F57" s="431"/>
      <c r="G57" s="830"/>
      <c r="H57" s="1880"/>
      <c r="I57" s="1783"/>
      <c r="J57" s="1880"/>
      <c r="K57" s="1783"/>
      <c r="L57" s="1880"/>
      <c r="M57" s="1783"/>
      <c r="N57" s="1880"/>
      <c r="O57" s="1783"/>
      <c r="P57" s="1202"/>
      <c r="Q57" s="1783"/>
      <c r="R57" s="1202"/>
      <c r="S57" s="1783"/>
    </row>
    <row r="58" spans="1:19">
      <c r="A58" s="1589"/>
      <c r="B58" s="1113" t="s">
        <v>2158</v>
      </c>
      <c r="C58" s="23"/>
      <c r="D58" s="87">
        <v>2</v>
      </c>
      <c r="E58" s="86" t="s">
        <v>468</v>
      </c>
      <c r="F58" s="431">
        <v>7500</v>
      </c>
      <c r="G58" s="1888">
        <f>D58*F58</f>
        <v>15000</v>
      </c>
      <c r="H58" s="1880"/>
      <c r="I58" s="1892">
        <f t="shared" si="0"/>
        <v>15000</v>
      </c>
      <c r="J58" s="1880"/>
      <c r="K58" s="1892">
        <f t="shared" si="1"/>
        <v>15000</v>
      </c>
      <c r="L58" s="1880"/>
      <c r="M58" s="1892">
        <f t="shared" si="2"/>
        <v>15000</v>
      </c>
      <c r="N58" s="1880"/>
      <c r="O58" s="1892">
        <f t="shared" si="3"/>
        <v>15000</v>
      </c>
      <c r="P58" s="1202"/>
      <c r="Q58" s="1783"/>
      <c r="R58" s="1202"/>
      <c r="S58" s="1783"/>
    </row>
    <row r="59" spans="1:19">
      <c r="A59" s="1589"/>
      <c r="B59" s="1113"/>
      <c r="C59" s="23"/>
      <c r="D59" s="87"/>
      <c r="E59" s="86"/>
      <c r="F59" s="431"/>
      <c r="G59" s="830"/>
      <c r="H59" s="1880"/>
      <c r="I59" s="1783"/>
      <c r="J59" s="1880"/>
      <c r="K59" s="1783"/>
      <c r="L59" s="1880"/>
      <c r="M59" s="1783"/>
      <c r="N59" s="1880"/>
      <c r="O59" s="1783"/>
      <c r="P59" s="1202"/>
      <c r="Q59" s="1783"/>
      <c r="R59" s="1202"/>
      <c r="S59" s="1783"/>
    </row>
    <row r="60" spans="1:19">
      <c r="A60" s="1589"/>
      <c r="B60" s="1113"/>
      <c r="C60" s="23"/>
      <c r="D60" s="87"/>
      <c r="E60" s="86"/>
      <c r="F60" s="431"/>
      <c r="G60" s="830"/>
      <c r="H60" s="1880"/>
      <c r="I60" s="1783"/>
      <c r="J60" s="1880"/>
      <c r="K60" s="1783"/>
      <c r="L60" s="1880"/>
      <c r="M60" s="1783"/>
      <c r="N60" s="1880"/>
      <c r="O60" s="1783"/>
      <c r="P60" s="1202"/>
      <c r="Q60" s="1783"/>
      <c r="R60" s="1202"/>
      <c r="S60" s="1783"/>
    </row>
    <row r="61" spans="1:19" ht="15.75" thickBot="1">
      <c r="A61" s="1589"/>
      <c r="B61" s="1113"/>
      <c r="C61" s="23"/>
      <c r="D61" s="87"/>
      <c r="E61" s="86"/>
      <c r="F61" s="431"/>
      <c r="G61" s="830"/>
      <c r="H61" s="1880"/>
      <c r="I61" s="1783"/>
      <c r="J61" s="1202"/>
      <c r="K61" s="1783"/>
      <c r="L61" s="1880"/>
      <c r="M61" s="1783"/>
      <c r="N61" s="1880"/>
      <c r="O61" s="1783"/>
      <c r="P61" s="1202"/>
      <c r="Q61" s="1783"/>
      <c r="R61" s="1202"/>
      <c r="S61" s="1783"/>
    </row>
    <row r="62" spans="1:19" ht="15.75" thickTop="1">
      <c r="A62" s="296"/>
      <c r="B62" s="301"/>
      <c r="C62" s="297"/>
      <c r="D62" s="15"/>
      <c r="E62" s="16"/>
      <c r="F62" s="282" t="s">
        <v>753</v>
      </c>
      <c r="G62" s="272"/>
      <c r="H62" s="526"/>
      <c r="I62" s="273">
        <f>SUM(I12:I61)</f>
        <v>114439.55</v>
      </c>
      <c r="J62" s="273"/>
      <c r="K62" s="273">
        <f>SUM(K20:K61)</f>
        <v>125190</v>
      </c>
      <c r="L62" s="526"/>
      <c r="M62" s="273">
        <f>SUM(M12:M61)</f>
        <v>126625.48000000001</v>
      </c>
      <c r="N62" s="526"/>
      <c r="O62" s="273">
        <f>SUM(O12:O61)</f>
        <v>131210</v>
      </c>
      <c r="P62" s="273"/>
      <c r="Q62" s="273">
        <f>SUM(Q12:Q61)</f>
        <v>0</v>
      </c>
      <c r="R62" s="273"/>
      <c r="S62" s="273">
        <f>SUM(S12:S61)</f>
        <v>0</v>
      </c>
    </row>
    <row r="63" spans="1:19">
      <c r="A63" s="1114"/>
      <c r="B63" s="1164"/>
      <c r="C63" s="432"/>
      <c r="D63" s="433"/>
      <c r="E63" s="434"/>
      <c r="F63" s="435" t="s">
        <v>754</v>
      </c>
      <c r="G63" s="436"/>
      <c r="H63" s="1898"/>
      <c r="I63" s="1166"/>
      <c r="J63" s="1165">
        <v>0</v>
      </c>
      <c r="K63" s="1166"/>
      <c r="L63" s="1898">
        <v>0</v>
      </c>
      <c r="M63" s="1166"/>
      <c r="N63" s="1898">
        <v>0</v>
      </c>
      <c r="O63" s="1166"/>
      <c r="P63" s="1165">
        <v>0</v>
      </c>
      <c r="Q63" s="1166"/>
      <c r="R63" s="1165">
        <v>0</v>
      </c>
      <c r="S63" s="1166"/>
    </row>
    <row r="64" spans="1:19">
      <c r="A64" s="1114"/>
      <c r="B64" s="1164"/>
      <c r="C64" s="432"/>
      <c r="D64" s="433"/>
      <c r="E64" s="434"/>
      <c r="F64" s="435" t="s">
        <v>755</v>
      </c>
      <c r="G64" s="436"/>
      <c r="H64" s="1899"/>
      <c r="I64" s="1166">
        <f>H63*I62</f>
        <v>0</v>
      </c>
      <c r="J64" s="1166"/>
      <c r="K64" s="1166">
        <f>J63*K62</f>
        <v>0</v>
      </c>
      <c r="L64" s="1899"/>
      <c r="M64" s="1166">
        <f>L63*M62</f>
        <v>0</v>
      </c>
      <c r="N64" s="1899"/>
      <c r="O64" s="1166">
        <f>N63*O62</f>
        <v>0</v>
      </c>
      <c r="P64" s="1166"/>
      <c r="Q64" s="1166">
        <f>P63*Q62</f>
        <v>0</v>
      </c>
      <c r="R64" s="1166"/>
      <c r="S64" s="1166">
        <f>R63*S62</f>
        <v>0</v>
      </c>
    </row>
    <row r="65" spans="1:34">
      <c r="A65" s="1114"/>
      <c r="B65" s="1164"/>
      <c r="C65" s="432"/>
      <c r="D65" s="433"/>
      <c r="E65" s="434"/>
      <c r="F65" s="435"/>
      <c r="G65" s="436"/>
      <c r="H65" s="1899"/>
      <c r="I65" s="1166"/>
      <c r="J65" s="1166"/>
      <c r="K65" s="1166"/>
      <c r="L65" s="1899"/>
      <c r="M65" s="1166"/>
      <c r="N65" s="1899"/>
      <c r="O65" s="1166"/>
      <c r="P65" s="1166"/>
      <c r="Q65" s="1166"/>
      <c r="R65" s="1166"/>
      <c r="S65" s="1166"/>
    </row>
    <row r="66" spans="1:34">
      <c r="A66" s="1114"/>
      <c r="B66" s="1164"/>
      <c r="C66" s="432"/>
      <c r="D66" s="433"/>
      <c r="E66" s="434"/>
      <c r="F66" s="435" t="s">
        <v>756</v>
      </c>
      <c r="G66" s="436"/>
      <c r="H66" s="1899"/>
      <c r="I66" s="1166">
        <f>SUM(I62:I64)</f>
        <v>114439.55</v>
      </c>
      <c r="J66" s="1166"/>
      <c r="K66" s="1166">
        <f>SUM(K62:K64)</f>
        <v>125190</v>
      </c>
      <c r="L66" s="1899"/>
      <c r="M66" s="1166">
        <f>SUM(M62:M64)</f>
        <v>126625.48000000001</v>
      </c>
      <c r="N66" s="1899"/>
      <c r="O66" s="1166">
        <f>SUM(O62:O64)</f>
        <v>131210</v>
      </c>
      <c r="P66" s="1166"/>
      <c r="Q66" s="1166">
        <f>SUM(Q62:Q64)</f>
        <v>0</v>
      </c>
      <c r="R66" s="1166"/>
      <c r="S66" s="1166">
        <f>SUM(S62:S64)</f>
        <v>0</v>
      </c>
    </row>
    <row r="67" spans="1:34">
      <c r="A67" s="1114"/>
      <c r="B67" s="1164"/>
      <c r="C67" s="432"/>
      <c r="D67" s="433"/>
      <c r="E67" s="434"/>
      <c r="F67" s="437" t="s">
        <v>757</v>
      </c>
      <c r="G67" s="438"/>
      <c r="H67" s="1900"/>
      <c r="I67" s="1167">
        <f>I66/'Area Calculations'!$G$4</f>
        <v>0.19776545243086219</v>
      </c>
      <c r="J67" s="1167"/>
      <c r="K67" s="1167">
        <f>K66/'Area Calculations'!$G$4</f>
        <v>0.21634353673900009</v>
      </c>
      <c r="L67" s="1900"/>
      <c r="M67" s="1167">
        <f>M66/'Area Calculations'!$G$4</f>
        <v>0.2188242206603844</v>
      </c>
      <c r="N67" s="1900"/>
      <c r="O67" s="1167">
        <f>O66/'Area Calculations'!$G$4</f>
        <v>0.22674682846492691</v>
      </c>
      <c r="P67" s="1167"/>
      <c r="Q67" s="1167">
        <f>Q66/'Area Calculations'!$G$4</f>
        <v>0</v>
      </c>
      <c r="R67" s="1167"/>
      <c r="S67" s="1167">
        <f>S66/'Area Calculations'!$G$4</f>
        <v>0</v>
      </c>
    </row>
    <row r="68" spans="1:34">
      <c r="A68" s="1114"/>
      <c r="B68" s="1164"/>
      <c r="C68" s="432"/>
      <c r="D68" s="433"/>
      <c r="E68" s="434"/>
      <c r="F68" s="437" t="s">
        <v>758</v>
      </c>
      <c r="G68" s="438"/>
      <c r="H68" s="1900"/>
      <c r="I68" s="1167">
        <f>I66/'Area Calculations'!$G$9</f>
        <v>1069.5285046728973</v>
      </c>
      <c r="J68" s="1167"/>
      <c r="K68" s="1167">
        <f>K66/'Area Calculations'!$G$9</f>
        <v>1170</v>
      </c>
      <c r="L68" s="1900"/>
      <c r="M68" s="1167">
        <f>M66/'Area Calculations'!$G$9</f>
        <v>1183.4157009345795</v>
      </c>
      <c r="N68" s="1900"/>
      <c r="O68" s="1167">
        <f>O66/'Area Calculations'!$G$9</f>
        <v>1226.2616822429907</v>
      </c>
      <c r="P68" s="1167"/>
      <c r="Q68" s="1167">
        <f>Q66/'Area Calculations'!$G$9</f>
        <v>0</v>
      </c>
      <c r="R68" s="1167"/>
      <c r="S68" s="1167">
        <f>S66/'Area Calculations'!$G$9</f>
        <v>0</v>
      </c>
    </row>
    <row r="69" spans="1:34" ht="15.75" thickBot="1">
      <c r="A69" s="1114"/>
      <c r="B69" s="1164"/>
      <c r="C69" s="432"/>
      <c r="D69" s="433"/>
      <c r="E69" s="434"/>
      <c r="F69" s="439"/>
      <c r="G69" s="436"/>
      <c r="H69" s="1901"/>
      <c r="I69" s="1168"/>
      <c r="J69" s="1168"/>
      <c r="K69" s="1168"/>
      <c r="L69" s="1901"/>
      <c r="M69" s="1168"/>
      <c r="N69" s="1901"/>
      <c r="O69" s="1168"/>
      <c r="P69" s="1168"/>
      <c r="Q69" s="1168"/>
      <c r="R69" s="1168"/>
      <c r="S69" s="1168"/>
    </row>
    <row r="70" spans="1:34" ht="16.5" thickTop="1" thickBot="1">
      <c r="A70" s="2331" t="s">
        <v>759</v>
      </c>
      <c r="B70" s="2332"/>
      <c r="C70" s="298"/>
      <c r="D70" s="12"/>
      <c r="E70" s="12"/>
      <c r="F70" s="12"/>
      <c r="G70" s="26"/>
      <c r="H70" s="527"/>
      <c r="I70" s="20"/>
      <c r="J70" s="24"/>
      <c r="K70" s="20"/>
      <c r="L70" s="527"/>
      <c r="M70" s="20"/>
      <c r="N70" s="527"/>
      <c r="O70" s="20"/>
      <c r="P70" s="20"/>
      <c r="Q70" s="20"/>
      <c r="R70" s="20"/>
      <c r="S70" s="20"/>
    </row>
    <row r="71" spans="1:34" ht="15.75" thickTop="1">
      <c r="A71" s="1902"/>
      <c r="B71" s="1105"/>
      <c r="C71" s="927"/>
      <c r="D71" s="1740"/>
      <c r="E71" s="1740"/>
      <c r="F71" s="1903"/>
      <c r="G71" s="1904"/>
      <c r="H71" s="1905"/>
      <c r="I71" s="1906">
        <f>I62/12</f>
        <v>9536.6291666666675</v>
      </c>
      <c r="J71" s="1907"/>
      <c r="K71" s="1906"/>
      <c r="L71" s="1905"/>
      <c r="M71" s="1906"/>
      <c r="N71" s="1905"/>
      <c r="O71" s="1906"/>
      <c r="P71" s="1906"/>
      <c r="Q71" s="1906"/>
      <c r="R71" s="1906"/>
      <c r="S71" s="1906"/>
    </row>
    <row r="72" spans="1:34">
      <c r="A72" s="1902"/>
      <c r="B72" s="1105"/>
      <c r="C72" s="927"/>
      <c r="D72" s="1740"/>
      <c r="E72" s="1740"/>
      <c r="F72" s="1908"/>
      <c r="G72" s="1904"/>
      <c r="H72" s="1905"/>
      <c r="I72" s="1906"/>
      <c r="J72" s="1907"/>
      <c r="K72" s="1906"/>
      <c r="L72" s="1905"/>
      <c r="M72" s="1906"/>
      <c r="N72" s="1905"/>
      <c r="O72" s="1906"/>
      <c r="P72" s="1906"/>
      <c r="Q72" s="1906"/>
      <c r="R72" s="1906"/>
      <c r="S72" s="1906"/>
    </row>
    <row r="73" spans="1:34" ht="15.75" thickBot="1">
      <c r="A73" s="1902"/>
      <c r="B73" s="1105"/>
      <c r="C73" s="927"/>
      <c r="D73" s="1740"/>
      <c r="E73" s="1740"/>
      <c r="F73" s="1740"/>
      <c r="G73" s="1904"/>
      <c r="H73" s="1905"/>
      <c r="I73" s="1906"/>
      <c r="J73" s="1907"/>
      <c r="K73" s="1906"/>
      <c r="L73" s="1905"/>
      <c r="M73" s="1906"/>
      <c r="N73" s="1905"/>
      <c r="O73" s="1906"/>
      <c r="P73" s="1906"/>
      <c r="Q73" s="1906"/>
      <c r="R73" s="1906"/>
      <c r="S73" s="1906"/>
    </row>
    <row r="74" spans="1:34" s="2" customFormat="1" ht="16.5" thickTop="1" thickBot="1">
      <c r="A74" s="2331" t="s">
        <v>760</v>
      </c>
      <c r="B74" s="2332"/>
      <c r="C74" s="298"/>
      <c r="D74" s="12"/>
      <c r="E74" s="12"/>
      <c r="F74" s="12"/>
      <c r="G74" s="26"/>
      <c r="H74" s="527"/>
      <c r="I74" s="20"/>
      <c r="J74" s="24"/>
      <c r="K74" s="20"/>
      <c r="L74" s="527"/>
      <c r="M74" s="20"/>
      <c r="N74" s="527"/>
      <c r="O74" s="20"/>
      <c r="P74" s="20"/>
      <c r="Q74" s="20"/>
      <c r="R74" s="20"/>
      <c r="S74" s="20"/>
      <c r="T74"/>
      <c r="U74"/>
      <c r="V74"/>
      <c r="W74"/>
      <c r="X74"/>
      <c r="Y74"/>
      <c r="Z74"/>
      <c r="AA74"/>
      <c r="AB74"/>
      <c r="AC74"/>
      <c r="AD74"/>
      <c r="AE74"/>
      <c r="AF74"/>
      <c r="AG74"/>
      <c r="AH74"/>
    </row>
    <row r="75" spans="1:34" s="2" customFormat="1" ht="15.75" thickTop="1">
      <c r="A75" s="1902"/>
      <c r="B75" s="1105"/>
      <c r="C75" s="927"/>
      <c r="D75" s="1740"/>
      <c r="E75" s="1740"/>
      <c r="F75" s="1740"/>
      <c r="G75" s="1904"/>
      <c r="H75" s="1905"/>
      <c r="I75" s="1906"/>
      <c r="J75" s="1907"/>
      <c r="K75" s="1906"/>
      <c r="L75" s="1905"/>
      <c r="M75" s="1906"/>
      <c r="N75" s="1905"/>
      <c r="O75" s="1906"/>
      <c r="P75" s="1906"/>
      <c r="Q75" s="1906"/>
      <c r="R75" s="1906"/>
      <c r="S75" s="1906"/>
      <c r="T75"/>
      <c r="U75"/>
      <c r="V75"/>
      <c r="W75"/>
      <c r="X75"/>
      <c r="Y75"/>
      <c r="Z75"/>
      <c r="AA75"/>
      <c r="AB75"/>
      <c r="AC75"/>
      <c r="AD75"/>
      <c r="AE75"/>
      <c r="AF75"/>
      <c r="AG75"/>
      <c r="AH75"/>
    </row>
    <row r="76" spans="1:34" s="2" customFormat="1">
      <c r="A76" s="1902"/>
      <c r="B76" s="1105"/>
      <c r="C76" s="927"/>
      <c r="D76" s="1740"/>
      <c r="E76" s="1740"/>
      <c r="F76" s="1740"/>
      <c r="G76" s="1904"/>
      <c r="H76" s="1905"/>
      <c r="I76" s="1906"/>
      <c r="J76" s="1907"/>
      <c r="K76" s="1906"/>
      <c r="L76" s="1905"/>
      <c r="M76" s="1906"/>
      <c r="N76" s="1905"/>
      <c r="O76" s="1906"/>
      <c r="P76" s="1906"/>
      <c r="Q76" s="1906"/>
      <c r="R76" s="1906"/>
      <c r="S76" s="1906"/>
      <c r="T76"/>
      <c r="U76"/>
      <c r="V76"/>
      <c r="W76"/>
      <c r="X76"/>
      <c r="Y76"/>
      <c r="Z76"/>
      <c r="AA76"/>
      <c r="AB76"/>
      <c r="AC76"/>
      <c r="AD76"/>
      <c r="AE76"/>
      <c r="AF76"/>
      <c r="AG76"/>
      <c r="AH76"/>
    </row>
    <row r="77" spans="1:34" ht="15.75" thickBot="1">
      <c r="A77" s="1902"/>
      <c r="B77" s="1105"/>
      <c r="C77" s="927"/>
      <c r="D77" s="1740"/>
      <c r="E77" s="1740"/>
      <c r="F77" s="1740"/>
      <c r="G77" s="1904"/>
      <c r="H77" s="1905"/>
      <c r="I77" s="1906"/>
      <c r="J77" s="1907"/>
      <c r="K77" s="1906"/>
      <c r="L77" s="1905"/>
      <c r="M77" s="1906"/>
      <c r="N77" s="1905"/>
      <c r="O77" s="1906"/>
      <c r="P77" s="1906"/>
      <c r="Q77" s="1906"/>
      <c r="R77" s="1906"/>
      <c r="S77" s="1906"/>
    </row>
    <row r="78" spans="1:34" s="2" customFormat="1" ht="16.5" thickTop="1" thickBot="1">
      <c r="A78" s="2331" t="s">
        <v>761</v>
      </c>
      <c r="B78" s="2332"/>
      <c r="C78" s="298"/>
      <c r="D78" s="12"/>
      <c r="E78" s="12"/>
      <c r="F78" s="12"/>
      <c r="G78" s="26"/>
      <c r="H78" s="527"/>
      <c r="I78" s="20"/>
      <c r="J78" s="24"/>
      <c r="K78" s="20"/>
      <c r="L78" s="527"/>
      <c r="M78" s="20"/>
      <c r="N78" s="527"/>
      <c r="O78" s="20"/>
      <c r="P78" s="20"/>
      <c r="Q78" s="20"/>
      <c r="R78" s="20"/>
      <c r="S78" s="20"/>
      <c r="T78"/>
      <c r="U78"/>
      <c r="V78"/>
      <c r="W78"/>
      <c r="X78"/>
      <c r="Y78"/>
      <c r="Z78"/>
      <c r="AA78"/>
      <c r="AB78"/>
      <c r="AC78"/>
      <c r="AD78"/>
      <c r="AE78"/>
      <c r="AF78"/>
      <c r="AG78"/>
      <c r="AH78"/>
    </row>
    <row r="79" spans="1:34" s="2" customFormat="1" ht="15.75" thickTop="1">
      <c r="A79" s="1902"/>
      <c r="B79" s="1105" t="s">
        <v>2134</v>
      </c>
      <c r="C79" s="927"/>
      <c r="D79" s="1740"/>
      <c r="E79" s="1740"/>
      <c r="F79" s="1740"/>
      <c r="G79" s="1904"/>
      <c r="H79" s="1905"/>
      <c r="I79" s="1906">
        <f>44640.31-I31</f>
        <v>7608.8699999999953</v>
      </c>
      <c r="J79" s="1907"/>
      <c r="K79" s="1906"/>
      <c r="L79" s="1905"/>
      <c r="M79" s="1906"/>
      <c r="N79" s="1905"/>
      <c r="O79" s="1906"/>
      <c r="P79" s="1906"/>
      <c r="Q79" s="1906"/>
      <c r="R79" s="1906"/>
      <c r="S79" s="1906"/>
      <c r="T79"/>
      <c r="U79"/>
      <c r="V79"/>
      <c r="W79"/>
      <c r="X79"/>
      <c r="Y79"/>
      <c r="Z79"/>
      <c r="AA79"/>
      <c r="AB79"/>
      <c r="AC79"/>
      <c r="AD79"/>
      <c r="AE79"/>
      <c r="AF79"/>
      <c r="AG79"/>
      <c r="AH79"/>
    </row>
    <row r="80" spans="1:34" s="2" customFormat="1">
      <c r="A80" s="1124"/>
      <c r="B80" s="1105"/>
      <c r="C80" s="415"/>
      <c r="D80" s="422"/>
      <c r="E80" s="422"/>
      <c r="F80" s="422"/>
      <c r="G80" s="831"/>
      <c r="H80" s="1909"/>
      <c r="I80" s="1173"/>
      <c r="J80" s="440"/>
      <c r="K80" s="1173"/>
      <c r="L80" s="1909"/>
      <c r="M80" s="1173"/>
      <c r="N80" s="1909"/>
      <c r="O80" s="1173"/>
      <c r="P80" s="1173"/>
      <c r="Q80" s="1173"/>
      <c r="R80" s="1173"/>
      <c r="S80" s="1173"/>
      <c r="T80"/>
      <c r="U80"/>
      <c r="V80"/>
      <c r="W80"/>
      <c r="X80"/>
      <c r="Y80"/>
      <c r="Z80"/>
      <c r="AA80"/>
      <c r="AB80"/>
      <c r="AC80"/>
      <c r="AD80"/>
      <c r="AE80"/>
      <c r="AF80"/>
      <c r="AG80"/>
      <c r="AH80"/>
    </row>
    <row r="81" spans="1:34" s="2" customFormat="1" ht="15.75" thickBot="1">
      <c r="A81" s="1126"/>
      <c r="B81" s="1174"/>
      <c r="C81" s="415"/>
      <c r="D81" s="422"/>
      <c r="E81" s="422"/>
      <c r="F81" s="422"/>
      <c r="G81" s="831"/>
      <c r="H81" s="1910"/>
      <c r="I81" s="1175"/>
      <c r="J81" s="441"/>
      <c r="K81" s="1175"/>
      <c r="L81" s="1910"/>
      <c r="M81" s="1175"/>
      <c r="N81" s="1910"/>
      <c r="O81" s="1175"/>
      <c r="P81" s="1175"/>
      <c r="Q81" s="1175"/>
      <c r="R81" s="1175"/>
      <c r="S81" s="1175"/>
    </row>
    <row r="82" spans="1:34" s="2" customFormat="1" ht="16.5" thickTop="1" thickBot="1">
      <c r="A82" s="2331" t="s">
        <v>762</v>
      </c>
      <c r="B82" s="2332"/>
      <c r="C82" s="298"/>
      <c r="D82" s="12"/>
      <c r="E82" s="12"/>
      <c r="F82" s="12"/>
      <c r="G82" s="26"/>
      <c r="H82" s="527"/>
      <c r="I82" s="20"/>
      <c r="J82" s="24"/>
      <c r="K82" s="20"/>
      <c r="L82" s="527"/>
      <c r="M82" s="20"/>
      <c r="N82" s="527"/>
      <c r="O82" s="20"/>
      <c r="P82" s="20"/>
      <c r="Q82" s="20"/>
      <c r="R82" s="20"/>
      <c r="S82" s="20"/>
      <c r="T82"/>
      <c r="U82"/>
      <c r="V82"/>
      <c r="W82"/>
      <c r="X82"/>
      <c r="Y82"/>
      <c r="Z82"/>
      <c r="AA82"/>
      <c r="AB82"/>
      <c r="AC82"/>
      <c r="AD82"/>
      <c r="AE82"/>
      <c r="AF82"/>
      <c r="AG82"/>
      <c r="AH82"/>
    </row>
    <row r="83" spans="1:34" ht="15.75" thickTop="1">
      <c r="A83" s="1911"/>
      <c r="B83" s="1912"/>
      <c r="C83" s="927"/>
      <c r="D83" s="1740"/>
      <c r="E83" s="1740"/>
      <c r="F83" s="1740"/>
      <c r="G83" s="1904"/>
      <c r="H83" s="1905"/>
      <c r="I83" s="1906"/>
      <c r="J83" s="1907"/>
      <c r="K83" s="1906"/>
      <c r="L83" s="1905"/>
      <c r="M83" s="1906"/>
      <c r="N83" s="1905"/>
      <c r="O83" s="1906"/>
      <c r="P83" s="1906"/>
      <c r="Q83" s="1906"/>
      <c r="R83" s="1906"/>
      <c r="S83" s="1906"/>
      <c r="T83" s="2"/>
      <c r="U83" s="2"/>
      <c r="V83" s="2"/>
      <c r="W83" s="2"/>
      <c r="X83" s="2"/>
      <c r="Y83" s="2"/>
      <c r="Z83" s="2"/>
      <c r="AA83" s="2"/>
      <c r="AB83" s="2"/>
      <c r="AC83" s="2"/>
      <c r="AD83" s="2"/>
      <c r="AE83" s="2"/>
      <c r="AF83" s="2"/>
      <c r="AG83" s="2"/>
      <c r="AH83" s="2"/>
    </row>
    <row r="84" spans="1:34">
      <c r="A84" s="1126"/>
      <c r="B84" s="1174"/>
      <c r="C84" s="415"/>
      <c r="D84" s="422"/>
      <c r="E84" s="422"/>
      <c r="F84" s="422"/>
      <c r="G84" s="831"/>
      <c r="H84" s="1913"/>
      <c r="I84" s="1178"/>
      <c r="J84" s="442"/>
      <c r="K84" s="1178"/>
      <c r="L84" s="1913"/>
      <c r="M84" s="1178"/>
      <c r="N84" s="1913"/>
      <c r="O84" s="1178"/>
      <c r="P84" s="1178"/>
      <c r="Q84" s="1178"/>
      <c r="R84" s="1178"/>
      <c r="S84" s="1178"/>
      <c r="T84" s="2"/>
      <c r="U84" s="2"/>
      <c r="V84" s="2"/>
      <c r="W84" s="2"/>
      <c r="X84" s="2"/>
      <c r="Y84" s="2"/>
      <c r="Z84" s="2"/>
      <c r="AA84" s="2"/>
      <c r="AB84" s="2"/>
      <c r="AC84" s="2"/>
      <c r="AD84" s="2"/>
      <c r="AE84" s="2"/>
      <c r="AF84" s="2"/>
      <c r="AG84" s="2"/>
      <c r="AH84" s="2"/>
    </row>
    <row r="85" spans="1:34" ht="15.75" thickBot="1">
      <c r="A85" s="1126"/>
      <c r="B85" s="1174"/>
      <c r="C85" s="415"/>
      <c r="D85" s="422"/>
      <c r="E85" s="422"/>
      <c r="F85" s="422"/>
      <c r="G85" s="831"/>
      <c r="H85" s="1913"/>
      <c r="I85" s="1178"/>
      <c r="J85" s="442"/>
      <c r="K85" s="1178"/>
      <c r="L85" s="1913"/>
      <c r="M85" s="1178"/>
      <c r="N85" s="1913"/>
      <c r="O85" s="1178"/>
      <c r="P85" s="1178"/>
      <c r="Q85" s="1178"/>
      <c r="R85" s="1178"/>
      <c r="S85" s="1178"/>
      <c r="T85" s="2"/>
      <c r="U85" s="2"/>
      <c r="V85" s="2"/>
      <c r="W85" s="2"/>
      <c r="X85" s="2"/>
      <c r="Y85" s="2"/>
      <c r="Z85" s="2"/>
      <c r="AA85" s="2"/>
      <c r="AB85" s="2"/>
      <c r="AC85" s="2"/>
      <c r="AD85" s="2"/>
      <c r="AE85" s="2"/>
      <c r="AF85" s="2"/>
      <c r="AG85" s="2"/>
      <c r="AH85" s="2"/>
    </row>
    <row r="86" spans="1:34" ht="16.5" thickTop="1" thickBot="1">
      <c r="A86" s="2331" t="s">
        <v>763</v>
      </c>
      <c r="B86" s="2332"/>
      <c r="C86" s="298"/>
      <c r="D86" s="12"/>
      <c r="E86" s="12"/>
      <c r="F86" s="12"/>
      <c r="G86" s="26"/>
      <c r="H86" s="527"/>
      <c r="I86" s="20"/>
      <c r="J86" s="24"/>
      <c r="K86" s="20"/>
      <c r="L86" s="527"/>
      <c r="M86" s="20"/>
      <c r="N86" s="527"/>
      <c r="O86" s="20"/>
      <c r="P86" s="20"/>
      <c r="Q86" s="20"/>
      <c r="R86" s="20"/>
      <c r="S86" s="20"/>
    </row>
    <row r="87" spans="1:34" ht="15.75" thickTop="1">
      <c r="A87" s="1124"/>
      <c r="B87" s="1105" t="s">
        <v>764</v>
      </c>
      <c r="C87" s="415"/>
      <c r="D87" s="422"/>
      <c r="E87" s="422"/>
      <c r="F87" s="422"/>
      <c r="G87" s="831"/>
      <c r="H87" s="1913"/>
      <c r="I87" s="1178"/>
      <c r="J87" s="442"/>
      <c r="K87" s="1178"/>
      <c r="L87" s="1913"/>
      <c r="M87" s="1178"/>
      <c r="N87" s="1913"/>
      <c r="O87" s="1178"/>
      <c r="P87" s="1178"/>
      <c r="Q87" s="1178"/>
      <c r="R87" s="1178"/>
      <c r="S87" s="1178"/>
    </row>
    <row r="88" spans="1:34">
      <c r="A88" s="1124"/>
      <c r="B88" s="1105" t="s">
        <v>765</v>
      </c>
      <c r="C88" s="415"/>
      <c r="D88" s="422"/>
      <c r="E88" s="422"/>
      <c r="F88" s="422"/>
      <c r="G88" s="831"/>
      <c r="H88" s="1913"/>
      <c r="I88" s="1178"/>
      <c r="J88" s="442"/>
      <c r="K88" s="1178"/>
      <c r="L88" s="1913"/>
      <c r="M88" s="1178"/>
      <c r="N88" s="1913"/>
      <c r="O88" s="1178"/>
      <c r="P88" s="1178"/>
      <c r="Q88" s="1178"/>
      <c r="R88" s="1178"/>
      <c r="S88" s="1178"/>
    </row>
    <row r="89" spans="1:34">
      <c r="A89" s="1124"/>
      <c r="B89" s="1105" t="s">
        <v>766</v>
      </c>
      <c r="C89" s="415"/>
      <c r="D89" s="422"/>
      <c r="E89" s="422"/>
      <c r="F89" s="422"/>
      <c r="G89" s="831"/>
      <c r="H89" s="1913"/>
      <c r="I89" s="1178"/>
      <c r="J89" s="442"/>
      <c r="K89" s="1178"/>
      <c r="L89" s="1913"/>
      <c r="M89" s="1178"/>
      <c r="N89" s="1913"/>
      <c r="O89" s="1178"/>
      <c r="P89" s="1178"/>
      <c r="Q89" s="1178"/>
      <c r="R89" s="1178"/>
      <c r="S89" s="1178"/>
    </row>
    <row r="90" spans="1:34">
      <c r="A90" s="1124"/>
      <c r="B90" s="1105" t="s">
        <v>767</v>
      </c>
      <c r="C90" s="415"/>
      <c r="D90" s="422"/>
      <c r="E90" s="422"/>
      <c r="F90" s="422"/>
      <c r="G90" s="831"/>
      <c r="H90" s="1913"/>
      <c r="I90" s="1178"/>
      <c r="J90" s="442"/>
      <c r="K90" s="1178"/>
      <c r="L90" s="1913"/>
      <c r="M90" s="1178"/>
      <c r="N90" s="1913"/>
      <c r="O90" s="1178"/>
      <c r="P90" s="1178"/>
      <c r="Q90" s="1178"/>
      <c r="R90" s="1178"/>
      <c r="S90" s="1178"/>
    </row>
    <row r="91" spans="1:34" ht="15.75" thickBot="1">
      <c r="A91" s="443"/>
      <c r="B91" s="421"/>
      <c r="C91" s="23"/>
      <c r="D91" s="86"/>
      <c r="E91" s="86"/>
      <c r="F91" s="86"/>
      <c r="G91" s="27"/>
      <c r="H91" s="528"/>
      <c r="I91" s="444"/>
      <c r="J91" s="25"/>
      <c r="K91" s="444"/>
      <c r="L91" s="528"/>
      <c r="M91" s="444"/>
      <c r="N91" s="528"/>
      <c r="O91" s="444"/>
      <c r="P91" s="444"/>
      <c r="Q91" s="444"/>
      <c r="R91" s="444"/>
      <c r="S91" s="444"/>
    </row>
    <row r="92" spans="1:34" ht="16.5" thickTop="1" thickBot="1">
      <c r="A92" s="72" t="s">
        <v>768</v>
      </c>
      <c r="B92" s="73"/>
      <c r="C92" s="298"/>
      <c r="D92" s="12"/>
      <c r="E92" s="12"/>
      <c r="F92" s="12"/>
      <c r="G92" s="26"/>
      <c r="H92" s="527"/>
      <c r="I92" s="20"/>
      <c r="J92" s="24"/>
      <c r="K92" s="20"/>
      <c r="L92" s="527"/>
      <c r="M92" s="20"/>
      <c r="N92" s="527"/>
      <c r="O92" s="20"/>
      <c r="P92" s="20"/>
      <c r="Q92" s="20"/>
      <c r="R92" s="20"/>
      <c r="S92" s="20"/>
    </row>
    <row r="93" spans="1:34" ht="15.75" thickTop="1">
      <c r="A93" s="1902"/>
      <c r="B93" s="1914" t="s">
        <v>769</v>
      </c>
      <c r="C93" s="927"/>
      <c r="D93" s="1740"/>
      <c r="E93" s="1740"/>
      <c r="F93" s="1740"/>
      <c r="G93" s="1904"/>
      <c r="H93" s="1915"/>
      <c r="I93" s="1916"/>
      <c r="J93" s="1917"/>
      <c r="K93" s="1916"/>
      <c r="L93" s="1915"/>
      <c r="M93" s="1916"/>
      <c r="N93" s="1915"/>
      <c r="O93" s="1916"/>
      <c r="P93" s="1916"/>
      <c r="Q93" s="1916"/>
      <c r="R93" s="1916"/>
      <c r="S93" s="1916"/>
    </row>
    <row r="94" spans="1:34">
      <c r="A94" s="1124"/>
      <c r="B94" s="1105" t="s">
        <v>770</v>
      </c>
      <c r="C94" s="415"/>
      <c r="D94" s="422"/>
      <c r="E94" s="422"/>
      <c r="F94" s="422"/>
      <c r="G94" s="831"/>
      <c r="H94" s="1918"/>
      <c r="I94" s="1182"/>
      <c r="J94" s="445"/>
      <c r="K94" s="1182"/>
      <c r="L94" s="1918"/>
      <c r="M94" s="1182"/>
      <c r="N94" s="1918"/>
      <c r="O94" s="1182"/>
      <c r="P94" s="1182"/>
      <c r="Q94" s="1182"/>
      <c r="R94" s="1182"/>
      <c r="S94" s="1182"/>
    </row>
    <row r="95" spans="1:34" ht="15.75" thickBot="1">
      <c r="A95" s="1308"/>
      <c r="B95" s="1136" t="s">
        <v>771</v>
      </c>
      <c r="C95" s="935"/>
      <c r="D95" s="938"/>
      <c r="E95" s="938"/>
      <c r="F95" s="938"/>
      <c r="G95" s="939"/>
      <c r="H95" s="1919"/>
      <c r="I95" s="1140"/>
      <c r="J95" s="940"/>
      <c r="K95" s="1140"/>
      <c r="L95" s="1919"/>
      <c r="M95" s="1140"/>
      <c r="N95" s="1919"/>
      <c r="O95" s="1140"/>
      <c r="P95" s="1140"/>
      <c r="Q95" s="1140"/>
      <c r="R95" s="1140"/>
      <c r="S95" s="1140"/>
    </row>
    <row r="96" spans="1:34" ht="16.5" thickTop="1" thickBot="1">
      <c r="F96" s="2"/>
      <c r="G96" s="2"/>
      <c r="H96" s="529"/>
      <c r="I96" s="2"/>
      <c r="J96" s="2"/>
      <c r="K96" s="2"/>
      <c r="L96" s="529"/>
      <c r="M96" s="2"/>
      <c r="N96" s="529"/>
      <c r="O96" s="2"/>
      <c r="P96" s="2"/>
      <c r="Q96" s="2"/>
      <c r="R96" s="2"/>
      <c r="S96" s="2"/>
    </row>
    <row r="97" spans="1:19" ht="16.5" thickTop="1" thickBot="1">
      <c r="A97" s="37" t="s">
        <v>772</v>
      </c>
      <c r="B97" s="39"/>
      <c r="F97" s="2"/>
      <c r="G97" s="2"/>
      <c r="H97" s="529"/>
      <c r="I97" s="2"/>
      <c r="J97" s="2"/>
      <c r="K97" s="2"/>
      <c r="L97" s="529"/>
      <c r="M97" s="2"/>
      <c r="N97" s="529"/>
      <c r="O97" s="2"/>
      <c r="P97" s="2"/>
      <c r="Q97" s="2"/>
      <c r="R97" s="2"/>
      <c r="S97" s="2"/>
    </row>
    <row r="98" spans="1:19" ht="15.75" thickTop="1">
      <c r="A98" s="38" t="s">
        <v>693</v>
      </c>
      <c r="B98" s="1277" t="str">
        <f>H5</f>
        <v>Atlas</v>
      </c>
      <c r="F98" s="2"/>
      <c r="G98" s="2"/>
      <c r="H98" s="529"/>
      <c r="I98" s="2"/>
      <c r="J98" s="2"/>
      <c r="K98" s="2"/>
      <c r="L98" s="529"/>
      <c r="M98" s="2"/>
      <c r="N98" s="529"/>
      <c r="O98" s="2"/>
      <c r="P98" s="2"/>
      <c r="Q98" s="2"/>
      <c r="R98" s="2"/>
      <c r="S98" s="2"/>
    </row>
    <row r="99" spans="1:19">
      <c r="A99" s="1142" t="s">
        <v>702</v>
      </c>
      <c r="B99" s="1277" t="str">
        <f t="shared" ref="B99:B101" si="4">H6</f>
        <v>Jennifer Ponder</v>
      </c>
      <c r="F99" s="2"/>
      <c r="G99" s="2"/>
      <c r="H99" s="529"/>
      <c r="I99" s="2"/>
      <c r="J99" s="2"/>
      <c r="K99" s="2"/>
      <c r="L99" s="529"/>
      <c r="M99" s="2"/>
      <c r="N99" s="529"/>
      <c r="O99" s="2"/>
      <c r="P99" s="2"/>
      <c r="Q99" s="2"/>
      <c r="R99" s="2"/>
      <c r="S99" s="2"/>
    </row>
    <row r="100" spans="1:19">
      <c r="A100" s="1191" t="s">
        <v>708</v>
      </c>
      <c r="B100" s="1277" t="str">
        <f t="shared" si="4"/>
        <v>(678) 762-1088</v>
      </c>
      <c r="F100" s="2"/>
      <c r="G100" s="2"/>
      <c r="H100" s="529"/>
      <c r="I100" s="2"/>
      <c r="J100" s="2"/>
      <c r="K100" s="2"/>
      <c r="L100" s="529"/>
      <c r="M100" s="2"/>
      <c r="N100" s="529"/>
      <c r="O100" s="2"/>
      <c r="P100" s="2"/>
      <c r="Q100" s="2"/>
      <c r="R100" s="2"/>
      <c r="S100" s="2"/>
    </row>
    <row r="101" spans="1:19">
      <c r="A101" s="1191" t="s">
        <v>713</v>
      </c>
      <c r="B101" s="1277" t="str">
        <f t="shared" si="4"/>
        <v>jennifer@atlas-disposal.com</v>
      </c>
      <c r="F101" s="2"/>
      <c r="G101" s="2"/>
      <c r="H101" s="529"/>
      <c r="I101" s="2"/>
      <c r="J101" s="2"/>
      <c r="K101" s="2"/>
      <c r="L101" s="529"/>
      <c r="M101" s="2"/>
      <c r="N101" s="529"/>
      <c r="O101" s="2"/>
      <c r="P101" s="2"/>
      <c r="Q101" s="2"/>
      <c r="R101" s="2"/>
      <c r="S101" s="2"/>
    </row>
    <row r="102" spans="1:19" ht="15.75" thickBot="1">
      <c r="A102" s="1145" t="s">
        <v>69</v>
      </c>
      <c r="B102" s="1146">
        <f>I66</f>
        <v>114439.55</v>
      </c>
      <c r="F102" s="2"/>
      <c r="G102" s="2"/>
      <c r="H102" s="529"/>
      <c r="I102" s="2"/>
      <c r="J102" s="2"/>
      <c r="K102" s="2"/>
      <c r="L102" s="529"/>
      <c r="M102" s="2"/>
      <c r="N102" s="529"/>
      <c r="O102" s="2"/>
      <c r="P102" s="2"/>
      <c r="Q102" s="2"/>
      <c r="R102" s="2"/>
      <c r="S102" s="2"/>
    </row>
    <row r="103" spans="1:19" ht="15.75" thickTop="1"/>
  </sheetData>
  <mergeCells count="41">
    <mergeCell ref="A82:B82"/>
    <mergeCell ref="A86:B86"/>
    <mergeCell ref="J9:K9"/>
    <mergeCell ref="A70:B70"/>
    <mergeCell ref="N5:O5"/>
    <mergeCell ref="J6:K6"/>
    <mergeCell ref="H6:I6"/>
    <mergeCell ref="L6:M6"/>
    <mergeCell ref="N6:O6"/>
    <mergeCell ref="H9:I9"/>
    <mergeCell ref="L9:M9"/>
    <mergeCell ref="N9:O9"/>
    <mergeCell ref="A74:B74"/>
    <mergeCell ref="A78:B78"/>
    <mergeCell ref="P9:Q9"/>
    <mergeCell ref="P7:Q7"/>
    <mergeCell ref="J7:K7"/>
    <mergeCell ref="H7:I7"/>
    <mergeCell ref="L7:M7"/>
    <mergeCell ref="N7:O7"/>
    <mergeCell ref="P8:Q8"/>
    <mergeCell ref="J8:K8"/>
    <mergeCell ref="H8:I8"/>
    <mergeCell ref="L8:M8"/>
    <mergeCell ref="N8:O8"/>
    <mergeCell ref="R7:S7"/>
    <mergeCell ref="R8:S8"/>
    <mergeCell ref="R9:S9"/>
    <mergeCell ref="J4:K4"/>
    <mergeCell ref="H4:I4"/>
    <mergeCell ref="L4:M4"/>
    <mergeCell ref="N4:O4"/>
    <mergeCell ref="P4:Q4"/>
    <mergeCell ref="R4:S4"/>
    <mergeCell ref="R5:S5"/>
    <mergeCell ref="R6:S6"/>
    <mergeCell ref="P6:Q6"/>
    <mergeCell ref="P5:Q5"/>
    <mergeCell ref="J5:K5"/>
    <mergeCell ref="H5:I5"/>
    <mergeCell ref="L5:M5"/>
  </mergeCells>
  <conditionalFormatting sqref="H11:H19">
    <cfRule type="cellIs" dxfId="209" priority="1" operator="equal">
      <formula>"X"</formula>
    </cfRule>
    <cfRule type="cellIs" dxfId="208" priority="2" operator="equal">
      <formula>"I"</formula>
    </cfRule>
  </conditionalFormatting>
  <conditionalFormatting sqref="H37:H40">
    <cfRule type="cellIs" dxfId="207" priority="51" operator="equal">
      <formula>"X"</formula>
    </cfRule>
    <cfRule type="cellIs" dxfId="206" priority="52" operator="equal">
      <formula>"I"</formula>
    </cfRule>
  </conditionalFormatting>
  <conditionalFormatting sqref="H42:H43">
    <cfRule type="cellIs" dxfId="205" priority="7" operator="equal">
      <formula>"X"</formula>
    </cfRule>
    <cfRule type="cellIs" dxfId="204" priority="8" operator="equal">
      <formula>"I"</formula>
    </cfRule>
  </conditionalFormatting>
  <conditionalFormatting sqref="H45:H51">
    <cfRule type="cellIs" dxfId="203" priority="41" operator="equal">
      <formula>"X"</formula>
    </cfRule>
    <cfRule type="cellIs" dxfId="202" priority="42" operator="equal">
      <formula>"I"</formula>
    </cfRule>
  </conditionalFormatting>
  <conditionalFormatting sqref="J11:J19 L11:L19 N11:N19 P11:P19 R11:R19 H21 J21 L21 N21 P21 R21 H55:H61 R55:R61 J57 L57 N57 P57:P61 J59:J61 L59:L61 N59:N61">
    <cfRule type="cellIs" dxfId="201" priority="79" operator="equal">
      <formula>"X"</formula>
    </cfRule>
    <cfRule type="cellIs" dxfId="200" priority="80" operator="equal">
      <formula>"I"</formula>
    </cfRule>
  </conditionalFormatting>
  <conditionalFormatting sqref="J31:J35">
    <cfRule type="cellIs" dxfId="199" priority="65" operator="equal">
      <formula>"X"</formula>
    </cfRule>
    <cfRule type="cellIs" dxfId="198" priority="66" operator="equal">
      <formula>"I"</formula>
    </cfRule>
  </conditionalFormatting>
  <conditionalFormatting sqref="J37:J39">
    <cfRule type="cellIs" dxfId="197" priority="61" operator="equal">
      <formula>"X"</formula>
    </cfRule>
    <cfRule type="cellIs" dxfId="196" priority="62" operator="equal">
      <formula>"I"</formula>
    </cfRule>
  </conditionalFormatting>
  <conditionalFormatting sqref="J42">
    <cfRule type="cellIs" dxfId="195" priority="59" operator="equal">
      <formula>"X"</formula>
    </cfRule>
    <cfRule type="cellIs" dxfId="194" priority="60" operator="equal">
      <formula>"I"</formula>
    </cfRule>
  </conditionalFormatting>
  <conditionalFormatting sqref="J45:J51">
    <cfRule type="cellIs" dxfId="193" priority="57" operator="equal">
      <formula>"X"</formula>
    </cfRule>
    <cfRule type="cellIs" dxfId="192" priority="58" operator="equal">
      <formula>"I"</formula>
    </cfRule>
  </conditionalFormatting>
  <conditionalFormatting sqref="L42:L43">
    <cfRule type="cellIs" dxfId="191" priority="9" operator="equal">
      <formula>"X"</formula>
    </cfRule>
    <cfRule type="cellIs" dxfId="190" priority="10" operator="equal">
      <formula>"I"</formula>
    </cfRule>
  </conditionalFormatting>
  <conditionalFormatting sqref="L45:L51">
    <cfRule type="cellIs" dxfId="189" priority="35" operator="equal">
      <formula>"X"</formula>
    </cfRule>
    <cfRule type="cellIs" dxfId="188" priority="36" operator="equal">
      <formula>"I"</formula>
    </cfRule>
  </conditionalFormatting>
  <conditionalFormatting sqref="N31 H31:H35 L31:L40">
    <cfRule type="cellIs" dxfId="187" priority="17" operator="equal">
      <formula>"X"</formula>
    </cfRule>
    <cfRule type="cellIs" dxfId="186" priority="18" operator="equal">
      <formula>"I"</formula>
    </cfRule>
  </conditionalFormatting>
  <conditionalFormatting sqref="N33:N35">
    <cfRule type="cellIs" dxfId="185" priority="11" operator="equal">
      <formula>"X"</formula>
    </cfRule>
    <cfRule type="cellIs" dxfId="184" priority="12" operator="equal">
      <formula>"I"</formula>
    </cfRule>
  </conditionalFormatting>
  <conditionalFormatting sqref="N37:N40">
    <cfRule type="cellIs" dxfId="183" priority="25" operator="equal">
      <formula>"X"</formula>
    </cfRule>
    <cfRule type="cellIs" dxfId="182" priority="26" operator="equal">
      <formula>"I"</formula>
    </cfRule>
  </conditionalFormatting>
  <conditionalFormatting sqref="N43">
    <cfRule type="cellIs" dxfId="181" priority="5" operator="equal">
      <formula>"X"</formula>
    </cfRule>
    <cfRule type="cellIs" dxfId="180" priority="6" operator="equal">
      <formula>"I"</formula>
    </cfRule>
  </conditionalFormatting>
  <conditionalFormatting sqref="N45:N51">
    <cfRule type="cellIs" dxfId="179" priority="37" operator="equal">
      <formula>"X"</formula>
    </cfRule>
    <cfRule type="cellIs" dxfId="178" priority="38" operator="equal">
      <formula>"I"</formula>
    </cfRule>
  </conditionalFormatting>
  <hyperlinks>
    <hyperlink ref="B4" location="'Cost Summary'!A1" display="BACK TO SUMMARY SHEET" xr:uid="{37842697-2EFF-4FA6-B5BA-017AC3975C51}"/>
    <hyperlink ref="N8" r:id="rId1" xr:uid="{77F1B4CA-CCB5-4FBD-955F-EDA1B94C9AF3}"/>
    <hyperlink ref="L8" r:id="rId2" xr:uid="{4BAD4C5D-D07C-48E7-BFDA-B938BE410EA5}"/>
    <hyperlink ref="J8" r:id="rId3" xr:uid="{5189CBC7-3CE7-4238-B3F9-4196EA3321C5}"/>
    <hyperlink ref="H8" r:id="rId4" xr:uid="{801EC962-3109-4398-9CCF-5911BB2C86C1}"/>
  </hyperlinks>
  <pageMargins left="0.7" right="0.7" top="0.75" bottom="0.75" header="0.3" footer="0.3"/>
  <pageSetup orientation="portrait" r:id="rId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32B8-4E89-47BC-9F04-55307DDD9162}">
  <sheetPr>
    <tabColor theme="5" tint="0.39997558519241921"/>
  </sheetPr>
  <dimension ref="A1:JH89"/>
  <sheetViews>
    <sheetView zoomScale="90" zoomScaleNormal="90" workbookViewId="0">
      <pane xSplit="2" ySplit="10" topLeftCell="C11" activePane="bottomRight" state="frozen"/>
      <selection pane="topRight" activeCell="C1" sqref="C1"/>
      <selection pane="bottomLeft" activeCell="A21" sqref="A21"/>
      <selection pane="bottomRight" activeCell="I24" sqref="I24"/>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 min="20" max="20" width="7.7109375" style="270" customWidth="1"/>
    <col min="21" max="21" width="15.7109375" style="270" customWidth="1"/>
  </cols>
  <sheetData>
    <row r="1" spans="1:26">
      <c r="D1" s="260"/>
      <c r="E1" s="68"/>
      <c r="F1" s="275"/>
      <c r="G1" s="269" t="s">
        <v>679</v>
      </c>
      <c r="Z1" s="261"/>
    </row>
    <row r="2" spans="1:26">
      <c r="D2" s="260"/>
      <c r="E2" s="68"/>
      <c r="F2" s="276" t="s">
        <v>680</v>
      </c>
      <c r="G2" s="269" t="s">
        <v>681</v>
      </c>
      <c r="Z2" s="261"/>
    </row>
    <row r="3" spans="1:26" ht="15.75" thickBot="1">
      <c r="D3" s="260"/>
      <c r="E3" s="68"/>
      <c r="F3" s="277" t="s">
        <v>682</v>
      </c>
      <c r="G3" s="269" t="s">
        <v>683</v>
      </c>
      <c r="Z3" s="261"/>
    </row>
    <row r="4" spans="1:26" ht="15.75" thickBot="1">
      <c r="B4" s="262" t="s">
        <v>684</v>
      </c>
      <c r="D4" s="260"/>
      <c r="E4" s="68"/>
      <c r="F4" s="278"/>
      <c r="G4" s="270" t="s">
        <v>685</v>
      </c>
      <c r="H4" s="2323" t="s">
        <v>912</v>
      </c>
      <c r="I4" s="2324"/>
      <c r="J4" s="2319" t="s">
        <v>687</v>
      </c>
      <c r="K4" s="2320"/>
      <c r="L4" s="2319" t="s">
        <v>687</v>
      </c>
      <c r="M4" s="2320"/>
      <c r="N4" s="2319" t="s">
        <v>688</v>
      </c>
      <c r="O4" s="2320"/>
      <c r="P4" s="2319" t="s">
        <v>689</v>
      </c>
      <c r="Q4" s="2320"/>
      <c r="R4" s="2319" t="s">
        <v>773</v>
      </c>
      <c r="S4" s="2320"/>
      <c r="T4" s="2319" t="s">
        <v>774</v>
      </c>
      <c r="U4" s="2320"/>
      <c r="Z4" s="261"/>
    </row>
    <row r="5" spans="1:26" ht="15.75" thickTop="1">
      <c r="A5" s="292" t="s">
        <v>692</v>
      </c>
      <c r="B5" s="299" t="str">
        <f>'Area Calculations'!B4</f>
        <v>ERAU Residential Hall &amp; Garage Building</v>
      </c>
      <c r="C5" s="294"/>
      <c r="D5" s="263"/>
      <c r="E5" s="264"/>
      <c r="F5" s="279"/>
      <c r="G5" s="271" t="s">
        <v>693</v>
      </c>
      <c r="H5" s="2400" t="s">
        <v>2159</v>
      </c>
      <c r="I5" s="2401"/>
      <c r="J5" s="2333" t="s">
        <v>2160</v>
      </c>
      <c r="K5" s="2334"/>
      <c r="L5" s="2333" t="s">
        <v>2161</v>
      </c>
      <c r="M5" s="2334"/>
      <c r="N5" s="2333" t="s">
        <v>2162</v>
      </c>
      <c r="O5" s="2334"/>
      <c r="P5" s="2321"/>
      <c r="Q5" s="2322"/>
      <c r="R5" s="2333"/>
      <c r="S5" s="2334"/>
      <c r="T5" s="2333"/>
      <c r="U5" s="2334"/>
      <c r="Z5" s="261"/>
    </row>
    <row r="6" spans="1:26">
      <c r="A6" s="1082" t="s">
        <v>700</v>
      </c>
      <c r="B6" s="1196" t="s">
        <v>138</v>
      </c>
      <c r="C6" s="415"/>
      <c r="D6" s="416"/>
      <c r="E6" s="417"/>
      <c r="F6" s="499">
        <v>578663</v>
      </c>
      <c r="G6" s="419" t="s">
        <v>702</v>
      </c>
      <c r="H6" s="2313" t="s">
        <v>2163</v>
      </c>
      <c r="I6" s="2314"/>
      <c r="J6" s="2313" t="s">
        <v>2164</v>
      </c>
      <c r="K6" s="2314"/>
      <c r="L6" s="2313" t="s">
        <v>2165</v>
      </c>
      <c r="M6" s="2314"/>
      <c r="N6" s="2313" t="s">
        <v>2166</v>
      </c>
      <c r="O6" s="2314"/>
      <c r="P6" s="2325"/>
      <c r="Q6" s="2326"/>
      <c r="R6" s="2313"/>
      <c r="S6" s="2314"/>
      <c r="T6" s="2313"/>
      <c r="U6" s="2314"/>
      <c r="Z6" s="261"/>
    </row>
    <row r="7" spans="1:26">
      <c r="A7" s="1082" t="s">
        <v>706</v>
      </c>
      <c r="B7" s="1197" t="s">
        <v>353</v>
      </c>
      <c r="C7" s="415"/>
      <c r="D7" s="416"/>
      <c r="E7" s="417"/>
      <c r="F7" s="499">
        <v>242000</v>
      </c>
      <c r="G7" s="829" t="s">
        <v>708</v>
      </c>
      <c r="H7" s="2398">
        <v>4078325118</v>
      </c>
      <c r="I7" s="2399"/>
      <c r="J7" s="2398">
        <v>9045221659</v>
      </c>
      <c r="K7" s="2399"/>
      <c r="L7" s="2398">
        <v>3213198850</v>
      </c>
      <c r="M7" s="2399"/>
      <c r="N7" s="2398">
        <v>4074558595</v>
      </c>
      <c r="O7" s="2399"/>
      <c r="P7" s="2325"/>
      <c r="Q7" s="2326"/>
      <c r="R7" s="2313"/>
      <c r="S7" s="2314"/>
      <c r="T7" s="2313"/>
      <c r="U7" s="2314"/>
      <c r="Z7" s="261"/>
    </row>
    <row r="8" spans="1:26">
      <c r="A8" s="1082" t="s">
        <v>712</v>
      </c>
      <c r="B8" s="1198"/>
      <c r="C8" s="415"/>
      <c r="D8" s="416"/>
      <c r="E8" s="417"/>
      <c r="F8" s="499">
        <f>F6-F7</f>
        <v>336663</v>
      </c>
      <c r="G8" s="829" t="s">
        <v>713</v>
      </c>
      <c r="H8" s="2343" t="s">
        <v>2167</v>
      </c>
      <c r="I8" s="2316"/>
      <c r="J8" s="2343" t="s">
        <v>2168</v>
      </c>
      <c r="K8" s="2316"/>
      <c r="L8" s="2343" t="s">
        <v>2169</v>
      </c>
      <c r="M8" s="2316"/>
      <c r="N8" s="2343" t="s">
        <v>2170</v>
      </c>
      <c r="O8" s="2316"/>
      <c r="P8" s="2329"/>
      <c r="Q8" s="2328"/>
      <c r="R8" s="2315"/>
      <c r="S8" s="2316"/>
      <c r="T8" s="2315"/>
      <c r="U8" s="2316"/>
      <c r="Z8" s="261"/>
    </row>
    <row r="9" spans="1:26" ht="15.75" thickBot="1">
      <c r="A9" s="420"/>
      <c r="B9" s="421"/>
      <c r="C9" s="23"/>
      <c r="D9" s="265"/>
      <c r="E9" s="266"/>
      <c r="F9" s="283"/>
      <c r="G9" s="284" t="s">
        <v>717</v>
      </c>
      <c r="H9" s="2396">
        <f>I52</f>
        <v>1325328.675</v>
      </c>
      <c r="I9" s="2397"/>
      <c r="J9" s="2396">
        <f>K52</f>
        <v>1275400</v>
      </c>
      <c r="K9" s="2397"/>
      <c r="L9" s="2396">
        <f>M52</f>
        <v>1548300</v>
      </c>
      <c r="M9" s="2397"/>
      <c r="N9" s="2396">
        <f>O52</f>
        <v>5279000</v>
      </c>
      <c r="O9" s="2397"/>
      <c r="P9" s="2330">
        <f>Q52</f>
        <v>0</v>
      </c>
      <c r="Q9" s="2330"/>
      <c r="R9" s="2317">
        <f>S52</f>
        <v>0</v>
      </c>
      <c r="S9" s="2318"/>
      <c r="T9" s="2317">
        <f>U52</f>
        <v>0</v>
      </c>
      <c r="U9" s="2318"/>
      <c r="Z9" s="261"/>
    </row>
    <row r="10" spans="1:26"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0" t="s">
        <v>724</v>
      </c>
      <c r="T10" s="290" t="s">
        <v>723</v>
      </c>
      <c r="U10" s="291" t="s">
        <v>724</v>
      </c>
      <c r="Z10" s="268"/>
    </row>
    <row r="11" spans="1:26" ht="15.75">
      <c r="A11" s="1920"/>
      <c r="B11" s="1921" t="s">
        <v>725</v>
      </c>
      <c r="C11" s="928"/>
      <c r="D11" s="1740"/>
      <c r="E11" s="1740"/>
      <c r="F11" s="1744"/>
      <c r="G11" s="1781"/>
      <c r="H11" s="1922"/>
      <c r="I11" s="1782"/>
      <c r="J11" s="1922"/>
      <c r="K11" s="285"/>
      <c r="L11" s="1922"/>
      <c r="M11" s="352"/>
      <c r="N11" s="1922"/>
      <c r="O11" s="1783"/>
      <c r="P11" s="1922"/>
      <c r="Q11" s="1783"/>
      <c r="R11" s="1922"/>
      <c r="S11" s="1783"/>
      <c r="T11" s="1922"/>
      <c r="U11" s="1783"/>
    </row>
    <row r="12" spans="1:26">
      <c r="A12" s="1920"/>
      <c r="B12" s="1263" t="s">
        <v>726</v>
      </c>
      <c r="C12" s="446"/>
      <c r="D12" s="422"/>
      <c r="E12" s="422"/>
      <c r="F12" s="418"/>
      <c r="G12" s="423"/>
      <c r="H12" s="1264" t="s">
        <v>727</v>
      </c>
      <c r="I12" s="1782"/>
      <c r="J12" s="1264" t="s">
        <v>727</v>
      </c>
      <c r="K12" s="1783"/>
      <c r="L12" s="1264" t="s">
        <v>727</v>
      </c>
      <c r="M12" s="1783"/>
      <c r="N12" s="1264" t="s">
        <v>727</v>
      </c>
      <c r="O12" s="1783"/>
      <c r="P12" s="1264"/>
      <c r="Q12" s="1783"/>
      <c r="R12" s="1264"/>
      <c r="S12" s="1783"/>
      <c r="T12" s="1264"/>
      <c r="U12" s="1783"/>
    </row>
    <row r="13" spans="1:26">
      <c r="A13" s="1097"/>
      <c r="B13" s="1263" t="s">
        <v>728</v>
      </c>
      <c r="C13" s="446"/>
      <c r="D13" s="422"/>
      <c r="E13" s="422"/>
      <c r="F13" s="418"/>
      <c r="G13" s="423"/>
      <c r="H13" s="1264" t="s">
        <v>727</v>
      </c>
      <c r="I13" s="1782"/>
      <c r="J13" s="1264" t="s">
        <v>727</v>
      </c>
      <c r="K13" s="1783"/>
      <c r="L13" s="1264" t="s">
        <v>727</v>
      </c>
      <c r="M13" s="1783"/>
      <c r="N13" s="1264" t="s">
        <v>727</v>
      </c>
      <c r="O13" s="1783"/>
      <c r="P13" s="1264"/>
      <c r="Q13" s="1783"/>
      <c r="R13" s="1264"/>
      <c r="S13" s="1783"/>
      <c r="T13" s="1264"/>
      <c r="U13" s="1783"/>
    </row>
    <row r="14" spans="1:26">
      <c r="A14" s="1920"/>
      <c r="B14" s="1265" t="s">
        <v>729</v>
      </c>
      <c r="C14" s="446"/>
      <c r="D14" s="422"/>
      <c r="E14" s="422"/>
      <c r="F14" s="418"/>
      <c r="G14" s="423"/>
      <c r="H14" s="1264" t="s">
        <v>730</v>
      </c>
      <c r="I14" s="1784" t="s">
        <v>837</v>
      </c>
      <c r="J14" s="1264" t="s">
        <v>730</v>
      </c>
      <c r="K14" s="1783"/>
      <c r="L14" s="1264" t="s">
        <v>730</v>
      </c>
      <c r="M14" s="1783"/>
      <c r="N14" s="1264" t="s">
        <v>730</v>
      </c>
      <c r="O14" s="1783"/>
      <c r="P14" s="1264"/>
      <c r="Q14" s="1783"/>
      <c r="R14" s="1264"/>
      <c r="S14" s="1783"/>
      <c r="T14" s="1264"/>
      <c r="U14" s="1783"/>
    </row>
    <row r="15" spans="1:26">
      <c r="A15" s="1097"/>
      <c r="B15" s="1265" t="s">
        <v>731</v>
      </c>
      <c r="C15" s="446"/>
      <c r="D15" s="422"/>
      <c r="E15" s="422"/>
      <c r="F15" s="418"/>
      <c r="G15" s="423"/>
      <c r="H15" s="1264" t="s">
        <v>727</v>
      </c>
      <c r="I15" s="1782"/>
      <c r="J15" s="1264" t="s">
        <v>727</v>
      </c>
      <c r="K15" s="1782"/>
      <c r="L15" s="1264" t="s">
        <v>727</v>
      </c>
      <c r="M15" s="1782"/>
      <c r="N15" s="1264" t="s">
        <v>727</v>
      </c>
      <c r="O15" s="1782"/>
      <c r="P15" s="1264"/>
      <c r="Q15" s="1782"/>
      <c r="R15" s="1264"/>
      <c r="S15" s="1782"/>
      <c r="T15" s="1264"/>
      <c r="U15" s="1782"/>
    </row>
    <row r="16" spans="1:26">
      <c r="A16" s="1920"/>
      <c r="B16" s="1265" t="s">
        <v>732</v>
      </c>
      <c r="C16" s="446"/>
      <c r="D16" s="422"/>
      <c r="E16" s="422"/>
      <c r="F16" s="418"/>
      <c r="G16" s="423"/>
      <c r="H16" s="1264" t="s">
        <v>727</v>
      </c>
      <c r="I16" s="1782"/>
      <c r="J16" s="1264" t="s">
        <v>727</v>
      </c>
      <c r="K16" s="1783"/>
      <c r="L16" s="1264" t="s">
        <v>727</v>
      </c>
      <c r="M16" s="1783"/>
      <c r="N16" s="1264" t="s">
        <v>727</v>
      </c>
      <c r="O16" s="1783"/>
      <c r="P16" s="1264"/>
      <c r="Q16" s="1783"/>
      <c r="R16" s="1264"/>
      <c r="S16" s="1783"/>
      <c r="T16" s="1264"/>
      <c r="U16" s="1783"/>
    </row>
    <row r="17" spans="1:268">
      <c r="A17" s="1097"/>
      <c r="B17" s="1265" t="s">
        <v>733</v>
      </c>
      <c r="C17" s="446"/>
      <c r="D17" s="422"/>
      <c r="E17" s="422"/>
      <c r="F17" s="418"/>
      <c r="G17" s="423"/>
      <c r="H17" s="1264" t="s">
        <v>727</v>
      </c>
      <c r="I17" s="1782"/>
      <c r="J17" s="1264" t="s">
        <v>727</v>
      </c>
      <c r="K17" s="1783"/>
      <c r="L17" s="1264" t="s">
        <v>727</v>
      </c>
      <c r="M17" s="1783"/>
      <c r="N17" s="1264" t="s">
        <v>727</v>
      </c>
      <c r="O17" s="1783"/>
      <c r="P17" s="1264"/>
      <c r="Q17" s="1783"/>
      <c r="R17" s="1264"/>
      <c r="S17" s="1783"/>
      <c r="T17" s="1264"/>
      <c r="U17" s="1783"/>
    </row>
    <row r="18" spans="1:268">
      <c r="A18" s="1920"/>
      <c r="B18" s="534" t="s">
        <v>734</v>
      </c>
      <c r="C18" s="446"/>
      <c r="D18" s="422"/>
      <c r="E18" s="422"/>
      <c r="F18" s="418"/>
      <c r="G18" s="423"/>
      <c r="H18" s="1264" t="s">
        <v>730</v>
      </c>
      <c r="I18" s="1782" t="s">
        <v>917</v>
      </c>
      <c r="J18" s="1264" t="s">
        <v>730</v>
      </c>
      <c r="K18" s="1783"/>
      <c r="L18" s="1264" t="s">
        <v>730</v>
      </c>
      <c r="M18" s="1783"/>
      <c r="N18" s="1264" t="s">
        <v>730</v>
      </c>
      <c r="O18" s="1783"/>
      <c r="P18" s="1264"/>
      <c r="Q18" s="1783"/>
      <c r="R18" s="1264"/>
      <c r="S18" s="1783"/>
      <c r="T18" s="1264"/>
      <c r="U18" s="1783"/>
    </row>
    <row r="19" spans="1:268">
      <c r="A19" s="1920"/>
      <c r="B19" s="1154" t="s">
        <v>736</v>
      </c>
      <c r="C19" s="446"/>
      <c r="D19" s="422"/>
      <c r="E19" s="422"/>
      <c r="F19" s="418"/>
      <c r="G19" s="423"/>
      <c r="H19" s="1264"/>
      <c r="I19" s="1782"/>
      <c r="J19" s="1264"/>
      <c r="K19" s="1783"/>
      <c r="L19" s="1264"/>
      <c r="M19" s="1783"/>
      <c r="N19" s="1264"/>
      <c r="O19" s="1783"/>
      <c r="P19" s="1264"/>
      <c r="Q19" s="1783"/>
      <c r="R19" s="1264"/>
      <c r="S19" s="1783"/>
      <c r="T19" s="1264"/>
      <c r="U19" s="1783"/>
    </row>
    <row r="20" spans="1:268">
      <c r="A20" s="1097"/>
      <c r="B20" s="1853" t="s">
        <v>737</v>
      </c>
      <c r="C20" s="447"/>
      <c r="D20" s="425"/>
      <c r="E20" s="425"/>
      <c r="F20" s="426"/>
      <c r="G20" s="427"/>
      <c r="H20" s="1156"/>
      <c r="I20" s="1786"/>
      <c r="J20" s="1156"/>
      <c r="K20" s="1787">
        <f>1225000+10400</f>
        <v>1235400</v>
      </c>
      <c r="L20" s="1156"/>
      <c r="M20" s="1787">
        <v>1508300</v>
      </c>
      <c r="N20" s="1156"/>
      <c r="O20" s="1787">
        <v>5279000</v>
      </c>
      <c r="P20" s="1156"/>
      <c r="Q20" s="1787"/>
      <c r="R20" s="1156"/>
      <c r="S20" s="1787"/>
      <c r="T20" s="1156"/>
      <c r="U20" s="1787"/>
    </row>
    <row r="21" spans="1:268">
      <c r="A21" s="1920"/>
      <c r="B21" s="1923" t="s">
        <v>2171</v>
      </c>
      <c r="C21" s="70"/>
      <c r="D21" s="86"/>
      <c r="E21" s="86"/>
      <c r="F21" s="280">
        <f>I21/F7</f>
        <v>2.4965702479338843</v>
      </c>
      <c r="G21" s="274"/>
      <c r="H21" s="1264" t="s">
        <v>727</v>
      </c>
      <c r="I21" s="428">
        <v>604170</v>
      </c>
      <c r="J21" s="1264" t="s">
        <v>727</v>
      </c>
      <c r="K21" s="428"/>
      <c r="L21" s="1264" t="s">
        <v>727</v>
      </c>
      <c r="M21" s="428"/>
      <c r="N21" s="1264" t="s">
        <v>727</v>
      </c>
      <c r="O21" s="428"/>
      <c r="P21" s="1264"/>
      <c r="Q21" s="428"/>
      <c r="R21" s="1264"/>
      <c r="S21" s="428"/>
      <c r="T21" s="1264"/>
      <c r="U21" s="428"/>
    </row>
    <row r="22" spans="1:268">
      <c r="A22" s="1097"/>
      <c r="B22" s="341" t="s">
        <v>2172</v>
      </c>
      <c r="C22" s="415" t="s">
        <v>2173</v>
      </c>
      <c r="D22" s="430"/>
      <c r="E22" s="422"/>
      <c r="F22" s="280"/>
      <c r="G22" s="274"/>
      <c r="H22" s="1264" t="s">
        <v>727</v>
      </c>
      <c r="I22" s="1783"/>
      <c r="J22" s="1264" t="s">
        <v>727</v>
      </c>
      <c r="K22" s="344"/>
      <c r="L22" s="1264" t="s">
        <v>727</v>
      </c>
      <c r="M22" s="344"/>
      <c r="N22" s="1264" t="s">
        <v>727</v>
      </c>
      <c r="O22" s="344"/>
      <c r="P22" s="1264"/>
      <c r="Q22" s="344"/>
      <c r="R22" s="1264"/>
      <c r="S22" s="1783"/>
      <c r="T22" s="1264"/>
      <c r="U22" s="1783"/>
    </row>
    <row r="23" spans="1:268">
      <c r="A23" s="1920"/>
      <c r="B23" s="1924" t="s">
        <v>2174</v>
      </c>
      <c r="C23" s="415" t="s">
        <v>2173</v>
      </c>
      <c r="D23" s="1925"/>
      <c r="E23" s="1740"/>
      <c r="F23" s="280"/>
      <c r="G23" s="274"/>
      <c r="H23" s="1264" t="s">
        <v>727</v>
      </c>
      <c r="I23" s="1783"/>
      <c r="J23" s="1264" t="s">
        <v>727</v>
      </c>
      <c r="K23" s="1783"/>
      <c r="L23" s="1264" t="s">
        <v>727</v>
      </c>
      <c r="M23" s="1783"/>
      <c r="N23" s="1264" t="s">
        <v>727</v>
      </c>
      <c r="O23" s="1783"/>
      <c r="P23" s="1264"/>
      <c r="Q23" s="1783"/>
      <c r="R23" s="1264"/>
      <c r="S23" s="1783"/>
      <c r="T23" s="1264"/>
      <c r="U23" s="1783"/>
    </row>
    <row r="24" spans="1:268" ht="38.25">
      <c r="A24" s="1920"/>
      <c r="B24" s="1924" t="s">
        <v>2175</v>
      </c>
      <c r="C24" s="415" t="s">
        <v>2173</v>
      </c>
      <c r="D24" s="1854"/>
      <c r="E24" s="1740"/>
      <c r="F24" s="280"/>
      <c r="G24" s="274"/>
      <c r="H24" s="1264" t="s">
        <v>727</v>
      </c>
      <c r="I24" s="1783">
        <v>56785</v>
      </c>
      <c r="J24" s="1264" t="s">
        <v>727</v>
      </c>
      <c r="K24" s="1783"/>
      <c r="L24" s="1264" t="s">
        <v>727</v>
      </c>
      <c r="M24" s="1783"/>
      <c r="N24" s="1264" t="s">
        <v>727</v>
      </c>
      <c r="O24" s="1783"/>
      <c r="P24" s="1264"/>
      <c r="Q24" s="1783"/>
      <c r="R24" s="1264"/>
      <c r="S24" s="1783"/>
      <c r="T24" s="1264"/>
      <c r="U24" s="1783"/>
    </row>
    <row r="25" spans="1:268">
      <c r="A25" s="1920"/>
      <c r="B25" s="1924" t="s">
        <v>2176</v>
      </c>
      <c r="C25" s="70"/>
      <c r="D25" s="86">
        <v>2</v>
      </c>
      <c r="E25" s="86"/>
      <c r="F25" s="280"/>
      <c r="G25" s="274"/>
      <c r="H25" s="1264" t="s">
        <v>727</v>
      </c>
      <c r="I25" s="461"/>
      <c r="J25" s="1264" t="s">
        <v>727</v>
      </c>
      <c r="K25" s="428"/>
      <c r="L25" s="1264" t="s">
        <v>727</v>
      </c>
      <c r="M25" s="428"/>
      <c r="N25" s="1264" t="s">
        <v>727</v>
      </c>
      <c r="O25" s="428"/>
      <c r="P25" s="1264"/>
      <c r="Q25" s="461"/>
      <c r="R25" s="1264"/>
      <c r="S25" s="461"/>
      <c r="T25" s="1264"/>
      <c r="U25" s="428"/>
    </row>
    <row r="26" spans="1:268">
      <c r="A26" s="1920"/>
      <c r="B26" s="1924" t="s">
        <v>2177</v>
      </c>
      <c r="C26" s="70"/>
      <c r="D26" s="86"/>
      <c r="E26" s="86"/>
      <c r="F26" s="280"/>
      <c r="G26" s="274"/>
      <c r="H26" s="1264" t="s">
        <v>727</v>
      </c>
      <c r="I26" s="461"/>
      <c r="J26" s="1264" t="s">
        <v>727</v>
      </c>
      <c r="K26" s="428"/>
      <c r="L26" s="1264" t="s">
        <v>727</v>
      </c>
      <c r="M26" s="428"/>
      <c r="N26" s="1264" t="s">
        <v>727</v>
      </c>
      <c r="O26" s="428"/>
      <c r="P26" s="1264"/>
      <c r="Q26" s="461"/>
      <c r="R26" s="1264"/>
      <c r="S26" s="461"/>
      <c r="T26" s="1264"/>
      <c r="U26" s="428"/>
    </row>
    <row r="27" spans="1:268">
      <c r="A27" s="1920"/>
      <c r="B27" s="1924" t="s">
        <v>2178</v>
      </c>
      <c r="C27" s="70"/>
      <c r="D27" s="86"/>
      <c r="E27" s="86"/>
      <c r="F27" s="280"/>
      <c r="G27" s="274"/>
      <c r="H27" s="1264" t="s">
        <v>727</v>
      </c>
      <c r="I27" s="461"/>
      <c r="J27" s="1264" t="s">
        <v>727</v>
      </c>
      <c r="K27" s="428"/>
      <c r="L27" s="1264" t="s">
        <v>727</v>
      </c>
      <c r="M27" s="428"/>
      <c r="N27" s="1264" t="s">
        <v>727</v>
      </c>
      <c r="O27" s="428"/>
      <c r="P27" s="1264"/>
      <c r="Q27" s="461"/>
      <c r="R27" s="1264"/>
      <c r="S27" s="461"/>
      <c r="T27" s="1264"/>
      <c r="U27" s="428"/>
    </row>
    <row r="28" spans="1:268" ht="25.5">
      <c r="A28" s="1920"/>
      <c r="B28" s="1924" t="s">
        <v>2179</v>
      </c>
      <c r="C28" s="70"/>
      <c r="D28" s="86"/>
      <c r="E28" s="86"/>
      <c r="F28" s="280"/>
      <c r="G28" s="274"/>
      <c r="H28" s="1264" t="s">
        <v>727</v>
      </c>
      <c r="I28" s="461"/>
      <c r="J28" s="1264" t="s">
        <v>727</v>
      </c>
      <c r="K28" s="428"/>
      <c r="L28" s="1264" t="s">
        <v>727</v>
      </c>
      <c r="M28" s="428"/>
      <c r="N28" s="1264" t="s">
        <v>727</v>
      </c>
      <c r="O28" s="428"/>
      <c r="P28" s="1264"/>
      <c r="Q28" s="461"/>
      <c r="R28" s="1264"/>
      <c r="S28" s="461"/>
      <c r="T28" s="1264"/>
      <c r="U28" s="428"/>
    </row>
    <row r="29" spans="1:268">
      <c r="A29" s="1920"/>
      <c r="B29" s="1924" t="s">
        <v>2180</v>
      </c>
      <c r="C29" s="70"/>
      <c r="D29" s="86"/>
      <c r="E29" s="86"/>
      <c r="F29" s="280"/>
      <c r="G29" s="274"/>
      <c r="H29" s="1264" t="s">
        <v>727</v>
      </c>
      <c r="I29" s="461"/>
      <c r="J29" s="1264" t="s">
        <v>727</v>
      </c>
      <c r="K29" s="428"/>
      <c r="L29" s="1264" t="s">
        <v>727</v>
      </c>
      <c r="M29" s="428"/>
      <c r="N29" s="1264" t="s">
        <v>727</v>
      </c>
      <c r="O29" s="428"/>
      <c r="P29" s="1264"/>
      <c r="Q29" s="461"/>
      <c r="R29" s="1264"/>
      <c r="S29" s="461"/>
      <c r="T29" s="1264"/>
      <c r="U29" s="428"/>
    </row>
    <row r="30" spans="1:268">
      <c r="A30" s="1920"/>
      <c r="B30" s="1924" t="s">
        <v>2181</v>
      </c>
      <c r="C30" s="70"/>
      <c r="D30" s="86">
        <v>10</v>
      </c>
      <c r="E30" s="86"/>
      <c r="F30" s="280"/>
      <c r="G30" s="274"/>
      <c r="H30" s="1273" t="s">
        <v>1035</v>
      </c>
      <c r="I30" s="461">
        <v>40000</v>
      </c>
      <c r="J30" s="1273" t="s">
        <v>1035</v>
      </c>
      <c r="K30" s="461">
        <v>40000</v>
      </c>
      <c r="L30" s="1273" t="s">
        <v>1035</v>
      </c>
      <c r="M30" s="461">
        <v>40000</v>
      </c>
      <c r="N30" s="1264"/>
      <c r="O30" s="428"/>
      <c r="P30" s="1264"/>
      <c r="Q30" s="461"/>
      <c r="R30" s="1264"/>
      <c r="S30" s="461"/>
      <c r="T30" s="1264"/>
      <c r="U30" s="428"/>
    </row>
    <row r="31" spans="1:268">
      <c r="A31" s="1920"/>
      <c r="B31" s="1924" t="s">
        <v>2182</v>
      </c>
      <c r="C31" s="70"/>
      <c r="D31" s="86"/>
      <c r="E31" s="86"/>
      <c r="F31" s="280"/>
      <c r="G31" s="274"/>
      <c r="H31" s="1264" t="s">
        <v>730</v>
      </c>
      <c r="I31" s="461"/>
      <c r="J31" s="1264"/>
      <c r="K31" s="428"/>
      <c r="L31" s="1264"/>
      <c r="M31" s="428"/>
      <c r="N31" s="1264"/>
      <c r="O31" s="428"/>
      <c r="P31" s="1264"/>
      <c r="Q31" s="461"/>
      <c r="R31" s="1264"/>
      <c r="S31" s="461"/>
      <c r="T31" s="1264"/>
      <c r="U31" s="428"/>
    </row>
    <row r="32" spans="1:268" s="69" customFormat="1">
      <c r="A32" s="1097"/>
      <c r="B32" s="1386" t="s">
        <v>934</v>
      </c>
      <c r="C32" s="415"/>
      <c r="D32" s="422"/>
      <c r="E32" s="422"/>
      <c r="F32" s="429">
        <f>I32/F8</f>
        <v>1.8350100842682444</v>
      </c>
      <c r="G32" s="423"/>
      <c r="H32" s="1264" t="s">
        <v>727</v>
      </c>
      <c r="I32" s="1107">
        <v>617780</v>
      </c>
      <c r="J32" s="1264" t="s">
        <v>727</v>
      </c>
      <c r="K32" s="1106"/>
      <c r="L32" s="1264" t="s">
        <v>727</v>
      </c>
      <c r="M32" s="1106"/>
      <c r="N32" s="1264" t="s">
        <v>727</v>
      </c>
      <c r="O32" s="1106"/>
      <c r="P32" s="1264"/>
      <c r="Q32" s="1107"/>
      <c r="R32" s="1264"/>
      <c r="S32" s="1107"/>
      <c r="T32" s="1264"/>
      <c r="U32" s="1106"/>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row>
    <row r="33" spans="1:21">
      <c r="A33" s="1097"/>
      <c r="B33" s="1924" t="s">
        <v>2183</v>
      </c>
      <c r="C33" s="415" t="s">
        <v>2173</v>
      </c>
      <c r="D33" s="430"/>
      <c r="E33" s="422"/>
      <c r="F33" s="431"/>
      <c r="G33" s="1751"/>
      <c r="H33" s="1264" t="s">
        <v>727</v>
      </c>
      <c r="I33" s="1783"/>
      <c r="J33" s="1273"/>
      <c r="K33" s="1783" t="s">
        <v>2184</v>
      </c>
      <c r="L33" s="1273" t="s">
        <v>727</v>
      </c>
      <c r="M33" s="1783"/>
      <c r="N33" s="1273"/>
      <c r="O33" s="1783"/>
      <c r="P33" s="1264"/>
      <c r="Q33" s="1783"/>
      <c r="R33" s="1264"/>
      <c r="S33" s="1783"/>
      <c r="T33" s="1264"/>
      <c r="U33" s="1783"/>
    </row>
    <row r="34" spans="1:21">
      <c r="A34" s="1920"/>
      <c r="B34" s="1924" t="s">
        <v>2185</v>
      </c>
      <c r="C34" s="415"/>
      <c r="D34" s="430"/>
      <c r="E34" s="422"/>
      <c r="F34" s="431"/>
      <c r="G34" s="1751"/>
      <c r="H34" s="1264"/>
      <c r="I34" s="1783"/>
      <c r="J34" s="1264"/>
      <c r="K34" s="1783"/>
      <c r="L34" s="1264"/>
      <c r="M34" s="1783"/>
      <c r="N34" s="1264"/>
      <c r="O34" s="1783"/>
      <c r="P34" s="1264"/>
      <c r="Q34" s="1783"/>
      <c r="R34" s="1264"/>
      <c r="S34" s="1783"/>
      <c r="T34" s="1264"/>
      <c r="U34" s="1783"/>
    </row>
    <row r="35" spans="1:21">
      <c r="A35" s="1097"/>
      <c r="B35" s="1924"/>
      <c r="C35" s="415"/>
      <c r="D35" s="430"/>
      <c r="E35" s="422"/>
      <c r="F35" s="431"/>
      <c r="G35" s="1751"/>
      <c r="H35" s="1264"/>
      <c r="I35" s="1783"/>
      <c r="J35" s="1264"/>
      <c r="K35" s="1783"/>
      <c r="L35" s="1264"/>
      <c r="M35" s="1783"/>
      <c r="N35" s="1264"/>
      <c r="O35" s="1783"/>
      <c r="P35" s="1264"/>
      <c r="Q35" s="1783"/>
      <c r="R35" s="1264"/>
      <c r="S35" s="1783"/>
      <c r="T35" s="1264"/>
      <c r="U35" s="1783"/>
    </row>
    <row r="36" spans="1:21">
      <c r="A36" s="1920"/>
      <c r="B36" s="1163"/>
      <c r="C36" s="23"/>
      <c r="D36" s="430"/>
      <c r="E36" s="422"/>
      <c r="F36" s="431"/>
      <c r="G36" s="1751"/>
      <c r="H36" s="1264"/>
      <c r="I36" s="1783"/>
      <c r="J36" s="1264"/>
      <c r="K36" s="1783"/>
      <c r="L36" s="1264"/>
      <c r="M36" s="1783"/>
      <c r="N36" s="1264"/>
      <c r="O36" s="1783"/>
      <c r="P36" s="1264"/>
      <c r="Q36" s="1783"/>
      <c r="R36" s="1264"/>
      <c r="S36" s="1783"/>
      <c r="T36" s="1264"/>
      <c r="U36" s="1783"/>
    </row>
    <row r="37" spans="1:21">
      <c r="A37" s="1097"/>
      <c r="B37" s="1271" t="s">
        <v>2186</v>
      </c>
      <c r="C37" s="23"/>
      <c r="D37" s="87"/>
      <c r="E37" s="86"/>
      <c r="F37" s="431"/>
      <c r="G37" s="1751"/>
      <c r="H37" s="1264"/>
      <c r="I37" s="1783"/>
      <c r="J37" s="1264"/>
      <c r="K37" s="1783"/>
      <c r="L37" s="1264"/>
      <c r="M37" s="1783"/>
      <c r="N37" s="1264"/>
      <c r="O37" s="1783"/>
      <c r="P37" s="1264"/>
      <c r="Q37" s="1783"/>
      <c r="R37" s="1264"/>
      <c r="S37" s="1783"/>
      <c r="T37" s="1264"/>
      <c r="U37" s="1783"/>
    </row>
    <row r="38" spans="1:21">
      <c r="A38" s="1920"/>
      <c r="B38" s="1163" t="s">
        <v>2187</v>
      </c>
      <c r="C38" s="23" t="s">
        <v>2173</v>
      </c>
      <c r="D38" s="87"/>
      <c r="E38" s="86"/>
      <c r="F38" s="431"/>
      <c r="G38" s="1751"/>
      <c r="H38" s="1273" t="s">
        <v>727</v>
      </c>
      <c r="I38" s="1783"/>
      <c r="J38" s="1273" t="s">
        <v>727</v>
      </c>
      <c r="K38" s="1783"/>
      <c r="L38" s="1273" t="s">
        <v>727</v>
      </c>
      <c r="M38" s="1783"/>
      <c r="N38" s="1273" t="s">
        <v>727</v>
      </c>
      <c r="O38" s="1783"/>
      <c r="P38" s="1264"/>
      <c r="Q38" s="1783"/>
      <c r="R38" s="1264"/>
      <c r="S38" s="1783"/>
      <c r="T38" s="1264"/>
      <c r="U38" s="1783"/>
    </row>
    <row r="39" spans="1:21">
      <c r="A39" s="1920"/>
      <c r="B39" s="1163" t="s">
        <v>2188</v>
      </c>
      <c r="C39" s="23" t="s">
        <v>2173</v>
      </c>
      <c r="D39" s="87"/>
      <c r="E39" s="86"/>
      <c r="F39" s="431"/>
      <c r="G39" s="1751"/>
      <c r="H39" s="1273" t="s">
        <v>727</v>
      </c>
      <c r="I39" s="1783"/>
      <c r="J39" s="1273" t="s">
        <v>727</v>
      </c>
      <c r="K39" s="1783"/>
      <c r="L39" s="1273" t="s">
        <v>727</v>
      </c>
      <c r="M39" s="1783"/>
      <c r="N39" s="1273" t="s">
        <v>727</v>
      </c>
      <c r="O39" s="1783"/>
      <c r="P39" s="1264"/>
      <c r="Q39" s="1783"/>
      <c r="R39" s="1264"/>
      <c r="S39" s="1783"/>
      <c r="T39" s="1264"/>
      <c r="U39" s="1783"/>
    </row>
    <row r="40" spans="1:21">
      <c r="A40" s="1920"/>
      <c r="B40" s="1163" t="s">
        <v>2189</v>
      </c>
      <c r="C40" s="23"/>
      <c r="D40" s="87"/>
      <c r="E40" s="86"/>
      <c r="F40" s="431"/>
      <c r="G40" s="1751"/>
      <c r="H40" s="1273" t="s">
        <v>727</v>
      </c>
      <c r="I40" s="1783"/>
      <c r="J40" s="1273" t="s">
        <v>727</v>
      </c>
      <c r="K40" s="1783"/>
      <c r="L40" s="1273" t="s">
        <v>727</v>
      </c>
      <c r="M40" s="1783"/>
      <c r="N40" s="1273" t="s">
        <v>727</v>
      </c>
      <c r="O40" s="1783"/>
      <c r="P40" s="1264"/>
      <c r="Q40" s="1783"/>
      <c r="R40" s="1264"/>
      <c r="S40" s="1783"/>
      <c r="T40" s="1264"/>
      <c r="U40" s="1783"/>
    </row>
    <row r="41" spans="1:21">
      <c r="A41" s="1920"/>
      <c r="B41" s="1163" t="s">
        <v>2190</v>
      </c>
      <c r="C41" s="23"/>
      <c r="D41" s="87"/>
      <c r="E41" s="86"/>
      <c r="F41" s="431"/>
      <c r="G41" s="1751"/>
      <c r="H41" s="1264" t="s">
        <v>727</v>
      </c>
      <c r="I41" s="1783"/>
      <c r="J41" s="1264" t="s">
        <v>727</v>
      </c>
      <c r="K41" s="1783"/>
      <c r="L41" s="1264" t="s">
        <v>727</v>
      </c>
      <c r="M41" s="1783"/>
      <c r="N41" s="1264" t="s">
        <v>727</v>
      </c>
      <c r="O41" s="1783"/>
      <c r="P41" s="1264"/>
      <c r="Q41" s="1783"/>
      <c r="R41" s="1264"/>
      <c r="S41" s="1783"/>
      <c r="T41" s="1264"/>
      <c r="U41" s="1783"/>
    </row>
    <row r="42" spans="1:21">
      <c r="A42" s="1920"/>
      <c r="B42" s="1163" t="s">
        <v>2191</v>
      </c>
      <c r="C42" s="23"/>
      <c r="D42" s="87"/>
      <c r="E42" s="86"/>
      <c r="F42" s="431"/>
      <c r="G42" s="1751"/>
      <c r="H42" s="1264" t="s">
        <v>727</v>
      </c>
      <c r="I42" s="1783"/>
      <c r="J42" s="1264" t="s">
        <v>727</v>
      </c>
      <c r="K42" s="1783"/>
      <c r="L42" s="1264" t="s">
        <v>727</v>
      </c>
      <c r="M42" s="1783"/>
      <c r="N42" s="1264" t="s">
        <v>727</v>
      </c>
      <c r="O42" s="1783"/>
      <c r="P42" s="1264"/>
      <c r="Q42" s="1783"/>
      <c r="R42" s="1264"/>
      <c r="S42" s="1783"/>
      <c r="T42" s="1264"/>
      <c r="U42" s="1783"/>
    </row>
    <row r="43" spans="1:21">
      <c r="A43" s="1920"/>
      <c r="B43" s="1163" t="s">
        <v>2192</v>
      </c>
      <c r="C43" s="23"/>
      <c r="D43" s="87"/>
      <c r="E43" s="86"/>
      <c r="F43" s="431"/>
      <c r="G43" s="1751"/>
      <c r="H43" s="1264" t="s">
        <v>727</v>
      </c>
      <c r="I43" s="1783"/>
      <c r="J43" s="1264" t="s">
        <v>727</v>
      </c>
      <c r="K43" s="1783"/>
      <c r="L43" s="1264" t="s">
        <v>727</v>
      </c>
      <c r="M43" s="1783"/>
      <c r="N43" s="1264" t="s">
        <v>727</v>
      </c>
      <c r="O43" s="1783"/>
      <c r="P43" s="1264"/>
      <c r="Q43" s="1783"/>
      <c r="R43" s="1264"/>
      <c r="S43" s="1783"/>
      <c r="T43" s="1264"/>
      <c r="U43" s="1783"/>
    </row>
    <row r="44" spans="1:21">
      <c r="A44" s="1920"/>
      <c r="B44" s="1163"/>
      <c r="C44" s="23"/>
      <c r="D44" s="87"/>
      <c r="E44" s="86"/>
      <c r="F44" s="431"/>
      <c r="G44" s="1751"/>
      <c r="H44" s="1264"/>
      <c r="I44" s="1783"/>
      <c r="J44" s="1264"/>
      <c r="K44" s="1783"/>
      <c r="L44" s="1264"/>
      <c r="M44" s="1783"/>
      <c r="N44" s="1264"/>
      <c r="O44" s="1783"/>
      <c r="P44" s="1264"/>
      <c r="Q44" s="1783"/>
      <c r="R44" s="1264"/>
      <c r="S44" s="1783"/>
      <c r="T44" s="1264"/>
      <c r="U44" s="1783"/>
    </row>
    <row r="45" spans="1:21">
      <c r="A45" s="1920"/>
      <c r="B45" s="1163"/>
      <c r="C45" s="23"/>
      <c r="D45" s="87"/>
      <c r="E45" s="86"/>
      <c r="F45" s="431"/>
      <c r="G45" s="1751"/>
      <c r="H45" s="1264"/>
      <c r="I45" s="1783"/>
      <c r="J45" s="1264"/>
      <c r="K45" s="1783"/>
      <c r="L45" s="1264"/>
      <c r="M45" s="1783"/>
      <c r="N45" s="1264"/>
      <c r="O45" s="1783"/>
      <c r="P45" s="1264"/>
      <c r="Q45" s="1783"/>
      <c r="R45" s="1264"/>
      <c r="S45" s="1783"/>
      <c r="T45" s="1264"/>
      <c r="U45" s="1783"/>
    </row>
    <row r="46" spans="1:21">
      <c r="A46" s="1920"/>
      <c r="B46" s="1163" t="s">
        <v>2193</v>
      </c>
      <c r="C46" s="23"/>
      <c r="D46" s="87"/>
      <c r="E46" s="86"/>
      <c r="F46" s="431"/>
      <c r="G46" s="830"/>
      <c r="H46" s="1264" t="s">
        <v>727</v>
      </c>
      <c r="I46" s="1783"/>
      <c r="J46" s="1264" t="s">
        <v>727</v>
      </c>
      <c r="K46" s="1783"/>
      <c r="L46" s="1264" t="s">
        <v>727</v>
      </c>
      <c r="M46" s="1783"/>
      <c r="N46" s="1264" t="s">
        <v>727</v>
      </c>
      <c r="O46" s="1783"/>
      <c r="P46" s="1264"/>
      <c r="Q46" s="1783"/>
      <c r="R46" s="1264"/>
      <c r="S46" s="1783"/>
      <c r="T46" s="1264"/>
      <c r="U46" s="1783"/>
    </row>
    <row r="47" spans="1:21" ht="15.75" thickBot="1">
      <c r="A47" s="1920"/>
      <c r="B47" s="1163"/>
      <c r="C47" s="23"/>
      <c r="D47" s="87"/>
      <c r="E47" s="86"/>
      <c r="F47" s="431"/>
      <c r="G47" s="830"/>
      <c r="H47" s="1264"/>
      <c r="I47" s="1783"/>
      <c r="J47" s="1264"/>
      <c r="K47" s="1783"/>
      <c r="L47" s="1264"/>
      <c r="M47" s="1783"/>
      <c r="N47" s="1264"/>
      <c r="O47" s="1783"/>
      <c r="P47" s="1264"/>
      <c r="Q47" s="1783"/>
      <c r="R47" s="1264"/>
      <c r="S47" s="1783"/>
      <c r="T47" s="1264"/>
      <c r="U47" s="1783"/>
    </row>
    <row r="48" spans="1:21" ht="15.75" thickTop="1">
      <c r="A48" s="296"/>
      <c r="B48" s="301"/>
      <c r="C48" s="297"/>
      <c r="D48" s="15"/>
      <c r="E48" s="16"/>
      <c r="F48" s="282" t="s">
        <v>753</v>
      </c>
      <c r="G48" s="272"/>
      <c r="H48" s="273"/>
      <c r="I48" s="273">
        <f>SUM(I12:I47)</f>
        <v>1318735</v>
      </c>
      <c r="J48" s="273"/>
      <c r="K48" s="273">
        <f>SUM(K12:K47)</f>
        <v>1275400</v>
      </c>
      <c r="L48" s="273"/>
      <c r="M48" s="273">
        <f>SUM(M12:M47)</f>
        <v>1548300</v>
      </c>
      <c r="N48" s="273"/>
      <c r="O48" s="273">
        <f>SUM(O12:O47)</f>
        <v>5279000</v>
      </c>
      <c r="P48" s="273"/>
      <c r="Q48" s="273">
        <f>SUM(Q12:Q47)</f>
        <v>0</v>
      </c>
      <c r="R48" s="273"/>
      <c r="S48" s="273">
        <f>SUM(S12:S47)</f>
        <v>0</v>
      </c>
      <c r="T48" s="273"/>
      <c r="U48" s="273">
        <f>SUM(U12:U47)</f>
        <v>0</v>
      </c>
    </row>
    <row r="49" spans="1:36">
      <c r="A49" s="1114"/>
      <c r="B49" s="1164"/>
      <c r="C49" s="432"/>
      <c r="D49" s="433"/>
      <c r="E49" s="434"/>
      <c r="F49" s="435" t="s">
        <v>754</v>
      </c>
      <c r="G49" s="436"/>
      <c r="H49" s="1395">
        <v>5.0000000000000001E-3</v>
      </c>
      <c r="I49" s="1166"/>
      <c r="J49" s="1165">
        <v>0</v>
      </c>
      <c r="K49" s="1166"/>
      <c r="L49" s="1165">
        <v>0</v>
      </c>
      <c r="M49" s="1166"/>
      <c r="N49" s="1165">
        <v>0</v>
      </c>
      <c r="O49" s="1166"/>
      <c r="P49" s="1165">
        <v>0</v>
      </c>
      <c r="Q49" s="1166"/>
      <c r="R49" s="1165">
        <v>0</v>
      </c>
      <c r="S49" s="1166"/>
      <c r="T49" s="1165">
        <v>0</v>
      </c>
      <c r="U49" s="1166"/>
    </row>
    <row r="50" spans="1:36">
      <c r="A50" s="1114"/>
      <c r="B50" s="1164"/>
      <c r="C50" s="432"/>
      <c r="D50" s="433"/>
      <c r="E50" s="434"/>
      <c r="F50" s="435" t="s">
        <v>755</v>
      </c>
      <c r="G50" s="436"/>
      <c r="H50" s="1166"/>
      <c r="I50" s="1166">
        <f>H49*I48</f>
        <v>6593.6750000000002</v>
      </c>
      <c r="J50" s="1166"/>
      <c r="K50" s="1166">
        <f>J49*K48</f>
        <v>0</v>
      </c>
      <c r="L50" s="1166"/>
      <c r="M50" s="1166">
        <f>L49*M48</f>
        <v>0</v>
      </c>
      <c r="N50" s="1166"/>
      <c r="O50" s="1166">
        <f>N49*O48</f>
        <v>0</v>
      </c>
      <c r="P50" s="1166"/>
      <c r="Q50" s="1166">
        <f>P49*Q48</f>
        <v>0</v>
      </c>
      <c r="R50" s="1166"/>
      <c r="S50" s="1166">
        <f>R49*S48</f>
        <v>0</v>
      </c>
      <c r="T50" s="1166"/>
      <c r="U50" s="1166">
        <f>T49*U48</f>
        <v>0</v>
      </c>
    </row>
    <row r="51" spans="1:36">
      <c r="A51" s="1114"/>
      <c r="B51" s="1164"/>
      <c r="C51" s="432"/>
      <c r="D51" s="433"/>
      <c r="E51" s="434"/>
      <c r="F51" s="435"/>
      <c r="G51" s="436"/>
      <c r="H51" s="1166"/>
      <c r="I51" s="1166"/>
      <c r="J51" s="1166"/>
      <c r="K51" s="1166"/>
      <c r="L51" s="1166"/>
      <c r="M51" s="1166"/>
      <c r="N51" s="1166"/>
      <c r="O51" s="1166"/>
      <c r="P51" s="1166"/>
      <c r="Q51" s="1166"/>
      <c r="R51" s="1166"/>
      <c r="S51" s="1166"/>
      <c r="T51" s="1166"/>
      <c r="U51" s="1166"/>
    </row>
    <row r="52" spans="1:36">
      <c r="A52" s="1114"/>
      <c r="B52" s="1164"/>
      <c r="C52" s="432"/>
      <c r="D52" s="433"/>
      <c r="E52" s="434"/>
      <c r="F52" s="435" t="s">
        <v>756</v>
      </c>
      <c r="G52" s="436"/>
      <c r="H52" s="1166"/>
      <c r="I52" s="1166">
        <f>SUM(I48:I50)</f>
        <v>1325328.675</v>
      </c>
      <c r="J52" s="1166"/>
      <c r="K52" s="1166">
        <f>SUM(K48:K50)</f>
        <v>1275400</v>
      </c>
      <c r="L52" s="1166"/>
      <c r="M52" s="1166">
        <f>SUM(M48:M50)</f>
        <v>1548300</v>
      </c>
      <c r="N52" s="1166"/>
      <c r="O52" s="1166">
        <f>SUM(O48:O50)</f>
        <v>5279000</v>
      </c>
      <c r="P52" s="1166"/>
      <c r="Q52" s="1166">
        <f>SUM(Q48:Q50)</f>
        <v>0</v>
      </c>
      <c r="R52" s="1166"/>
      <c r="S52" s="1166">
        <f>SUM(S48:S50)</f>
        <v>0</v>
      </c>
      <c r="T52" s="1166"/>
      <c r="U52" s="1166">
        <f>SUM(U48:U50)</f>
        <v>0</v>
      </c>
    </row>
    <row r="53" spans="1:36">
      <c r="A53" s="1114"/>
      <c r="B53" s="1164"/>
      <c r="C53" s="432"/>
      <c r="D53" s="433"/>
      <c r="E53" s="434"/>
      <c r="F53" s="437" t="s">
        <v>757</v>
      </c>
      <c r="G53" s="438"/>
      <c r="H53" s="1167"/>
      <c r="I53" s="1167">
        <f>I52/'Area Calculations'!$G$4</f>
        <v>2.2903290429835672</v>
      </c>
      <c r="J53" s="1167"/>
      <c r="K53" s="1167">
        <f>K52/'Area Calculations'!$G$4</f>
        <v>2.204046223795197</v>
      </c>
      <c r="L53" s="1167"/>
      <c r="M53" s="1167">
        <f>M52/'Area Calculations'!$G$4</f>
        <v>2.6756505945602189</v>
      </c>
      <c r="N53" s="1167"/>
      <c r="O53" s="1167">
        <f>O52/'Area Calculations'!$G$4</f>
        <v>9.1227536580012885</v>
      </c>
      <c r="P53" s="1167"/>
      <c r="Q53" s="1167">
        <f>Q52/'Area Calculations'!$G$4</f>
        <v>0</v>
      </c>
      <c r="R53" s="1167"/>
      <c r="S53" s="1167">
        <f>S52/'Area Calculations'!$G$4</f>
        <v>0</v>
      </c>
      <c r="T53" s="1167"/>
      <c r="U53" s="1167">
        <f>U52/'Area Calculations'!$G$4</f>
        <v>0</v>
      </c>
    </row>
    <row r="54" spans="1:36">
      <c r="A54" s="1114"/>
      <c r="B54" s="1164"/>
      <c r="C54" s="432"/>
      <c r="D54" s="433"/>
      <c r="E54" s="434"/>
      <c r="F54" s="437" t="s">
        <v>758</v>
      </c>
      <c r="G54" s="438"/>
      <c r="H54" s="1167"/>
      <c r="I54" s="1167">
        <f>I52/'Area Calculations'!$G$9</f>
        <v>12386.249299065421</v>
      </c>
      <c r="J54" s="1167"/>
      <c r="K54" s="1167">
        <f>K52/'Area Calculations'!$G$9</f>
        <v>11919.626168224298</v>
      </c>
      <c r="L54" s="1167"/>
      <c r="M54" s="1167">
        <f>M52/'Area Calculations'!$G$9</f>
        <v>14470.093457943925</v>
      </c>
      <c r="N54" s="1167"/>
      <c r="O54" s="1167">
        <f>O52/'Area Calculations'!$G$9</f>
        <v>49336.448598130839</v>
      </c>
      <c r="P54" s="1167"/>
      <c r="Q54" s="1167">
        <f>Q52/'Area Calculations'!$G$9</f>
        <v>0</v>
      </c>
      <c r="R54" s="1167"/>
      <c r="S54" s="1167">
        <f>S52/'Area Calculations'!$G$9</f>
        <v>0</v>
      </c>
      <c r="T54" s="1167"/>
      <c r="U54" s="1167">
        <f>U52/'Area Calculations'!$G$9</f>
        <v>0</v>
      </c>
    </row>
    <row r="55" spans="1:36" ht="15.75" thickBot="1">
      <c r="A55" s="1114"/>
      <c r="B55" s="1164"/>
      <c r="C55" s="432"/>
      <c r="D55" s="433"/>
      <c r="E55" s="434"/>
      <c r="F55" s="439"/>
      <c r="G55" s="436"/>
      <c r="H55" s="1168"/>
      <c r="I55" s="1168"/>
      <c r="J55" s="1168"/>
      <c r="K55" s="1168"/>
      <c r="L55" s="1168"/>
      <c r="M55" s="1168"/>
      <c r="N55" s="1168"/>
      <c r="O55" s="1168"/>
      <c r="P55" s="1168"/>
      <c r="Q55" s="1168"/>
      <c r="R55" s="1168"/>
      <c r="S55" s="1168"/>
      <c r="T55" s="1168"/>
      <c r="U55" s="1168"/>
    </row>
    <row r="56" spans="1:36" ht="16.5" thickTop="1" thickBot="1">
      <c r="A56" s="2331" t="s">
        <v>759</v>
      </c>
      <c r="B56" s="2332"/>
      <c r="C56" s="298"/>
      <c r="D56" s="12"/>
      <c r="E56" s="12"/>
      <c r="F56" s="12"/>
      <c r="G56" s="26"/>
      <c r="H56" s="24"/>
      <c r="I56" s="20"/>
      <c r="J56" s="20"/>
      <c r="K56" s="20"/>
      <c r="L56" s="20"/>
      <c r="M56" s="20"/>
      <c r="N56" s="20"/>
      <c r="O56" s="20"/>
      <c r="P56" s="20"/>
      <c r="Q56" s="20"/>
      <c r="R56" s="20"/>
      <c r="S56" s="20"/>
      <c r="T56" s="20"/>
      <c r="U56" s="20"/>
    </row>
    <row r="57" spans="1:36" ht="15.75" thickTop="1">
      <c r="A57" s="1902"/>
      <c r="B57" s="1105"/>
      <c r="C57" s="927"/>
      <c r="D57" s="1740"/>
      <c r="E57" s="1740"/>
      <c r="F57" s="1740"/>
      <c r="G57" s="1722"/>
      <c r="H57" s="1775"/>
      <c r="I57" s="1582"/>
      <c r="J57" s="1582"/>
      <c r="K57" s="1582"/>
      <c r="L57" s="1582"/>
      <c r="M57" s="1582"/>
      <c r="N57" s="1582"/>
      <c r="O57" s="1582"/>
      <c r="P57" s="1582"/>
      <c r="Q57" s="1582"/>
      <c r="R57" s="1582"/>
      <c r="S57" s="1582"/>
      <c r="T57" s="1582"/>
      <c r="U57" s="1582"/>
    </row>
    <row r="58" spans="1:36">
      <c r="A58" s="1902"/>
      <c r="B58" s="1105"/>
      <c r="C58" s="927"/>
      <c r="D58" s="1740"/>
      <c r="E58" s="1740"/>
      <c r="F58" s="1740"/>
      <c r="G58" s="1722"/>
      <c r="H58" s="1775"/>
      <c r="I58" s="1582"/>
      <c r="J58" s="1582"/>
      <c r="K58" s="1582"/>
      <c r="L58" s="1582"/>
      <c r="M58" s="1582"/>
      <c r="N58" s="1582"/>
      <c r="O58" s="1582"/>
      <c r="P58" s="1582"/>
      <c r="Q58" s="1582"/>
      <c r="R58" s="1582"/>
      <c r="S58" s="1582"/>
      <c r="T58" s="1582"/>
      <c r="U58" s="1582"/>
    </row>
    <row r="59" spans="1:36" ht="15.75" thickBot="1">
      <c r="A59" s="1902"/>
      <c r="B59" s="1105"/>
      <c r="C59" s="927"/>
      <c r="D59" s="1740"/>
      <c r="E59" s="1740"/>
      <c r="F59" s="1740"/>
      <c r="G59" s="1722"/>
      <c r="H59" s="1775"/>
      <c r="I59" s="1582"/>
      <c r="J59" s="1582"/>
      <c r="K59" s="1582"/>
      <c r="L59" s="1582"/>
      <c r="M59" s="1582"/>
      <c r="N59" s="1582"/>
      <c r="O59" s="1582"/>
      <c r="P59" s="1582"/>
      <c r="Q59" s="1582"/>
      <c r="R59" s="1582"/>
      <c r="S59" s="1582"/>
      <c r="T59" s="1582"/>
      <c r="U59" s="1582"/>
    </row>
    <row r="60" spans="1:36" s="2" customFormat="1" ht="16.5" thickTop="1" thickBot="1">
      <c r="A60" s="2331" t="s">
        <v>760</v>
      </c>
      <c r="B60" s="2332"/>
      <c r="C60" s="298"/>
      <c r="D60" s="12"/>
      <c r="E60" s="12"/>
      <c r="F60" s="12"/>
      <c r="G60" s="26"/>
      <c r="H60" s="24"/>
      <c r="I60" s="20"/>
      <c r="J60" s="20"/>
      <c r="K60" s="20"/>
      <c r="L60" s="20"/>
      <c r="M60" s="20"/>
      <c r="N60" s="20"/>
      <c r="O60" s="20"/>
      <c r="P60" s="20"/>
      <c r="Q60" s="20"/>
      <c r="R60" s="20"/>
      <c r="S60" s="20"/>
      <c r="T60" s="20"/>
      <c r="U60" s="20"/>
      <c r="V60"/>
      <c r="W60"/>
      <c r="X60"/>
      <c r="Y60"/>
      <c r="Z60"/>
      <c r="AA60"/>
      <c r="AB60"/>
      <c r="AC60"/>
      <c r="AD60"/>
      <c r="AE60"/>
      <c r="AF60"/>
      <c r="AG60"/>
      <c r="AH60"/>
      <c r="AI60"/>
      <c r="AJ60"/>
    </row>
    <row r="61" spans="1:36" s="2" customFormat="1" ht="15.75" thickTop="1">
      <c r="A61" s="1902"/>
      <c r="B61" s="1105"/>
      <c r="C61" s="927"/>
      <c r="D61" s="1740"/>
      <c r="E61" s="1740"/>
      <c r="F61" s="1740"/>
      <c r="G61" s="1722"/>
      <c r="H61" s="1775"/>
      <c r="I61" s="1582"/>
      <c r="J61" s="1582"/>
      <c r="K61" s="1582"/>
      <c r="L61" s="1582"/>
      <c r="M61" s="1582"/>
      <c r="N61" s="1582"/>
      <c r="O61" s="1582"/>
      <c r="P61" s="1582"/>
      <c r="Q61" s="1582"/>
      <c r="R61" s="1582"/>
      <c r="S61" s="1582"/>
      <c r="T61" s="1582"/>
      <c r="U61" s="1582"/>
      <c r="V61"/>
      <c r="W61"/>
      <c r="X61"/>
      <c r="Y61"/>
      <c r="Z61"/>
      <c r="AA61"/>
      <c r="AB61"/>
      <c r="AC61"/>
      <c r="AD61"/>
      <c r="AE61"/>
      <c r="AF61"/>
      <c r="AG61"/>
      <c r="AH61"/>
      <c r="AI61"/>
      <c r="AJ61"/>
    </row>
    <row r="62" spans="1:36" s="2" customFormat="1">
      <c r="A62" s="1902"/>
      <c r="B62" s="1105"/>
      <c r="C62" s="927"/>
      <c r="D62" s="1740"/>
      <c r="E62" s="1740"/>
      <c r="F62" s="1740"/>
      <c r="G62" s="1722"/>
      <c r="H62" s="1775"/>
      <c r="I62" s="1582"/>
      <c r="J62" s="1582"/>
      <c r="K62" s="1582"/>
      <c r="L62" s="1582"/>
      <c r="M62" s="1582"/>
      <c r="N62" s="1582"/>
      <c r="O62" s="1582"/>
      <c r="P62" s="1582"/>
      <c r="Q62" s="1582"/>
      <c r="R62" s="1582"/>
      <c r="S62" s="1582"/>
      <c r="T62" s="1582"/>
      <c r="U62" s="1582"/>
      <c r="V62"/>
      <c r="W62"/>
      <c r="X62"/>
      <c r="Y62"/>
      <c r="Z62"/>
      <c r="AA62"/>
      <c r="AB62"/>
      <c r="AC62"/>
      <c r="AD62"/>
      <c r="AE62"/>
      <c r="AF62"/>
      <c r="AG62"/>
      <c r="AH62"/>
      <c r="AI62"/>
      <c r="AJ62"/>
    </row>
    <row r="63" spans="1:36" ht="15.75" thickBot="1">
      <c r="A63" s="1902"/>
      <c r="B63" s="1105"/>
      <c r="C63" s="927"/>
      <c r="D63" s="1740"/>
      <c r="E63" s="1740"/>
      <c r="F63" s="1740"/>
      <c r="G63" s="1722"/>
      <c r="H63" s="1775"/>
      <c r="I63" s="1582"/>
      <c r="J63" s="1582"/>
      <c r="K63" s="1582"/>
      <c r="L63" s="1582"/>
      <c r="M63" s="1582"/>
      <c r="N63" s="1582"/>
      <c r="O63" s="1582"/>
      <c r="P63" s="1582"/>
      <c r="Q63" s="1582"/>
      <c r="R63" s="1582"/>
      <c r="S63" s="1582"/>
      <c r="T63" s="1582"/>
      <c r="U63" s="1582"/>
    </row>
    <row r="64" spans="1:36" s="2" customFormat="1" ht="16.5" thickTop="1" thickBot="1">
      <c r="A64" s="2331" t="s">
        <v>761</v>
      </c>
      <c r="B64" s="2332"/>
      <c r="C64" s="298"/>
      <c r="D64" s="12"/>
      <c r="E64" s="12"/>
      <c r="F64" s="12"/>
      <c r="G64" s="26"/>
      <c r="H64" s="24"/>
      <c r="I64" s="20"/>
      <c r="J64" s="20"/>
      <c r="K64" s="20"/>
      <c r="L64" s="20"/>
      <c r="M64" s="20"/>
      <c r="N64" s="20"/>
      <c r="O64" s="20"/>
      <c r="P64" s="20"/>
      <c r="Q64" s="20"/>
      <c r="R64" s="20"/>
      <c r="S64" s="20"/>
      <c r="T64" s="20"/>
      <c r="U64" s="20"/>
      <c r="V64"/>
      <c r="W64"/>
      <c r="X64"/>
      <c r="Y64"/>
      <c r="Z64"/>
      <c r="AA64"/>
      <c r="AB64"/>
      <c r="AC64"/>
      <c r="AD64"/>
      <c r="AE64"/>
      <c r="AF64"/>
      <c r="AG64"/>
      <c r="AH64"/>
      <c r="AI64"/>
      <c r="AJ64"/>
    </row>
    <row r="65" spans="1:36" s="2" customFormat="1" ht="15.75" thickTop="1">
      <c r="A65" s="1902"/>
      <c r="B65" s="1105"/>
      <c r="C65" s="927"/>
      <c r="D65" s="1740"/>
      <c r="E65" s="1740"/>
      <c r="F65" s="1740"/>
      <c r="G65" s="1722"/>
      <c r="H65" s="1775"/>
      <c r="I65" s="1582"/>
      <c r="J65" s="1582"/>
      <c r="K65" s="1582"/>
      <c r="L65" s="1582"/>
      <c r="M65" s="1582"/>
      <c r="N65" s="1582"/>
      <c r="O65" s="1582"/>
      <c r="P65" s="1582"/>
      <c r="Q65" s="1582"/>
      <c r="R65" s="1582"/>
      <c r="S65" s="1582"/>
      <c r="T65" s="1582"/>
      <c r="U65" s="1582"/>
      <c r="V65"/>
      <c r="W65"/>
      <c r="X65"/>
      <c r="Y65"/>
      <c r="Z65"/>
      <c r="AA65"/>
      <c r="AB65"/>
      <c r="AC65"/>
      <c r="AD65"/>
      <c r="AE65"/>
      <c r="AF65"/>
      <c r="AG65"/>
      <c r="AH65"/>
      <c r="AI65"/>
      <c r="AJ65"/>
    </row>
    <row r="66" spans="1:36" s="2" customFormat="1">
      <c r="A66" s="1124"/>
      <c r="B66" s="1105"/>
      <c r="C66" s="415"/>
      <c r="D66" s="422"/>
      <c r="E66" s="422"/>
      <c r="F66" s="422"/>
      <c r="G66" s="831"/>
      <c r="H66" s="440"/>
      <c r="I66" s="1173"/>
      <c r="J66" s="1173"/>
      <c r="K66" s="1173"/>
      <c r="L66" s="1173"/>
      <c r="M66" s="1173"/>
      <c r="N66" s="1173"/>
      <c r="O66" s="1173"/>
      <c r="P66" s="1173"/>
      <c r="Q66" s="1173"/>
      <c r="R66" s="1173"/>
      <c r="S66" s="1173"/>
      <c r="T66" s="1173"/>
      <c r="U66" s="1173"/>
      <c r="V66"/>
      <c r="W66"/>
      <c r="X66"/>
      <c r="Y66"/>
      <c r="Z66"/>
      <c r="AA66"/>
      <c r="AB66"/>
      <c r="AC66"/>
      <c r="AD66"/>
      <c r="AE66"/>
      <c r="AF66"/>
      <c r="AG66"/>
      <c r="AH66"/>
      <c r="AI66"/>
      <c r="AJ66"/>
    </row>
    <row r="67" spans="1:36" s="2" customFormat="1" ht="15.75" thickBot="1">
      <c r="A67" s="1126"/>
      <c r="B67" s="1174"/>
      <c r="C67" s="415"/>
      <c r="D67" s="422"/>
      <c r="E67" s="422"/>
      <c r="F67" s="422"/>
      <c r="G67" s="831"/>
      <c r="H67" s="441"/>
      <c r="I67" s="1175"/>
      <c r="J67" s="1175"/>
      <c r="K67" s="1175"/>
      <c r="L67" s="1175"/>
      <c r="M67" s="1175"/>
      <c r="N67" s="1175"/>
      <c r="O67" s="1175"/>
      <c r="P67" s="1175"/>
      <c r="Q67" s="1175"/>
      <c r="R67" s="1175"/>
      <c r="S67" s="1175"/>
      <c r="T67" s="1175"/>
      <c r="U67" s="1175"/>
    </row>
    <row r="68" spans="1:36" s="2" customFormat="1" ht="16.5" thickTop="1" thickBot="1">
      <c r="A68" s="2331" t="s">
        <v>762</v>
      </c>
      <c r="B68" s="2332"/>
      <c r="C68" s="298"/>
      <c r="D68" s="12"/>
      <c r="E68" s="12"/>
      <c r="F68" s="12"/>
      <c r="G68" s="26"/>
      <c r="H68" s="24"/>
      <c r="I68" s="20"/>
      <c r="J68" s="20"/>
      <c r="K68" s="20"/>
      <c r="L68" s="20"/>
      <c r="M68" s="20"/>
      <c r="N68" s="20"/>
      <c r="O68" s="20"/>
      <c r="P68" s="20"/>
      <c r="Q68" s="20"/>
      <c r="R68" s="20"/>
      <c r="S68" s="20"/>
      <c r="T68" s="20"/>
      <c r="U68" s="20"/>
      <c r="V68"/>
      <c r="W68"/>
      <c r="X68"/>
      <c r="Y68"/>
      <c r="Z68"/>
      <c r="AA68"/>
      <c r="AB68"/>
      <c r="AC68"/>
      <c r="AD68"/>
      <c r="AE68"/>
      <c r="AF68"/>
      <c r="AG68"/>
      <c r="AH68"/>
      <c r="AI68"/>
      <c r="AJ68"/>
    </row>
    <row r="69" spans="1:36" ht="15.75" thickTop="1">
      <c r="A69" s="1585"/>
      <c r="B69" s="1586"/>
      <c r="C69" s="927"/>
      <c r="D69" s="1740"/>
      <c r="E69" s="1740"/>
      <c r="F69" s="1740"/>
      <c r="G69" s="1722"/>
      <c r="H69" s="1775"/>
      <c r="I69" s="1582"/>
      <c r="J69" s="1582"/>
      <c r="K69" s="1582"/>
      <c r="L69" s="1582"/>
      <c r="M69" s="1582"/>
      <c r="N69" s="1582"/>
      <c r="O69" s="1582"/>
      <c r="P69" s="1582"/>
      <c r="Q69" s="1582"/>
      <c r="R69" s="1582"/>
      <c r="S69" s="1582"/>
      <c r="T69" s="1582"/>
      <c r="U69" s="1582"/>
      <c r="V69" s="2"/>
      <c r="W69" s="2"/>
      <c r="X69" s="2"/>
      <c r="Y69" s="2"/>
      <c r="Z69" s="2"/>
      <c r="AA69" s="2"/>
      <c r="AB69" s="2"/>
      <c r="AC69" s="2"/>
      <c r="AD69" s="2"/>
      <c r="AE69" s="2"/>
      <c r="AF69" s="2"/>
      <c r="AG69" s="2"/>
      <c r="AH69" s="2"/>
      <c r="AI69" s="2"/>
      <c r="AJ69" s="2"/>
    </row>
    <row r="70" spans="1:36">
      <c r="A70" s="1126"/>
      <c r="B70" s="1174"/>
      <c r="C70" s="415"/>
      <c r="D70" s="422"/>
      <c r="E70" s="422"/>
      <c r="F70" s="422"/>
      <c r="G70" s="831"/>
      <c r="H70" s="442"/>
      <c r="I70" s="1178"/>
      <c r="J70" s="1178"/>
      <c r="K70" s="1178"/>
      <c r="L70" s="1178"/>
      <c r="M70" s="1178"/>
      <c r="N70" s="1178"/>
      <c r="O70" s="1178"/>
      <c r="P70" s="1178"/>
      <c r="Q70" s="1178"/>
      <c r="R70" s="1178"/>
      <c r="S70" s="1178"/>
      <c r="T70" s="1178"/>
      <c r="U70" s="1178"/>
      <c r="V70" s="2"/>
      <c r="W70" s="2"/>
      <c r="X70" s="2"/>
      <c r="Y70" s="2"/>
      <c r="Z70" s="2"/>
      <c r="AA70" s="2"/>
      <c r="AB70" s="2"/>
      <c r="AC70" s="2"/>
      <c r="AD70" s="2"/>
      <c r="AE70" s="2"/>
      <c r="AF70" s="2"/>
      <c r="AG70" s="2"/>
      <c r="AH70" s="2"/>
      <c r="AI70" s="2"/>
      <c r="AJ70" s="2"/>
    </row>
    <row r="71" spans="1:36" ht="15.75" thickBot="1">
      <c r="A71" s="1126"/>
      <c r="B71" s="1174"/>
      <c r="C71" s="415"/>
      <c r="D71" s="422"/>
      <c r="E71" s="422"/>
      <c r="F71" s="422"/>
      <c r="G71" s="831"/>
      <c r="H71" s="442"/>
      <c r="I71" s="1178"/>
      <c r="J71" s="1178"/>
      <c r="K71" s="1178"/>
      <c r="L71" s="1178"/>
      <c r="M71" s="1178"/>
      <c r="N71" s="1178"/>
      <c r="O71" s="1178"/>
      <c r="P71" s="1178"/>
      <c r="Q71" s="1178"/>
      <c r="R71" s="1178"/>
      <c r="S71" s="1178"/>
      <c r="T71" s="1178"/>
      <c r="U71" s="1178"/>
      <c r="V71" s="2"/>
      <c r="W71" s="2"/>
      <c r="X71" s="2"/>
      <c r="Y71" s="2"/>
      <c r="Z71" s="2"/>
      <c r="AA71" s="2"/>
      <c r="AB71" s="2"/>
      <c r="AC71" s="2"/>
      <c r="AD71" s="2"/>
      <c r="AE71" s="2"/>
      <c r="AF71" s="2"/>
      <c r="AG71" s="2"/>
      <c r="AH71" s="2"/>
      <c r="AI71" s="2"/>
      <c r="AJ71" s="2"/>
    </row>
    <row r="72" spans="1:36" ht="16.5" thickTop="1" thickBot="1">
      <c r="A72" s="2331" t="s">
        <v>763</v>
      </c>
      <c r="B72" s="2332"/>
      <c r="C72" s="298"/>
      <c r="D72" s="12"/>
      <c r="E72" s="12"/>
      <c r="F72" s="12"/>
      <c r="G72" s="26"/>
      <c r="H72" s="24"/>
      <c r="I72" s="20"/>
      <c r="J72" s="20"/>
      <c r="K72" s="20"/>
      <c r="L72" s="20"/>
      <c r="M72" s="20"/>
      <c r="N72" s="20"/>
      <c r="O72" s="20"/>
      <c r="P72" s="20"/>
      <c r="Q72" s="20"/>
      <c r="R72" s="20"/>
      <c r="S72" s="20"/>
      <c r="T72" s="20"/>
      <c r="U72" s="20"/>
    </row>
    <row r="73" spans="1:36" ht="15.75" thickTop="1">
      <c r="A73" s="1124"/>
      <c r="B73" s="1105" t="s">
        <v>764</v>
      </c>
      <c r="C73" s="415"/>
      <c r="D73" s="422"/>
      <c r="E73" s="422"/>
      <c r="F73" s="422"/>
      <c r="G73" s="831"/>
      <c r="H73" s="442"/>
      <c r="I73" s="1178"/>
      <c r="J73" s="1178"/>
      <c r="K73" s="1178"/>
      <c r="L73" s="1178"/>
      <c r="M73" s="1178"/>
      <c r="N73" s="1178"/>
      <c r="O73" s="1178"/>
      <c r="P73" s="1178"/>
      <c r="Q73" s="1178"/>
      <c r="R73" s="1178"/>
      <c r="S73" s="1178"/>
      <c r="T73" s="1178"/>
      <c r="U73" s="1178"/>
    </row>
    <row r="74" spans="1:36">
      <c r="A74" s="1124"/>
      <c r="B74" s="1105" t="s">
        <v>765</v>
      </c>
      <c r="C74" s="415"/>
      <c r="D74" s="422"/>
      <c r="E74" s="422"/>
      <c r="F74" s="422"/>
      <c r="G74" s="831"/>
      <c r="H74" s="442"/>
      <c r="I74" s="1178"/>
      <c r="J74" s="1178"/>
      <c r="K74" s="1178"/>
      <c r="L74" s="1178"/>
      <c r="M74" s="1178"/>
      <c r="N74" s="1178"/>
      <c r="O74" s="1178"/>
      <c r="P74" s="1178"/>
      <c r="Q74" s="1178"/>
      <c r="R74" s="1178"/>
      <c r="S74" s="1178"/>
      <c r="T74" s="1178"/>
      <c r="U74" s="1178"/>
    </row>
    <row r="75" spans="1:36">
      <c r="A75" s="1124"/>
      <c r="B75" s="1105" t="s">
        <v>766</v>
      </c>
      <c r="C75" s="415"/>
      <c r="D75" s="422"/>
      <c r="E75" s="422"/>
      <c r="F75" s="422"/>
      <c r="G75" s="831"/>
      <c r="H75" s="442"/>
      <c r="I75" s="1178"/>
      <c r="J75" s="1178"/>
      <c r="K75" s="1178"/>
      <c r="L75" s="1178"/>
      <c r="M75" s="1178"/>
      <c r="N75" s="1178"/>
      <c r="O75" s="1178"/>
      <c r="P75" s="1178"/>
      <c r="Q75" s="1178"/>
      <c r="R75" s="1178"/>
      <c r="S75" s="1178"/>
      <c r="T75" s="1178"/>
      <c r="U75" s="1178"/>
    </row>
    <row r="76" spans="1:36">
      <c r="A76" s="1124"/>
      <c r="B76" s="1105" t="s">
        <v>767</v>
      </c>
      <c r="C76" s="415"/>
      <c r="D76" s="422"/>
      <c r="E76" s="422"/>
      <c r="F76" s="422"/>
      <c r="G76" s="831"/>
      <c r="H76" s="442"/>
      <c r="I76" s="1178"/>
      <c r="J76" s="1178"/>
      <c r="K76" s="1178"/>
      <c r="L76" s="1178"/>
      <c r="M76" s="1178"/>
      <c r="N76" s="1178"/>
      <c r="O76" s="1178"/>
      <c r="P76" s="1178"/>
      <c r="Q76" s="1178"/>
      <c r="R76" s="1178"/>
      <c r="S76" s="1178"/>
      <c r="T76" s="1178"/>
      <c r="U76" s="1178"/>
    </row>
    <row r="77" spans="1:36" ht="15.75" thickBot="1">
      <c r="A77" s="443"/>
      <c r="B77" s="421"/>
      <c r="C77" s="23"/>
      <c r="D77" s="86"/>
      <c r="E77" s="86"/>
      <c r="F77" s="86"/>
      <c r="G77" s="27"/>
      <c r="H77" s="25"/>
      <c r="I77" s="444"/>
      <c r="J77" s="444"/>
      <c r="K77" s="444"/>
      <c r="L77" s="444"/>
      <c r="M77" s="444"/>
      <c r="N77" s="444"/>
      <c r="O77" s="444"/>
      <c r="P77" s="444"/>
      <c r="Q77" s="444"/>
      <c r="R77" s="444"/>
      <c r="S77" s="444"/>
      <c r="T77" s="444"/>
      <c r="U77" s="444"/>
    </row>
    <row r="78" spans="1:36" ht="16.5" thickTop="1" thickBot="1">
      <c r="A78" s="72" t="s">
        <v>768</v>
      </c>
      <c r="B78" s="73"/>
      <c r="C78" s="298"/>
      <c r="D78" s="12"/>
      <c r="E78" s="12"/>
      <c r="F78" s="12"/>
      <c r="G78" s="26"/>
      <c r="H78" s="24"/>
      <c r="I78" s="20"/>
      <c r="J78" s="20"/>
      <c r="K78" s="20"/>
      <c r="L78" s="20"/>
      <c r="M78" s="20"/>
      <c r="N78" s="20"/>
      <c r="O78" s="20"/>
      <c r="P78" s="20"/>
      <c r="Q78" s="20"/>
      <c r="R78" s="20"/>
      <c r="S78" s="20"/>
      <c r="T78" s="20"/>
      <c r="U78" s="20"/>
    </row>
    <row r="79" spans="1:36" ht="15.75" thickTop="1">
      <c r="A79" s="1902"/>
      <c r="B79" s="1914" t="s">
        <v>769</v>
      </c>
      <c r="C79" s="927"/>
      <c r="D79" s="1740"/>
      <c r="E79" s="1740"/>
      <c r="F79" s="1740"/>
      <c r="G79" s="1722"/>
      <c r="H79" s="1792"/>
      <c r="I79" s="1916"/>
      <c r="J79" s="1916"/>
      <c r="K79" s="1916"/>
      <c r="L79" s="1916"/>
      <c r="M79" s="1916"/>
      <c r="N79" s="1916"/>
      <c r="O79" s="1916"/>
      <c r="P79" s="1916"/>
      <c r="Q79" s="1916"/>
      <c r="R79" s="1916"/>
      <c r="S79" s="1916"/>
      <c r="T79" s="1916"/>
      <c r="U79" s="1916"/>
    </row>
    <row r="80" spans="1:36">
      <c r="A80" s="1124"/>
      <c r="B80" s="1105" t="s">
        <v>770</v>
      </c>
      <c r="C80" s="415"/>
      <c r="D80" s="422"/>
      <c r="E80" s="422"/>
      <c r="F80" s="422"/>
      <c r="G80" s="831"/>
      <c r="H80" s="445"/>
      <c r="I80" s="1182"/>
      <c r="J80" s="1182"/>
      <c r="K80" s="1182"/>
      <c r="L80" s="1182"/>
      <c r="M80" s="1182"/>
      <c r="N80" s="1182"/>
      <c r="O80" s="1182"/>
      <c r="P80" s="1182"/>
      <c r="Q80" s="1182"/>
      <c r="R80" s="1182"/>
      <c r="S80" s="1182"/>
      <c r="T80" s="1182"/>
      <c r="U80" s="1182"/>
    </row>
    <row r="81" spans="1:21" ht="15.75" thickBot="1">
      <c r="A81" s="1308"/>
      <c r="B81" s="1136" t="s">
        <v>771</v>
      </c>
      <c r="C81" s="935"/>
      <c r="D81" s="938"/>
      <c r="E81" s="938"/>
      <c r="F81" s="938"/>
      <c r="G81" s="939"/>
      <c r="H81" s="940"/>
      <c r="I81" s="1140"/>
      <c r="J81" s="1140"/>
      <c r="K81" s="1140"/>
      <c r="L81" s="1140"/>
      <c r="M81" s="1140"/>
      <c r="N81" s="1140"/>
      <c r="O81" s="1140"/>
      <c r="P81" s="1140"/>
      <c r="Q81" s="1140"/>
      <c r="R81" s="1140"/>
      <c r="S81" s="1140"/>
      <c r="T81" s="1140"/>
      <c r="U81" s="1140"/>
    </row>
    <row r="82" spans="1:21" ht="16.5" thickTop="1" thickBot="1">
      <c r="F82" s="2"/>
      <c r="G82" s="2"/>
      <c r="H82" s="2"/>
      <c r="I82" s="2"/>
      <c r="J82" s="2"/>
      <c r="K82" s="2"/>
      <c r="L82" s="2"/>
      <c r="M82" s="2"/>
      <c r="N82" s="2"/>
      <c r="O82" s="2"/>
      <c r="P82" s="2"/>
      <c r="Q82" s="2"/>
      <c r="R82" s="2"/>
      <c r="S82" s="2"/>
      <c r="T82" s="2"/>
      <c r="U82" s="2"/>
    </row>
    <row r="83" spans="1:21" ht="16.5" thickTop="1" thickBot="1">
      <c r="A83" s="37" t="s">
        <v>772</v>
      </c>
      <c r="B83" s="39"/>
      <c r="F83" s="2"/>
      <c r="G83" s="2"/>
      <c r="H83" s="2"/>
      <c r="I83" s="2"/>
      <c r="J83" s="2"/>
      <c r="K83" s="2"/>
      <c r="L83" s="2"/>
      <c r="M83" s="2"/>
      <c r="N83" s="2"/>
      <c r="O83" s="2"/>
      <c r="P83" s="2"/>
      <c r="Q83" s="2"/>
      <c r="R83" s="2"/>
      <c r="S83" s="2"/>
      <c r="T83" s="2"/>
      <c r="U83" s="2"/>
    </row>
    <row r="84" spans="1:21" ht="15.75" thickTop="1">
      <c r="A84" s="38" t="s">
        <v>693</v>
      </c>
      <c r="B84" s="941" t="str">
        <f>H5</f>
        <v>Precision Fire</v>
      </c>
      <c r="F84" s="2"/>
      <c r="G84" s="2"/>
      <c r="H84" s="2"/>
      <c r="I84" s="2"/>
      <c r="J84" s="2"/>
      <c r="K84" s="2"/>
      <c r="L84" s="2"/>
      <c r="M84" s="2"/>
      <c r="N84" s="2"/>
      <c r="O84" s="2"/>
      <c r="P84" s="2"/>
      <c r="Q84" s="2"/>
      <c r="R84" s="2"/>
      <c r="S84" s="2"/>
      <c r="T84" s="2"/>
      <c r="U84" s="2"/>
    </row>
    <row r="85" spans="1:21">
      <c r="A85" s="1142" t="s">
        <v>702</v>
      </c>
      <c r="B85" s="941" t="str">
        <f>H6</f>
        <v>Jon Arrowsmith</v>
      </c>
      <c r="F85" s="2"/>
      <c r="G85" s="2"/>
      <c r="H85" s="2"/>
      <c r="I85" s="2"/>
      <c r="J85" s="2"/>
      <c r="K85" s="2"/>
      <c r="L85" s="2"/>
      <c r="M85" s="2"/>
      <c r="N85" s="2"/>
      <c r="O85" s="2"/>
      <c r="P85" s="2"/>
      <c r="Q85" s="2"/>
      <c r="R85" s="2"/>
      <c r="S85" s="2"/>
      <c r="T85" s="2"/>
      <c r="U85" s="2"/>
    </row>
    <row r="86" spans="1:21">
      <c r="A86" s="942" t="s">
        <v>708</v>
      </c>
      <c r="B86" s="1143">
        <f>H7</f>
        <v>4078325118</v>
      </c>
      <c r="F86" s="2"/>
      <c r="G86" s="2"/>
      <c r="H86" s="2"/>
      <c r="I86" s="2"/>
      <c r="J86" s="2"/>
      <c r="K86" s="2"/>
      <c r="L86" s="2"/>
      <c r="M86" s="2"/>
      <c r="N86" s="2"/>
      <c r="O86" s="2"/>
      <c r="P86" s="2"/>
      <c r="Q86" s="2"/>
      <c r="R86" s="2"/>
      <c r="S86" s="2"/>
      <c r="T86" s="2"/>
      <c r="U86" s="2"/>
    </row>
    <row r="87" spans="1:21">
      <c r="A87" s="942" t="s">
        <v>713</v>
      </c>
      <c r="B87" s="1144" t="str">
        <f>H8</f>
        <v xml:space="preserve"> jon@precisionfs.com </v>
      </c>
      <c r="F87" s="2"/>
      <c r="G87" s="2"/>
      <c r="H87" s="2"/>
      <c r="I87" s="2"/>
      <c r="J87" s="2"/>
      <c r="K87" s="2"/>
      <c r="L87" s="2"/>
      <c r="M87" s="2"/>
      <c r="N87" s="2"/>
      <c r="O87" s="2"/>
      <c r="P87" s="2"/>
      <c r="Q87" s="2"/>
      <c r="R87" s="2"/>
      <c r="S87" s="2"/>
      <c r="T87" s="2"/>
      <c r="U87" s="2"/>
    </row>
    <row r="88" spans="1:21" ht="15.75" thickBot="1">
      <c r="A88" s="1145" t="s">
        <v>69</v>
      </c>
      <c r="B88" s="1780">
        <f>H9</f>
        <v>1325328.675</v>
      </c>
      <c r="F88" s="2"/>
      <c r="G88" s="2"/>
      <c r="H88" s="2"/>
      <c r="I88" s="2"/>
      <c r="J88" s="2"/>
      <c r="K88" s="2"/>
      <c r="L88" s="2"/>
      <c r="M88" s="2"/>
      <c r="N88" s="2"/>
      <c r="O88" s="2"/>
      <c r="P88" s="2"/>
      <c r="Q88" s="2"/>
      <c r="R88" s="2"/>
      <c r="S88" s="2"/>
      <c r="T88" s="2"/>
      <c r="U88" s="2"/>
    </row>
    <row r="89" spans="1:21" ht="15.75" thickTop="1"/>
  </sheetData>
  <mergeCells count="47">
    <mergeCell ref="A56:B56"/>
    <mergeCell ref="A60:B60"/>
    <mergeCell ref="A64:B64"/>
    <mergeCell ref="A68:B68"/>
    <mergeCell ref="A72:B72"/>
    <mergeCell ref="H4:I4"/>
    <mergeCell ref="J4:K4"/>
    <mergeCell ref="N4:O4"/>
    <mergeCell ref="P4:Q4"/>
    <mergeCell ref="R4:S4"/>
    <mergeCell ref="L4:M4"/>
    <mergeCell ref="H9:I9"/>
    <mergeCell ref="H6:I6"/>
    <mergeCell ref="J6:K6"/>
    <mergeCell ref="N6:O6"/>
    <mergeCell ref="P6:Q6"/>
    <mergeCell ref="H8:I8"/>
    <mergeCell ref="J8:K8"/>
    <mergeCell ref="N8:O8"/>
    <mergeCell ref="P8:Q8"/>
    <mergeCell ref="H7:I7"/>
    <mergeCell ref="J7:K7"/>
    <mergeCell ref="N7:O7"/>
    <mergeCell ref="P7:Q7"/>
    <mergeCell ref="R6:S6"/>
    <mergeCell ref="H5:I5"/>
    <mergeCell ref="J5:K5"/>
    <mergeCell ref="N5:O5"/>
    <mergeCell ref="P5:Q5"/>
    <mergeCell ref="R5:S5"/>
    <mergeCell ref="L5:M5"/>
    <mergeCell ref="L6:M6"/>
    <mergeCell ref="R8:S8"/>
    <mergeCell ref="R7:S7"/>
    <mergeCell ref="J9:K9"/>
    <mergeCell ref="N9:O9"/>
    <mergeCell ref="P9:Q9"/>
    <mergeCell ref="R9:S9"/>
    <mergeCell ref="L7:M7"/>
    <mergeCell ref="L8:M8"/>
    <mergeCell ref="L9:M9"/>
    <mergeCell ref="T8:U8"/>
    <mergeCell ref="T9:U9"/>
    <mergeCell ref="T4:U4"/>
    <mergeCell ref="T5:U5"/>
    <mergeCell ref="T6:U6"/>
    <mergeCell ref="T7:U7"/>
  </mergeCells>
  <conditionalFormatting sqref="H11:H19 J11:J19 N11:N19 P11:P19 R11:R19 T11:T19 H21:H47 J21:J47 N21:N47 P21:P47 R21:R47 T21:T47">
    <cfRule type="cellIs" dxfId="177" priority="17" operator="equal">
      <formula>"X"</formula>
    </cfRule>
    <cfRule type="cellIs" dxfId="176" priority="18" operator="equal">
      <formula>"I"</formula>
    </cfRule>
  </conditionalFormatting>
  <conditionalFormatting sqref="L11:L19">
    <cfRule type="cellIs" dxfId="175" priority="3" operator="equal">
      <formula>"X"</formula>
    </cfRule>
    <cfRule type="cellIs" dxfId="174" priority="4" operator="equal">
      <formula>"I"</formula>
    </cfRule>
  </conditionalFormatting>
  <conditionalFormatting sqref="L21:L47">
    <cfRule type="cellIs" dxfId="173" priority="1" operator="equal">
      <formula>"X"</formula>
    </cfRule>
    <cfRule type="cellIs" dxfId="172" priority="2" operator="equal">
      <formula>"I"</formula>
    </cfRule>
  </conditionalFormatting>
  <hyperlinks>
    <hyperlink ref="B4" location="'Cost Summary'!A1" display="BACK TO SUMMARY SHEET" xr:uid="{6F7E3EE0-DC9D-4602-A943-4F9D980679B6}"/>
    <hyperlink ref="H8" r:id="rId1" xr:uid="{CCA25536-BB34-4008-9A51-082A7DE28CDD}"/>
    <hyperlink ref="J8" r:id="rId2" xr:uid="{1695394A-5910-44DF-927D-17D5FCA5DAC3}"/>
    <hyperlink ref="N8" r:id="rId3" xr:uid="{187598DA-7E41-4DAA-880E-7E81FA90AF52}"/>
    <hyperlink ref="L8" r:id="rId4" xr:uid="{CC881B84-A4BF-4D67-905C-F964F53BD165}"/>
  </hyperlinks>
  <pageMargins left="0.7" right="0.7" top="0.75" bottom="0.75" header="0.3" footer="0.3"/>
  <pageSetup orientation="portrait" r:id="rId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9DC6-318E-4ACB-A19A-33E8EB166598}">
  <sheetPr>
    <tabColor rgb="FF00B0F0"/>
  </sheetPr>
  <dimension ref="A1:PV145"/>
  <sheetViews>
    <sheetView zoomScale="90" zoomScaleNormal="90" workbookViewId="0">
      <pane xSplit="2" ySplit="10" topLeftCell="C42" activePane="bottomRight" state="frozen"/>
      <selection pane="topRight" activeCell="X34" sqref="X34"/>
      <selection pane="bottomLeft" activeCell="X34" sqref="X34"/>
      <selection pane="bottomRight" activeCell="I97" sqref="I97:O102"/>
    </sheetView>
  </sheetViews>
  <sheetFormatPr defaultRowHeight="15"/>
  <cols>
    <col min="1" max="1" width="11" customWidth="1"/>
    <col min="2" max="2" width="70.7109375" style="1" customWidth="1"/>
    <col min="3" max="3" width="12.7109375" style="2" customWidth="1"/>
    <col min="4" max="4" width="12.7109375" style="497" customWidth="1"/>
    <col min="5" max="5" width="7.7109375" style="68"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 min="20" max="20" width="15.5703125" bestFit="1" customWidth="1"/>
  </cols>
  <sheetData>
    <row r="1" spans="1:19">
      <c r="F1" s="275"/>
      <c r="G1" s="269" t="s">
        <v>679</v>
      </c>
    </row>
    <row r="2" spans="1:19">
      <c r="F2" s="276" t="s">
        <v>680</v>
      </c>
      <c r="G2" s="269" t="s">
        <v>681</v>
      </c>
    </row>
    <row r="3" spans="1:19" ht="15.75" thickBot="1">
      <c r="F3" s="277" t="s">
        <v>682</v>
      </c>
      <c r="G3" s="269" t="s">
        <v>683</v>
      </c>
    </row>
    <row r="4" spans="1:19" ht="15.75" thickBot="1">
      <c r="B4" s="262" t="s">
        <v>684</v>
      </c>
      <c r="F4" s="278"/>
      <c r="G4" s="270" t="s">
        <v>685</v>
      </c>
      <c r="H4" s="2323" t="s">
        <v>807</v>
      </c>
      <c r="I4" s="2324"/>
      <c r="J4" s="2319" t="s">
        <v>686</v>
      </c>
      <c r="K4" s="2320"/>
      <c r="L4" s="2319" t="s">
        <v>1182</v>
      </c>
      <c r="M4" s="2320"/>
      <c r="N4" s="2319" t="s">
        <v>2194</v>
      </c>
      <c r="O4" s="2320"/>
      <c r="P4" s="2319" t="s">
        <v>773</v>
      </c>
      <c r="Q4" s="2320"/>
      <c r="R4" s="2319" t="s">
        <v>691</v>
      </c>
      <c r="S4" s="2320"/>
    </row>
    <row r="5" spans="1:19" ht="15.75" thickTop="1">
      <c r="A5" s="292" t="s">
        <v>692</v>
      </c>
      <c r="B5" s="299" t="str">
        <f>'Area Calculations'!B4</f>
        <v>ERAU Residential Hall &amp; Garage Building</v>
      </c>
      <c r="C5" s="294"/>
      <c r="D5" s="498"/>
      <c r="E5" s="264"/>
      <c r="F5" s="279"/>
      <c r="G5" s="271" t="s">
        <v>693</v>
      </c>
      <c r="H5" s="2321" t="s">
        <v>249</v>
      </c>
      <c r="I5" s="2322"/>
      <c r="J5" s="2321" t="s">
        <v>2195</v>
      </c>
      <c r="K5" s="2322"/>
      <c r="L5" s="2321" t="s">
        <v>2196</v>
      </c>
      <c r="M5" s="2322"/>
      <c r="N5" s="2321" t="s">
        <v>2195</v>
      </c>
      <c r="O5" s="2322"/>
      <c r="P5" s="2321" t="s">
        <v>2197</v>
      </c>
      <c r="Q5" s="2322"/>
      <c r="R5" s="2321" t="s">
        <v>2198</v>
      </c>
      <c r="S5" s="2322"/>
    </row>
    <row r="6" spans="1:19">
      <c r="A6" s="1082" t="s">
        <v>700</v>
      </c>
      <c r="B6" s="1083" t="s">
        <v>248</v>
      </c>
      <c r="C6" s="415"/>
      <c r="D6" s="499"/>
      <c r="E6" s="417"/>
      <c r="F6" s="418"/>
      <c r="G6" s="419" t="s">
        <v>702</v>
      </c>
      <c r="H6" s="2325" t="s">
        <v>2199</v>
      </c>
      <c r="I6" s="2326"/>
      <c r="J6" s="2325" t="s">
        <v>2200</v>
      </c>
      <c r="K6" s="2326"/>
      <c r="L6" s="2325" t="s">
        <v>2201</v>
      </c>
      <c r="M6" s="2326"/>
      <c r="N6" s="2325" t="s">
        <v>2200</v>
      </c>
      <c r="O6" s="2326"/>
      <c r="P6" s="2313"/>
      <c r="Q6" s="2314"/>
      <c r="R6" s="2313"/>
      <c r="S6" s="2314"/>
    </row>
    <row r="7" spans="1:19">
      <c r="A7" s="1082" t="s">
        <v>706</v>
      </c>
      <c r="B7" s="1084" t="s">
        <v>357</v>
      </c>
      <c r="C7" s="415"/>
      <c r="D7" s="499"/>
      <c r="E7" s="417"/>
      <c r="F7" s="418"/>
      <c r="G7" s="829" t="s">
        <v>708</v>
      </c>
      <c r="H7" s="2325" t="s">
        <v>2202</v>
      </c>
      <c r="I7" s="2326"/>
      <c r="J7" s="2325" t="s">
        <v>2203</v>
      </c>
      <c r="K7" s="2326"/>
      <c r="L7" s="2325" t="s">
        <v>2204</v>
      </c>
      <c r="M7" s="2326"/>
      <c r="N7" s="2325" t="s">
        <v>2203</v>
      </c>
      <c r="O7" s="2326"/>
      <c r="P7" s="2313"/>
      <c r="Q7" s="2314"/>
      <c r="R7" s="2313"/>
      <c r="S7" s="2314"/>
    </row>
    <row r="8" spans="1:19">
      <c r="A8" s="1082" t="s">
        <v>712</v>
      </c>
      <c r="B8" s="1085"/>
      <c r="C8" s="415"/>
      <c r="D8" s="499"/>
      <c r="E8" s="417"/>
      <c r="F8" s="418"/>
      <c r="G8" s="829" t="s">
        <v>713</v>
      </c>
      <c r="H8" s="2327" t="s">
        <v>2205</v>
      </c>
      <c r="I8" s="2328"/>
      <c r="J8" s="2327" t="s">
        <v>2206</v>
      </c>
      <c r="K8" s="2328"/>
      <c r="L8" s="2327" t="s">
        <v>2207</v>
      </c>
      <c r="M8" s="2328"/>
      <c r="N8" s="2327" t="s">
        <v>2206</v>
      </c>
      <c r="O8" s="2328"/>
      <c r="P8" s="2315"/>
      <c r="Q8" s="2316"/>
      <c r="R8" s="2315"/>
      <c r="S8" s="2316"/>
    </row>
    <row r="9" spans="1:19" ht="15.75" thickBot="1">
      <c r="A9" s="420"/>
      <c r="B9" s="421"/>
      <c r="C9" s="23"/>
      <c r="D9" s="500"/>
      <c r="E9" s="266"/>
      <c r="F9" s="283"/>
      <c r="G9" s="284" t="s">
        <v>717</v>
      </c>
      <c r="H9" s="2317">
        <f>I108</f>
        <v>4143847.4</v>
      </c>
      <c r="I9" s="2318"/>
      <c r="J9" s="2317">
        <f>K108</f>
        <v>4705323.4000000004</v>
      </c>
      <c r="K9" s="2318"/>
      <c r="L9" s="2330">
        <f>M108</f>
        <v>4810146.96</v>
      </c>
      <c r="M9" s="2330"/>
      <c r="N9" s="2317">
        <f>O108</f>
        <v>5285081.4000000004</v>
      </c>
      <c r="O9" s="2318"/>
      <c r="P9" s="2317">
        <f>Q108</f>
        <v>33847.4</v>
      </c>
      <c r="Q9" s="2318"/>
      <c r="R9" s="2317">
        <f>S108</f>
        <v>33847.4</v>
      </c>
      <c r="S9" s="2318"/>
    </row>
    <row r="10" spans="1:19" s="267" customFormat="1" ht="32.1" customHeight="1" thickBot="1">
      <c r="A10" s="293"/>
      <c r="B10" s="300"/>
      <c r="C10" s="295" t="s">
        <v>718</v>
      </c>
      <c r="D10" s="501"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row>
    <row r="11" spans="1:19">
      <c r="A11" s="1589"/>
      <c r="B11" s="1926" t="s">
        <v>725</v>
      </c>
      <c r="C11" s="927"/>
      <c r="D11" s="1856"/>
      <c r="E11" s="1927"/>
      <c r="F11" s="1744"/>
      <c r="G11" s="1781"/>
      <c r="H11" s="1928"/>
      <c r="I11" s="348"/>
      <c r="J11" s="1928"/>
      <c r="K11" s="1782"/>
      <c r="L11" s="1928"/>
      <c r="M11" s="1783"/>
      <c r="N11" s="1928"/>
      <c r="O11" s="1783"/>
      <c r="P11" s="1928"/>
      <c r="Q11" s="1783"/>
      <c r="R11" s="1928"/>
      <c r="S11" s="1783"/>
    </row>
    <row r="12" spans="1:19">
      <c r="A12" s="1589"/>
      <c r="B12" s="1095" t="s">
        <v>726</v>
      </c>
      <c r="C12" s="415"/>
      <c r="D12" s="499"/>
      <c r="E12" s="417"/>
      <c r="F12" s="418"/>
      <c r="G12" s="423"/>
      <c r="H12" s="1152" t="s">
        <v>727</v>
      </c>
      <c r="I12" s="1783"/>
      <c r="J12" s="1096"/>
      <c r="K12" s="1782"/>
      <c r="L12" s="1096"/>
      <c r="M12" s="1783"/>
      <c r="N12" s="1096"/>
      <c r="O12" s="1783"/>
      <c r="P12" s="1096"/>
      <c r="Q12" s="1783"/>
      <c r="R12" s="1096"/>
      <c r="S12" s="1783"/>
    </row>
    <row r="13" spans="1:19">
      <c r="A13" s="1097"/>
      <c r="B13" s="1095" t="s">
        <v>728</v>
      </c>
      <c r="C13" s="415"/>
      <c r="D13" s="499"/>
      <c r="E13" s="417"/>
      <c r="F13" s="418"/>
      <c r="G13" s="423"/>
      <c r="H13" s="1152" t="s">
        <v>727</v>
      </c>
      <c r="I13" s="1783"/>
      <c r="J13" s="1096"/>
      <c r="K13" s="1782"/>
      <c r="L13" s="1096"/>
      <c r="M13" s="1783"/>
      <c r="N13" s="1096"/>
      <c r="O13" s="1783"/>
      <c r="P13" s="1096"/>
      <c r="Q13" s="1783"/>
      <c r="R13" s="1096"/>
      <c r="S13" s="1783"/>
    </row>
    <row r="14" spans="1:19">
      <c r="A14" s="1589"/>
      <c r="B14" s="1098" t="s">
        <v>729</v>
      </c>
      <c r="C14" s="415"/>
      <c r="D14" s="499"/>
      <c r="E14" s="417"/>
      <c r="F14" s="418"/>
      <c r="G14" s="423"/>
      <c r="H14" s="1152" t="s">
        <v>730</v>
      </c>
      <c r="I14" s="1783"/>
      <c r="J14" s="1096"/>
      <c r="K14" s="1782"/>
      <c r="L14" s="1096"/>
      <c r="M14" s="1783"/>
      <c r="N14" s="1096"/>
      <c r="O14" s="1783"/>
      <c r="P14" s="1096"/>
      <c r="Q14" s="1783"/>
      <c r="R14" s="1096"/>
      <c r="S14" s="1783"/>
    </row>
    <row r="15" spans="1:19">
      <c r="A15" s="1097"/>
      <c r="B15" s="1098" t="s">
        <v>731</v>
      </c>
      <c r="C15" s="415"/>
      <c r="D15" s="499"/>
      <c r="E15" s="417"/>
      <c r="F15" s="418"/>
      <c r="G15" s="423"/>
      <c r="H15" s="1152" t="s">
        <v>727</v>
      </c>
      <c r="I15" s="1782"/>
      <c r="J15" s="1096"/>
      <c r="K15" s="1782"/>
      <c r="L15" s="1096"/>
      <c r="M15" s="1782"/>
      <c r="N15" s="1096"/>
      <c r="O15" s="1782"/>
      <c r="P15" s="1096"/>
      <c r="Q15" s="1782"/>
      <c r="R15" s="1096"/>
      <c r="S15" s="1782"/>
    </row>
    <row r="16" spans="1:19">
      <c r="A16" s="1589"/>
      <c r="B16" s="1098" t="s">
        <v>732</v>
      </c>
      <c r="C16" s="415"/>
      <c r="D16" s="499"/>
      <c r="E16" s="417"/>
      <c r="F16" s="418"/>
      <c r="G16" s="423"/>
      <c r="H16" s="1152" t="s">
        <v>727</v>
      </c>
      <c r="I16" s="1783"/>
      <c r="J16" s="1096"/>
      <c r="K16" s="1782"/>
      <c r="L16" s="1096"/>
      <c r="M16" s="1783"/>
      <c r="N16" s="1096"/>
      <c r="O16" s="1783"/>
      <c r="P16" s="1096"/>
      <c r="Q16" s="1783"/>
      <c r="R16" s="1096"/>
      <c r="S16" s="1783"/>
    </row>
    <row r="17" spans="1:438">
      <c r="A17" s="1097"/>
      <c r="B17" s="1098" t="s">
        <v>733</v>
      </c>
      <c r="C17" s="415"/>
      <c r="D17" s="499"/>
      <c r="E17" s="417"/>
      <c r="F17" s="418"/>
      <c r="G17" s="423"/>
      <c r="H17" s="1152" t="s">
        <v>727</v>
      </c>
      <c r="I17" s="1783"/>
      <c r="J17" s="1096"/>
      <c r="K17" s="1782"/>
      <c r="L17" s="1096"/>
      <c r="M17" s="1783"/>
      <c r="N17" s="1096"/>
      <c r="O17" s="1783"/>
      <c r="P17" s="1096"/>
      <c r="Q17" s="1783"/>
      <c r="R17" s="1096"/>
      <c r="S17" s="1783"/>
    </row>
    <row r="18" spans="1:438">
      <c r="A18" s="1589"/>
      <c r="B18" s="726" t="s">
        <v>734</v>
      </c>
      <c r="C18" s="415"/>
      <c r="D18" s="499"/>
      <c r="E18" s="417"/>
      <c r="F18" s="418"/>
      <c r="G18" s="423"/>
      <c r="H18" s="1152" t="s">
        <v>727</v>
      </c>
      <c r="I18" s="1783" t="s">
        <v>1234</v>
      </c>
      <c r="J18" s="1096"/>
      <c r="K18" s="1782"/>
      <c r="L18" s="1096"/>
      <c r="M18" s="1783"/>
      <c r="N18" s="1096"/>
      <c r="O18" s="1783"/>
      <c r="P18" s="1096"/>
      <c r="Q18" s="1783"/>
      <c r="R18" s="1096"/>
      <c r="S18" s="1783"/>
    </row>
    <row r="19" spans="1:438">
      <c r="A19" s="1589"/>
      <c r="B19" s="1099" t="s">
        <v>736</v>
      </c>
      <c r="C19" s="415"/>
      <c r="D19" s="499"/>
      <c r="E19" s="417"/>
      <c r="F19" s="418"/>
      <c r="G19" s="423"/>
      <c r="H19" s="1096"/>
      <c r="I19" s="1783"/>
      <c r="J19" s="1096"/>
      <c r="K19" s="1782"/>
      <c r="L19" s="1096"/>
      <c r="M19" s="1783"/>
      <c r="N19" s="1096"/>
      <c r="O19" s="1783"/>
      <c r="P19" s="1096"/>
      <c r="Q19" s="1783"/>
      <c r="R19" s="1096"/>
      <c r="S19" s="1783"/>
    </row>
    <row r="20" spans="1:438">
      <c r="A20" s="1097"/>
      <c r="B20" s="1929" t="s">
        <v>737</v>
      </c>
      <c r="C20" s="424"/>
      <c r="D20" s="502"/>
      <c r="E20" s="449"/>
      <c r="F20" s="426"/>
      <c r="G20" s="427"/>
      <c r="H20" s="1101"/>
      <c r="I20" s="1787">
        <f>3675000-75000</f>
        <v>3600000</v>
      </c>
      <c r="J20" s="1101"/>
      <c r="K20" s="1786">
        <v>4561476</v>
      </c>
      <c r="L20" s="1101"/>
      <c r="M20" s="1787">
        <v>4299628.93</v>
      </c>
      <c r="N20" s="1101"/>
      <c r="O20" s="1787">
        <v>4561476</v>
      </c>
      <c r="P20" s="1101"/>
      <c r="Q20" s="1787"/>
      <c r="R20" s="1101"/>
      <c r="S20" s="1787"/>
    </row>
    <row r="21" spans="1:438">
      <c r="A21" s="1589"/>
      <c r="B21" s="1104"/>
      <c r="C21" s="23"/>
      <c r="D21" s="500"/>
      <c r="E21" s="266"/>
      <c r="F21" s="280"/>
      <c r="G21" s="274"/>
      <c r="H21" s="1096"/>
      <c r="I21" s="428"/>
      <c r="J21" s="1096"/>
      <c r="K21" s="428"/>
      <c r="L21" s="1096"/>
      <c r="M21" s="428"/>
      <c r="N21" s="1096"/>
      <c r="O21" s="428"/>
      <c r="P21" s="1096"/>
      <c r="Q21" s="428"/>
      <c r="R21" s="1096"/>
      <c r="S21" s="428"/>
    </row>
    <row r="22" spans="1:438" s="69" customFormat="1">
      <c r="A22" s="1097"/>
      <c r="B22" s="1105" t="s">
        <v>2208</v>
      </c>
      <c r="C22" s="415"/>
      <c r="D22" s="499"/>
      <c r="E22" s="417"/>
      <c r="F22" s="429"/>
      <c r="G22" s="423"/>
      <c r="H22" s="1096"/>
      <c r="I22" s="1106"/>
      <c r="J22" s="1096"/>
      <c r="K22" s="1107"/>
      <c r="L22" s="1096"/>
      <c r="M22" s="1107"/>
      <c r="N22" s="1096"/>
      <c r="O22" s="1106"/>
      <c r="P22" s="1096"/>
      <c r="Q22" s="1107"/>
      <c r="R22" s="1096"/>
      <c r="S22" s="1106"/>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row>
    <row r="23" spans="1:438">
      <c r="A23" s="1589"/>
      <c r="B23" s="1887" t="s">
        <v>2209</v>
      </c>
      <c r="C23" s="927"/>
      <c r="D23" s="1858"/>
      <c r="E23" s="1927"/>
      <c r="F23" s="1752"/>
      <c r="G23" s="1751"/>
      <c r="H23" s="1096" t="s">
        <v>682</v>
      </c>
      <c r="I23" s="1106" t="s">
        <v>2210</v>
      </c>
      <c r="J23" s="1096" t="s">
        <v>682</v>
      </c>
      <c r="K23" s="1107"/>
      <c r="L23" s="1096" t="s">
        <v>682</v>
      </c>
      <c r="M23" s="1783"/>
      <c r="N23" s="1096" t="s">
        <v>682</v>
      </c>
      <c r="O23" s="1783" t="s">
        <v>2210</v>
      </c>
      <c r="P23" s="1096"/>
      <c r="Q23" s="1783"/>
      <c r="R23" s="1096"/>
      <c r="S23" s="1783"/>
    </row>
    <row r="24" spans="1:438">
      <c r="A24" s="1097"/>
      <c r="B24" s="1887" t="s">
        <v>2211</v>
      </c>
      <c r="C24" s="415"/>
      <c r="D24" s="504"/>
      <c r="E24" s="417"/>
      <c r="F24" s="431"/>
      <c r="G24" s="1751"/>
      <c r="H24" s="1096" t="s">
        <v>682</v>
      </c>
      <c r="I24" s="1860">
        <v>280000</v>
      </c>
      <c r="J24" s="1096" t="s">
        <v>682</v>
      </c>
      <c r="K24" s="1107"/>
      <c r="L24" s="1096" t="s">
        <v>682</v>
      </c>
      <c r="M24" s="1860">
        <v>450051.72</v>
      </c>
      <c r="N24" s="1096" t="s">
        <v>682</v>
      </c>
      <c r="O24" s="1783"/>
      <c r="P24" s="1096"/>
      <c r="Q24" s="1783"/>
      <c r="R24" s="1096"/>
      <c r="S24" s="1783"/>
    </row>
    <row r="25" spans="1:438">
      <c r="A25" s="1097"/>
      <c r="B25" s="1887" t="s">
        <v>2212</v>
      </c>
      <c r="C25" s="415"/>
      <c r="D25" s="504"/>
      <c r="E25" s="417"/>
      <c r="F25" s="431"/>
      <c r="G25" s="1751"/>
      <c r="H25" s="1096" t="s">
        <v>682</v>
      </c>
      <c r="I25" s="1783"/>
      <c r="J25" s="1096" t="s">
        <v>682</v>
      </c>
      <c r="K25" s="1107"/>
      <c r="L25" s="1096" t="s">
        <v>682</v>
      </c>
      <c r="M25" s="1783"/>
      <c r="N25" s="1096" t="s">
        <v>682</v>
      </c>
      <c r="O25" s="1783"/>
      <c r="P25" s="1096"/>
      <c r="Q25" s="1783"/>
      <c r="R25" s="1096"/>
      <c r="S25" s="1783"/>
    </row>
    <row r="26" spans="1:438">
      <c r="A26" s="1589"/>
      <c r="B26" s="1887" t="s">
        <v>2213</v>
      </c>
      <c r="C26" s="415"/>
      <c r="D26" s="504"/>
      <c r="E26" s="417"/>
      <c r="F26" s="431"/>
      <c r="G26" s="1751"/>
      <c r="H26" s="1096" t="s">
        <v>682</v>
      </c>
      <c r="I26" s="1783"/>
      <c r="J26" s="1096" t="s">
        <v>682</v>
      </c>
      <c r="K26" s="1107"/>
      <c r="L26" s="1096" t="s">
        <v>682</v>
      </c>
      <c r="M26" s="1783"/>
      <c r="N26" s="1096" t="s">
        <v>682</v>
      </c>
      <c r="O26" s="1783"/>
      <c r="P26" s="1096"/>
      <c r="Q26" s="1783"/>
      <c r="R26" s="1096"/>
      <c r="S26" s="1783"/>
    </row>
    <row r="27" spans="1:438">
      <c r="A27" s="1589"/>
      <c r="B27" s="1887" t="s">
        <v>2214</v>
      </c>
      <c r="C27" s="415"/>
      <c r="D27" s="504"/>
      <c r="E27" s="417"/>
      <c r="F27" s="431"/>
      <c r="G27" s="1751"/>
      <c r="H27" s="1096" t="s">
        <v>682</v>
      </c>
      <c r="I27" s="1783"/>
      <c r="J27" s="1096" t="s">
        <v>682</v>
      </c>
      <c r="K27" s="1107"/>
      <c r="L27" s="1096" t="s">
        <v>682</v>
      </c>
      <c r="M27" s="1783"/>
      <c r="N27" s="1096" t="s">
        <v>682</v>
      </c>
      <c r="O27" s="1783"/>
      <c r="P27" s="1096"/>
      <c r="Q27" s="1783"/>
      <c r="R27" s="1096"/>
      <c r="S27" s="1783"/>
    </row>
    <row r="28" spans="1:438">
      <c r="A28" s="1589"/>
      <c r="B28" s="1887"/>
      <c r="C28" s="415"/>
      <c r="D28" s="504"/>
      <c r="E28" s="417"/>
      <c r="F28" s="431"/>
      <c r="G28" s="1751"/>
      <c r="H28" s="1096"/>
      <c r="I28" s="1783"/>
      <c r="J28" s="1096"/>
      <c r="K28" s="1107"/>
      <c r="L28" s="1096"/>
      <c r="M28" s="1783"/>
      <c r="N28" s="1096"/>
      <c r="O28" s="1783"/>
      <c r="P28" s="1096"/>
      <c r="Q28" s="1783"/>
      <c r="R28" s="1096"/>
      <c r="S28" s="1783"/>
    </row>
    <row r="29" spans="1:438">
      <c r="A29" s="1589"/>
      <c r="B29" s="1105" t="s">
        <v>2215</v>
      </c>
      <c r="C29" s="415"/>
      <c r="D29" s="504"/>
      <c r="E29" s="417"/>
      <c r="F29" s="431"/>
      <c r="G29" s="1751"/>
      <c r="H29" s="1096"/>
      <c r="I29" s="1783"/>
      <c r="J29" s="1096"/>
      <c r="K29" s="1107"/>
      <c r="L29" s="1096"/>
      <c r="M29" s="1783"/>
      <c r="N29" s="1096"/>
      <c r="O29" s="1783"/>
      <c r="P29" s="1096"/>
      <c r="Q29" s="1783"/>
      <c r="R29" s="1096"/>
      <c r="S29" s="1783"/>
    </row>
    <row r="30" spans="1:438">
      <c r="A30" s="1097"/>
      <c r="B30" s="1887" t="s">
        <v>2216</v>
      </c>
      <c r="C30" s="415"/>
      <c r="D30" s="504"/>
      <c r="E30" s="417"/>
      <c r="F30" s="431"/>
      <c r="G30" s="1751"/>
      <c r="H30" s="1096" t="s">
        <v>682</v>
      </c>
      <c r="I30" s="1783" t="s">
        <v>2217</v>
      </c>
      <c r="J30" s="1096" t="s">
        <v>682</v>
      </c>
      <c r="K30" s="1107"/>
      <c r="L30" s="1096" t="s">
        <v>682</v>
      </c>
      <c r="M30" s="1783"/>
      <c r="N30" s="1096" t="s">
        <v>682</v>
      </c>
      <c r="O30" s="1783"/>
      <c r="P30" s="1096"/>
      <c r="Q30" s="1783"/>
      <c r="R30" s="1096"/>
      <c r="S30" s="1783"/>
    </row>
    <row r="31" spans="1:438">
      <c r="A31" s="1097"/>
      <c r="B31" s="1887" t="s">
        <v>2218</v>
      </c>
      <c r="C31" s="415"/>
      <c r="D31" s="504"/>
      <c r="E31" s="417"/>
      <c r="F31" s="431"/>
      <c r="G31" s="1751"/>
      <c r="H31" s="1096" t="s">
        <v>682</v>
      </c>
      <c r="I31" s="1930" t="s">
        <v>2219</v>
      </c>
      <c r="J31" s="1096" t="s">
        <v>682</v>
      </c>
      <c r="K31" s="1107"/>
      <c r="L31" s="1096" t="s">
        <v>682</v>
      </c>
      <c r="M31" s="1930" t="s">
        <v>2219</v>
      </c>
      <c r="N31" s="1096" t="s">
        <v>682</v>
      </c>
      <c r="O31" s="1783"/>
      <c r="P31" s="1096"/>
      <c r="Q31" s="1783"/>
      <c r="R31" s="1096"/>
      <c r="S31" s="1783"/>
    </row>
    <row r="32" spans="1:438">
      <c r="A32" s="1589"/>
      <c r="B32" s="1887" t="s">
        <v>2212</v>
      </c>
      <c r="C32" s="415"/>
      <c r="D32" s="504"/>
      <c r="E32" s="417"/>
      <c r="F32" s="431"/>
      <c r="G32" s="1751"/>
      <c r="H32" s="1096" t="s">
        <v>682</v>
      </c>
      <c r="I32" s="1783"/>
      <c r="J32" s="1096" t="s">
        <v>682</v>
      </c>
      <c r="K32" s="1783"/>
      <c r="L32" s="1096" t="s">
        <v>682</v>
      </c>
      <c r="M32" s="1860">
        <v>26618.91</v>
      </c>
      <c r="N32" s="1096" t="s">
        <v>682</v>
      </c>
      <c r="O32" s="1783"/>
      <c r="P32" s="1096"/>
      <c r="Q32" s="1783"/>
      <c r="R32" s="1096"/>
      <c r="S32" s="1783"/>
    </row>
    <row r="33" spans="1:21">
      <c r="A33" s="1097"/>
      <c r="B33" s="1887" t="s">
        <v>2213</v>
      </c>
      <c r="C33" s="415"/>
      <c r="D33" s="504"/>
      <c r="E33" s="417"/>
      <c r="F33" s="431"/>
      <c r="G33" s="1751"/>
      <c r="H33" s="1096" t="s">
        <v>682</v>
      </c>
      <c r="I33" s="1783"/>
      <c r="J33" s="1096" t="s">
        <v>682</v>
      </c>
      <c r="K33" s="1783"/>
      <c r="L33" s="1096" t="s">
        <v>682</v>
      </c>
      <c r="M33" s="1783"/>
      <c r="N33" s="1096" t="s">
        <v>682</v>
      </c>
      <c r="O33" s="1783"/>
      <c r="P33" s="1096"/>
      <c r="Q33" s="1783"/>
      <c r="R33" s="1096"/>
      <c r="S33" s="1783"/>
    </row>
    <row r="34" spans="1:21">
      <c r="A34" s="1589"/>
      <c r="B34" s="1887" t="s">
        <v>2214</v>
      </c>
      <c r="C34" s="415"/>
      <c r="D34" s="504"/>
      <c r="E34" s="417"/>
      <c r="F34" s="431"/>
      <c r="G34" s="1751"/>
      <c r="H34" s="1096" t="s">
        <v>682</v>
      </c>
      <c r="I34" s="1783"/>
      <c r="J34" s="1096" t="s">
        <v>682</v>
      </c>
      <c r="K34" s="1783"/>
      <c r="L34" s="1096" t="s">
        <v>682</v>
      </c>
      <c r="M34" s="1783"/>
      <c r="N34" s="1096" t="s">
        <v>682</v>
      </c>
      <c r="O34" s="1783"/>
      <c r="P34" s="1096"/>
      <c r="Q34" s="1783"/>
      <c r="R34" s="1096"/>
      <c r="S34" s="1783"/>
    </row>
    <row r="35" spans="1:21">
      <c r="A35" s="1589"/>
      <c r="B35" s="1887"/>
      <c r="C35" s="415"/>
      <c r="D35" s="504"/>
      <c r="E35" s="417"/>
      <c r="F35" s="431"/>
      <c r="G35" s="1751"/>
      <c r="H35" s="1096"/>
      <c r="I35" s="1783"/>
      <c r="J35" s="1096"/>
      <c r="K35" s="1783"/>
      <c r="L35" s="1096"/>
      <c r="M35" s="1783"/>
      <c r="N35" s="1096"/>
      <c r="O35" s="1783"/>
      <c r="P35" s="1096"/>
      <c r="Q35" s="1783"/>
      <c r="R35" s="1096"/>
      <c r="S35" s="1783"/>
    </row>
    <row r="36" spans="1:21">
      <c r="A36" s="1589"/>
      <c r="B36" s="1931" t="s">
        <v>2220</v>
      </c>
      <c r="C36" s="415"/>
      <c r="D36" s="504"/>
      <c r="E36" s="417"/>
      <c r="F36" s="431"/>
      <c r="G36" s="1751"/>
      <c r="H36" s="1096" t="s">
        <v>682</v>
      </c>
      <c r="I36" s="1783"/>
      <c r="J36" s="1096" t="s">
        <v>682</v>
      </c>
      <c r="K36" s="1783"/>
      <c r="L36" s="1096" t="s">
        <v>682</v>
      </c>
      <c r="M36" s="1783"/>
      <c r="N36" s="1211"/>
      <c r="O36" s="1783"/>
      <c r="P36" s="1096"/>
      <c r="Q36" s="1783"/>
      <c r="R36" s="1096"/>
      <c r="S36" s="1783"/>
    </row>
    <row r="37" spans="1:21">
      <c r="A37" s="1097"/>
      <c r="B37" s="1890"/>
      <c r="C37" s="415"/>
      <c r="D37" s="504"/>
      <c r="E37" s="417"/>
      <c r="F37" s="431"/>
      <c r="G37" s="1751"/>
      <c r="H37" s="1096"/>
      <c r="I37" s="1783"/>
      <c r="J37" s="1096"/>
      <c r="K37" s="1783"/>
      <c r="L37" s="1096"/>
      <c r="M37" s="1783"/>
      <c r="N37" s="1096"/>
      <c r="O37" s="1783"/>
      <c r="P37" s="1096"/>
      <c r="Q37" s="1783"/>
      <c r="R37" s="1096"/>
      <c r="S37" s="1783"/>
    </row>
    <row r="38" spans="1:21">
      <c r="A38" s="1589"/>
      <c r="B38" s="1113" t="s">
        <v>2221</v>
      </c>
      <c r="C38" s="23"/>
      <c r="D38" s="504"/>
      <c r="E38" s="417"/>
      <c r="F38" s="431"/>
      <c r="G38" s="1751"/>
      <c r="H38" s="1096"/>
      <c r="I38" s="1783"/>
      <c r="J38" s="1096"/>
      <c r="K38" s="1783"/>
      <c r="L38" s="1096"/>
      <c r="M38" s="1783"/>
      <c r="N38" s="1096"/>
      <c r="O38" s="1783"/>
      <c r="P38" s="1096"/>
      <c r="Q38" s="1783"/>
      <c r="R38" s="1096"/>
      <c r="S38" s="1783"/>
    </row>
    <row r="39" spans="1:21">
      <c r="A39" s="1097"/>
      <c r="B39" s="1247" t="s">
        <v>2222</v>
      </c>
      <c r="C39" s="23"/>
      <c r="D39" s="503">
        <f>U39</f>
        <v>0</v>
      </c>
      <c r="E39" s="266" t="s">
        <v>468</v>
      </c>
      <c r="F39" s="431"/>
      <c r="G39" s="1751"/>
      <c r="H39" s="1096"/>
      <c r="I39" s="1783"/>
      <c r="J39" s="1096"/>
      <c r="K39" s="1783"/>
      <c r="L39" s="1096"/>
      <c r="M39" s="1783"/>
      <c r="N39" s="1096"/>
      <c r="O39" s="1783"/>
      <c r="P39" s="1096"/>
      <c r="Q39" s="1783"/>
      <c r="R39" s="1096"/>
      <c r="S39" s="1783"/>
    </row>
    <row r="40" spans="1:21">
      <c r="A40" s="1589"/>
      <c r="B40" s="1247" t="s">
        <v>2223</v>
      </c>
      <c r="C40" s="23"/>
      <c r="D40" s="503">
        <f t="shared" ref="D40:D67" si="0">U40</f>
        <v>1</v>
      </c>
      <c r="E40" s="266" t="s">
        <v>468</v>
      </c>
      <c r="F40" s="431"/>
      <c r="G40" s="1751"/>
      <c r="H40" s="1096" t="s">
        <v>682</v>
      </c>
      <c r="I40" s="1783"/>
      <c r="J40" s="1096" t="s">
        <v>682</v>
      </c>
      <c r="K40" s="1783"/>
      <c r="L40" s="1096" t="s">
        <v>682</v>
      </c>
      <c r="M40" s="1783"/>
      <c r="N40" s="1096"/>
      <c r="O40" s="1783"/>
      <c r="P40" s="1096"/>
      <c r="Q40" s="1783"/>
      <c r="R40" s="1096"/>
      <c r="S40" s="1783"/>
      <c r="T40" t="s">
        <v>2224</v>
      </c>
      <c r="U40">
        <v>1</v>
      </c>
    </row>
    <row r="41" spans="1:21">
      <c r="A41" s="1589"/>
      <c r="B41" s="1247" t="s">
        <v>2225</v>
      </c>
      <c r="C41" s="23"/>
      <c r="D41" s="503">
        <f t="shared" si="0"/>
        <v>13</v>
      </c>
      <c r="E41" s="266" t="s">
        <v>468</v>
      </c>
      <c r="F41" s="431"/>
      <c r="G41" s="1751"/>
      <c r="H41" s="1096" t="s">
        <v>682</v>
      </c>
      <c r="I41" s="1783"/>
      <c r="J41" s="1096" t="s">
        <v>682</v>
      </c>
      <c r="K41" s="1783"/>
      <c r="L41" s="1096" t="s">
        <v>682</v>
      </c>
      <c r="M41" s="1783"/>
      <c r="N41" s="1096"/>
      <c r="O41" s="1783"/>
      <c r="P41" s="1096"/>
      <c r="Q41" s="1783"/>
      <c r="R41" s="1096"/>
      <c r="S41" s="1783"/>
      <c r="T41" t="s">
        <v>2226</v>
      </c>
      <c r="U41">
        <v>13</v>
      </c>
    </row>
    <row r="42" spans="1:21">
      <c r="A42" s="1589"/>
      <c r="B42" s="1247" t="s">
        <v>2227</v>
      </c>
      <c r="C42" s="23"/>
      <c r="D42" s="503">
        <v>4</v>
      </c>
      <c r="E42" s="266" t="s">
        <v>468</v>
      </c>
      <c r="F42" s="431"/>
      <c r="G42" s="1751"/>
      <c r="H42" s="1096" t="s">
        <v>682</v>
      </c>
      <c r="I42" s="1783"/>
      <c r="J42" s="1096" t="s">
        <v>682</v>
      </c>
      <c r="K42" s="1783"/>
      <c r="L42" s="1096" t="s">
        <v>682</v>
      </c>
      <c r="M42" s="1783"/>
      <c r="N42" s="1096"/>
      <c r="O42" s="1783"/>
      <c r="P42" s="1096"/>
      <c r="Q42" s="1783"/>
      <c r="R42" s="1096"/>
      <c r="S42" s="1783"/>
    </row>
    <row r="43" spans="1:21">
      <c r="A43" s="1589"/>
      <c r="B43" s="1247" t="s">
        <v>2228</v>
      </c>
      <c r="C43" s="23"/>
      <c r="D43" s="503">
        <v>1</v>
      </c>
      <c r="E43" s="266" t="s">
        <v>468</v>
      </c>
      <c r="F43" s="431"/>
      <c r="G43" s="1751"/>
      <c r="H43" s="1096" t="s">
        <v>682</v>
      </c>
      <c r="I43" s="1783"/>
      <c r="J43" s="1096" t="s">
        <v>682</v>
      </c>
      <c r="K43" s="1783"/>
      <c r="L43" s="1096" t="s">
        <v>682</v>
      </c>
      <c r="M43" s="1783"/>
      <c r="N43" s="1096"/>
      <c r="O43" s="1783"/>
      <c r="P43" s="1096"/>
      <c r="Q43" s="1783"/>
      <c r="R43" s="1096"/>
      <c r="S43" s="1783"/>
    </row>
    <row r="44" spans="1:21">
      <c r="A44" s="1589"/>
      <c r="B44" s="1247" t="s">
        <v>2229</v>
      </c>
      <c r="C44" s="23"/>
      <c r="D44" s="503">
        <v>6</v>
      </c>
      <c r="E44" s="266" t="s">
        <v>468</v>
      </c>
      <c r="F44" s="431"/>
      <c r="G44" s="1751"/>
      <c r="H44" s="1096" t="s">
        <v>682</v>
      </c>
      <c r="I44" s="1783"/>
      <c r="J44" s="1096" t="s">
        <v>682</v>
      </c>
      <c r="K44" s="1783"/>
      <c r="L44" s="1096" t="s">
        <v>682</v>
      </c>
      <c r="M44" s="1783"/>
      <c r="N44" s="1096"/>
      <c r="O44" s="1783"/>
      <c r="P44" s="1096"/>
      <c r="Q44" s="1783"/>
      <c r="R44" s="1096"/>
      <c r="S44" s="1783"/>
    </row>
    <row r="45" spans="1:21">
      <c r="A45" s="1589"/>
      <c r="B45" s="1247" t="s">
        <v>2230</v>
      </c>
      <c r="C45" s="23"/>
      <c r="D45" s="503">
        <f t="shared" si="0"/>
        <v>16</v>
      </c>
      <c r="E45" s="266" t="s">
        <v>468</v>
      </c>
      <c r="F45" s="431"/>
      <c r="G45" s="1751"/>
      <c r="H45" s="1096" t="s">
        <v>682</v>
      </c>
      <c r="I45" s="1783"/>
      <c r="J45" s="1096" t="s">
        <v>682</v>
      </c>
      <c r="K45" s="1783"/>
      <c r="L45" s="1096" t="s">
        <v>682</v>
      </c>
      <c r="M45" s="1783"/>
      <c r="N45" s="1096"/>
      <c r="O45" s="1783"/>
      <c r="P45" s="1096"/>
      <c r="Q45" s="1783"/>
      <c r="R45" s="1096"/>
      <c r="S45" s="1783"/>
      <c r="T45" t="s">
        <v>2231</v>
      </c>
      <c r="U45">
        <v>16</v>
      </c>
    </row>
    <row r="46" spans="1:21">
      <c r="A46" s="1589"/>
      <c r="B46" s="1247" t="s">
        <v>2232</v>
      </c>
      <c r="C46" s="23"/>
      <c r="D46" s="503">
        <f t="shared" si="0"/>
        <v>2</v>
      </c>
      <c r="E46" s="266" t="s">
        <v>468</v>
      </c>
      <c r="F46" s="431"/>
      <c r="G46" s="1751"/>
      <c r="H46" s="1096" t="s">
        <v>682</v>
      </c>
      <c r="I46" s="1783"/>
      <c r="J46" s="1096" t="s">
        <v>682</v>
      </c>
      <c r="K46" s="1783"/>
      <c r="L46" s="1096" t="s">
        <v>682</v>
      </c>
      <c r="M46" s="1783"/>
      <c r="N46" s="1096"/>
      <c r="O46" s="1783"/>
      <c r="P46" s="1096"/>
      <c r="Q46" s="1783"/>
      <c r="R46" s="1096"/>
      <c r="S46" s="1783"/>
      <c r="T46" t="s">
        <v>2233</v>
      </c>
      <c r="U46">
        <v>2</v>
      </c>
    </row>
    <row r="47" spans="1:21">
      <c r="A47" s="1589"/>
      <c r="B47" s="1247" t="s">
        <v>2234</v>
      </c>
      <c r="C47" s="23"/>
      <c r="D47" s="503">
        <f t="shared" si="0"/>
        <v>0</v>
      </c>
      <c r="E47" s="266" t="s">
        <v>468</v>
      </c>
      <c r="F47" s="431"/>
      <c r="G47" s="1751"/>
      <c r="H47" s="1096"/>
      <c r="I47" s="1783"/>
      <c r="J47" s="1096"/>
      <c r="K47" s="1783"/>
      <c r="L47" s="1096"/>
      <c r="M47" s="1783"/>
      <c r="N47" s="1096"/>
      <c r="O47" s="1783"/>
      <c r="P47" s="1096"/>
      <c r="Q47" s="1783"/>
      <c r="R47" s="1096"/>
      <c r="S47" s="1783"/>
    </row>
    <row r="48" spans="1:21">
      <c r="A48" s="1589"/>
      <c r="B48" s="1247" t="s">
        <v>2235</v>
      </c>
      <c r="C48" s="23"/>
      <c r="D48" s="503">
        <f t="shared" si="0"/>
        <v>0</v>
      </c>
      <c r="E48" s="266" t="s">
        <v>468</v>
      </c>
      <c r="F48" s="431"/>
      <c r="G48" s="1751"/>
      <c r="H48" s="1096"/>
      <c r="I48" s="1783"/>
      <c r="J48" s="1096"/>
      <c r="K48" s="1783"/>
      <c r="L48" s="1096"/>
      <c r="M48" s="1783"/>
      <c r="N48" s="1096"/>
      <c r="O48" s="1783"/>
      <c r="P48" s="1096"/>
      <c r="Q48" s="1783"/>
      <c r="R48" s="1096"/>
      <c r="S48" s="1783"/>
    </row>
    <row r="49" spans="1:21">
      <c r="A49" s="1589"/>
      <c r="B49" s="1247" t="s">
        <v>2236</v>
      </c>
      <c r="C49" s="23"/>
      <c r="D49" s="503">
        <f t="shared" si="0"/>
        <v>1</v>
      </c>
      <c r="E49" s="266" t="s">
        <v>468</v>
      </c>
      <c r="F49" s="431"/>
      <c r="G49" s="1751"/>
      <c r="H49" s="1096" t="s">
        <v>682</v>
      </c>
      <c r="I49" s="1783"/>
      <c r="J49" s="1096" t="s">
        <v>682</v>
      </c>
      <c r="K49" s="1783"/>
      <c r="L49" s="1096" t="s">
        <v>682</v>
      </c>
      <c r="M49" s="1783"/>
      <c r="N49" s="1096"/>
      <c r="O49" s="1783"/>
      <c r="P49" s="1096"/>
      <c r="Q49" s="1783"/>
      <c r="R49" s="1096"/>
      <c r="S49" s="1783"/>
      <c r="T49" t="s">
        <v>2235</v>
      </c>
      <c r="U49">
        <v>1</v>
      </c>
    </row>
    <row r="50" spans="1:21">
      <c r="A50" s="1589"/>
      <c r="B50" s="1247" t="s">
        <v>2237</v>
      </c>
      <c r="C50" s="23"/>
      <c r="D50" s="503">
        <v>14</v>
      </c>
      <c r="E50" s="266" t="s">
        <v>468</v>
      </c>
      <c r="F50" s="431"/>
      <c r="G50" s="1751"/>
      <c r="H50" s="1096" t="s">
        <v>682</v>
      </c>
      <c r="I50" s="1783"/>
      <c r="J50" s="1096" t="s">
        <v>682</v>
      </c>
      <c r="K50" s="1783"/>
      <c r="L50" s="1096" t="s">
        <v>682</v>
      </c>
      <c r="M50" s="1783"/>
      <c r="N50" s="1096"/>
      <c r="O50" s="1783"/>
      <c r="P50" s="1096"/>
      <c r="Q50" s="1783"/>
      <c r="R50" s="1096"/>
      <c r="S50" s="1783"/>
    </row>
    <row r="51" spans="1:21">
      <c r="A51" s="1589"/>
      <c r="B51" s="1247" t="s">
        <v>2238</v>
      </c>
      <c r="C51" s="23"/>
      <c r="D51" s="503">
        <v>2</v>
      </c>
      <c r="E51" s="266" t="s">
        <v>468</v>
      </c>
      <c r="F51" s="431"/>
      <c r="G51" s="1751"/>
      <c r="H51" s="1096" t="s">
        <v>682</v>
      </c>
      <c r="I51" s="1860">
        <v>35000</v>
      </c>
      <c r="J51" s="1096" t="s">
        <v>682</v>
      </c>
      <c r="K51" s="1783"/>
      <c r="L51" s="1096"/>
      <c r="M51" s="1855"/>
      <c r="N51" s="1096"/>
      <c r="O51" s="1783"/>
      <c r="P51" s="1096"/>
      <c r="Q51" s="1783"/>
      <c r="R51" s="1096"/>
      <c r="S51" s="1783"/>
    </row>
    <row r="52" spans="1:21">
      <c r="A52" s="1589"/>
      <c r="B52" s="1247" t="s">
        <v>2239</v>
      </c>
      <c r="C52" s="23"/>
      <c r="D52" s="503">
        <f t="shared" si="0"/>
        <v>12</v>
      </c>
      <c r="E52" s="266" t="s">
        <v>468</v>
      </c>
      <c r="F52" s="431"/>
      <c r="G52" s="1751"/>
      <c r="H52" s="1096" t="s">
        <v>682</v>
      </c>
      <c r="I52" s="1783"/>
      <c r="J52" s="1096" t="s">
        <v>682</v>
      </c>
      <c r="K52" s="1783"/>
      <c r="L52" s="1096" t="s">
        <v>682</v>
      </c>
      <c r="M52" s="1783"/>
      <c r="N52" s="1096"/>
      <c r="O52" s="1783"/>
      <c r="P52" s="1096"/>
      <c r="Q52" s="1783"/>
      <c r="R52" s="1096"/>
      <c r="S52" s="1783"/>
      <c r="T52" t="s">
        <v>2240</v>
      </c>
      <c r="U52">
        <v>12</v>
      </c>
    </row>
    <row r="53" spans="1:21">
      <c r="A53" s="1589"/>
      <c r="B53" s="1247" t="s">
        <v>2241</v>
      </c>
      <c r="C53" s="23"/>
      <c r="D53" s="503">
        <f t="shared" si="0"/>
        <v>1</v>
      </c>
      <c r="E53" s="266" t="s">
        <v>468</v>
      </c>
      <c r="F53" s="431"/>
      <c r="G53" s="1751"/>
      <c r="H53" s="1096" t="s">
        <v>682</v>
      </c>
      <c r="I53" s="1783"/>
      <c r="J53" s="1096" t="s">
        <v>682</v>
      </c>
      <c r="K53" s="1783"/>
      <c r="L53" s="1096" t="s">
        <v>682</v>
      </c>
      <c r="M53" s="1783"/>
      <c r="N53" s="1096"/>
      <c r="O53" s="1783"/>
      <c r="P53" s="1096"/>
      <c r="Q53" s="1783"/>
      <c r="R53" s="1096"/>
      <c r="S53" s="1783"/>
      <c r="T53" t="s">
        <v>2242</v>
      </c>
      <c r="U53">
        <v>1</v>
      </c>
    </row>
    <row r="54" spans="1:21">
      <c r="A54" s="1589"/>
      <c r="B54" s="1247" t="s">
        <v>2243</v>
      </c>
      <c r="C54" s="23"/>
      <c r="D54" s="503">
        <f t="shared" si="0"/>
        <v>6</v>
      </c>
      <c r="E54" s="266" t="s">
        <v>468</v>
      </c>
      <c r="F54" s="431"/>
      <c r="G54" s="1751"/>
      <c r="H54" s="1096" t="s">
        <v>682</v>
      </c>
      <c r="I54" s="1783"/>
      <c r="J54" s="1096" t="s">
        <v>682</v>
      </c>
      <c r="K54" s="1783"/>
      <c r="L54" s="1096" t="s">
        <v>682</v>
      </c>
      <c r="M54" s="1783"/>
      <c r="N54" s="1096"/>
      <c r="O54" s="1783"/>
      <c r="P54" s="1096"/>
      <c r="Q54" s="1783"/>
      <c r="R54" s="1096"/>
      <c r="S54" s="1783"/>
      <c r="T54" t="s">
        <v>2244</v>
      </c>
      <c r="U54">
        <v>6</v>
      </c>
    </row>
    <row r="55" spans="1:21">
      <c r="A55" s="1589"/>
      <c r="B55" s="1247" t="s">
        <v>2245</v>
      </c>
      <c r="C55" s="23"/>
      <c r="D55" s="503">
        <f t="shared" si="0"/>
        <v>1</v>
      </c>
      <c r="E55" s="266" t="s">
        <v>468</v>
      </c>
      <c r="F55" s="431"/>
      <c r="G55" s="1751"/>
      <c r="H55" s="1096" t="s">
        <v>682</v>
      </c>
      <c r="I55" s="1783"/>
      <c r="J55" s="1096" t="s">
        <v>682</v>
      </c>
      <c r="K55" s="1783"/>
      <c r="L55" s="1096" t="s">
        <v>682</v>
      </c>
      <c r="M55" s="1783"/>
      <c r="N55" s="1096"/>
      <c r="O55" s="1783"/>
      <c r="P55" s="1096"/>
      <c r="Q55" s="1783"/>
      <c r="R55" s="1096"/>
      <c r="S55" s="1783"/>
      <c r="T55" t="s">
        <v>2246</v>
      </c>
      <c r="U55">
        <v>1</v>
      </c>
    </row>
    <row r="56" spans="1:21">
      <c r="A56" s="1589"/>
      <c r="B56" s="1247" t="s">
        <v>2247</v>
      </c>
      <c r="C56" s="23"/>
      <c r="D56" s="503">
        <v>65</v>
      </c>
      <c r="E56" s="266" t="s">
        <v>468</v>
      </c>
      <c r="F56" s="431"/>
      <c r="G56" s="1751"/>
      <c r="H56" s="1096" t="s">
        <v>682</v>
      </c>
      <c r="I56" s="1783"/>
      <c r="J56" s="1096" t="s">
        <v>682</v>
      </c>
      <c r="K56" s="1783"/>
      <c r="L56" s="1096" t="s">
        <v>682</v>
      </c>
      <c r="M56" s="1783"/>
      <c r="N56" s="1096"/>
      <c r="O56" s="1783"/>
      <c r="P56" s="1096"/>
      <c r="Q56" s="1783"/>
      <c r="R56" s="1096"/>
      <c r="S56" s="1783"/>
      <c r="T56" t="s">
        <v>2248</v>
      </c>
      <c r="U56">
        <v>2</v>
      </c>
    </row>
    <row r="57" spans="1:21">
      <c r="A57" s="1589"/>
      <c r="B57" s="1247" t="s">
        <v>2249</v>
      </c>
      <c r="C57" s="23"/>
      <c r="D57" s="503">
        <f t="shared" si="0"/>
        <v>2</v>
      </c>
      <c r="E57" s="266" t="s">
        <v>468</v>
      </c>
      <c r="F57" s="431"/>
      <c r="G57" s="1751"/>
      <c r="H57" s="1096" t="s">
        <v>682</v>
      </c>
      <c r="I57" s="1783"/>
      <c r="J57" s="1096" t="s">
        <v>682</v>
      </c>
      <c r="K57" s="1783"/>
      <c r="L57" s="1096" t="s">
        <v>682</v>
      </c>
      <c r="M57" s="1783"/>
      <c r="N57" s="1096"/>
      <c r="O57" s="1783"/>
      <c r="P57" s="1096"/>
      <c r="Q57" s="1783"/>
      <c r="R57" s="1096"/>
      <c r="S57" s="1783"/>
      <c r="T57" t="s">
        <v>2250</v>
      </c>
      <c r="U57">
        <v>2</v>
      </c>
    </row>
    <row r="58" spans="1:21">
      <c r="A58" s="1589"/>
      <c r="B58" s="1247" t="s">
        <v>2251</v>
      </c>
      <c r="C58" s="23"/>
      <c r="D58" s="503">
        <f t="shared" si="0"/>
        <v>0</v>
      </c>
      <c r="E58" s="266" t="s">
        <v>468</v>
      </c>
      <c r="F58" s="431"/>
      <c r="G58" s="1751"/>
      <c r="H58" s="1096"/>
      <c r="I58" s="1783"/>
      <c r="J58" s="1096"/>
      <c r="K58" s="1783"/>
      <c r="L58" s="1096"/>
      <c r="M58" s="1783"/>
      <c r="N58" s="1096"/>
      <c r="O58" s="1783"/>
      <c r="P58" s="1096"/>
      <c r="Q58" s="1783"/>
      <c r="R58" s="1096"/>
      <c r="S58" s="1783"/>
    </row>
    <row r="59" spans="1:21">
      <c r="A59" s="1589"/>
      <c r="B59" s="1247" t="s">
        <v>2252</v>
      </c>
      <c r="C59" s="23"/>
      <c r="D59" s="503">
        <v>2</v>
      </c>
      <c r="E59" s="266" t="s">
        <v>468</v>
      </c>
      <c r="F59" s="431"/>
      <c r="G59" s="1751"/>
      <c r="H59" s="1096" t="s">
        <v>682</v>
      </c>
      <c r="I59" s="1783"/>
      <c r="J59" s="1096" t="s">
        <v>682</v>
      </c>
      <c r="K59" s="1783"/>
      <c r="L59" s="1096" t="s">
        <v>682</v>
      </c>
      <c r="M59" s="1783"/>
      <c r="N59" s="1096"/>
      <c r="O59" s="1783"/>
      <c r="P59" s="1096"/>
      <c r="Q59" s="1783"/>
      <c r="R59" s="1096"/>
      <c r="S59" s="1783"/>
    </row>
    <row r="60" spans="1:21">
      <c r="A60" s="1589"/>
      <c r="B60" s="1247" t="s">
        <v>2253</v>
      </c>
      <c r="C60" s="23"/>
      <c r="D60" s="503">
        <f t="shared" si="0"/>
        <v>0</v>
      </c>
      <c r="E60" s="266" t="s">
        <v>468</v>
      </c>
      <c r="F60" s="431"/>
      <c r="G60" s="1751"/>
      <c r="H60" s="1096"/>
      <c r="I60" s="1783"/>
      <c r="J60" s="1096"/>
      <c r="K60" s="1783"/>
      <c r="L60" s="1096"/>
      <c r="M60" s="1783"/>
      <c r="N60" s="1096"/>
      <c r="O60" s="1783"/>
      <c r="P60" s="1096"/>
      <c r="Q60" s="1783"/>
      <c r="R60" s="1096"/>
      <c r="S60" s="1783"/>
    </row>
    <row r="61" spans="1:21">
      <c r="A61" s="1589"/>
      <c r="B61" s="1247" t="s">
        <v>2254</v>
      </c>
      <c r="C61" s="23"/>
      <c r="D61" s="503">
        <f t="shared" si="0"/>
        <v>0</v>
      </c>
      <c r="E61" s="266" t="s">
        <v>468</v>
      </c>
      <c r="F61" s="431"/>
      <c r="G61" s="1751"/>
      <c r="H61" s="1096"/>
      <c r="I61" s="1783"/>
      <c r="J61" s="1096"/>
      <c r="K61" s="1783"/>
      <c r="L61" s="1096"/>
      <c r="M61" s="1783"/>
      <c r="N61" s="1096"/>
      <c r="O61" s="1783"/>
      <c r="P61" s="1096"/>
      <c r="Q61" s="1783"/>
      <c r="R61" s="1096"/>
      <c r="S61" s="1783"/>
    </row>
    <row r="62" spans="1:21">
      <c r="A62" s="1589"/>
      <c r="B62" s="1247" t="s">
        <v>2255</v>
      </c>
      <c r="C62" s="23"/>
      <c r="D62" s="503">
        <f t="shared" si="0"/>
        <v>0</v>
      </c>
      <c r="E62" s="266" t="s">
        <v>468</v>
      </c>
      <c r="F62" s="431"/>
      <c r="G62" s="1751"/>
      <c r="H62" s="1096"/>
      <c r="I62" s="1783"/>
      <c r="J62" s="1096"/>
      <c r="K62" s="1783"/>
      <c r="L62" s="1096"/>
      <c r="M62" s="1783"/>
      <c r="N62" s="1096"/>
      <c r="O62" s="1783"/>
      <c r="P62" s="1096"/>
      <c r="Q62" s="1783"/>
      <c r="R62" s="1096"/>
      <c r="S62" s="1783"/>
    </row>
    <row r="63" spans="1:21">
      <c r="A63" s="1589"/>
      <c r="B63" s="1247" t="s">
        <v>2256</v>
      </c>
      <c r="C63" s="23"/>
      <c r="D63" s="503">
        <v>2</v>
      </c>
      <c r="E63" s="266" t="s">
        <v>468</v>
      </c>
      <c r="F63" s="431"/>
      <c r="G63" s="1751"/>
      <c r="H63" s="1096" t="s">
        <v>682</v>
      </c>
      <c r="I63" s="1783"/>
      <c r="J63" s="1096" t="s">
        <v>682</v>
      </c>
      <c r="K63" s="1783"/>
      <c r="L63" s="1096" t="s">
        <v>682</v>
      </c>
      <c r="M63" s="1783"/>
      <c r="N63" s="1096"/>
      <c r="O63" s="1783"/>
      <c r="P63" s="1096"/>
      <c r="Q63" s="1783"/>
      <c r="R63" s="1096"/>
      <c r="S63" s="1783"/>
    </row>
    <row r="64" spans="1:21">
      <c r="A64" s="1589"/>
      <c r="B64" s="1247" t="s">
        <v>2257</v>
      </c>
      <c r="C64" s="23"/>
      <c r="D64" s="503">
        <v>2</v>
      </c>
      <c r="E64" s="266" t="s">
        <v>468</v>
      </c>
      <c r="F64" s="431"/>
      <c r="G64" s="1751"/>
      <c r="H64" s="1096" t="s">
        <v>680</v>
      </c>
      <c r="I64" s="1860">
        <v>85000</v>
      </c>
      <c r="J64" s="1096" t="s">
        <v>682</v>
      </c>
      <c r="K64" s="1783"/>
      <c r="L64" s="1096" t="s">
        <v>682</v>
      </c>
      <c r="M64" s="1783"/>
      <c r="N64" s="1096"/>
      <c r="O64" s="1783"/>
      <c r="P64" s="1096"/>
      <c r="Q64" s="1783"/>
      <c r="R64" s="1096"/>
      <c r="S64" s="1783"/>
    </row>
    <row r="65" spans="1:21">
      <c r="A65" s="1589"/>
      <c r="B65" s="1247" t="s">
        <v>2258</v>
      </c>
      <c r="C65" s="23"/>
      <c r="D65" s="503">
        <f t="shared" si="0"/>
        <v>1</v>
      </c>
      <c r="E65" s="266" t="s">
        <v>468</v>
      </c>
      <c r="F65" s="431"/>
      <c r="G65" s="1751"/>
      <c r="H65" s="1096" t="s">
        <v>682</v>
      </c>
      <c r="I65" s="1783"/>
      <c r="J65" s="1096" t="s">
        <v>682</v>
      </c>
      <c r="K65" s="1783"/>
      <c r="L65" s="1096" t="s">
        <v>682</v>
      </c>
      <c r="M65" s="1783"/>
      <c r="N65" s="1096"/>
      <c r="O65" s="1783"/>
      <c r="P65" s="1096"/>
      <c r="Q65" s="1783"/>
      <c r="R65" s="1096"/>
      <c r="S65" s="1783"/>
      <c r="T65" t="s">
        <v>2259</v>
      </c>
      <c r="U65">
        <v>1</v>
      </c>
    </row>
    <row r="66" spans="1:21">
      <c r="A66" s="1589"/>
      <c r="B66" s="1247" t="s">
        <v>2260</v>
      </c>
      <c r="C66" s="23"/>
      <c r="D66" s="503">
        <f t="shared" si="0"/>
        <v>0</v>
      </c>
      <c r="E66" s="266" t="s">
        <v>468</v>
      </c>
      <c r="F66" s="431"/>
      <c r="G66" s="1751"/>
      <c r="H66" s="1096"/>
      <c r="I66" s="1783"/>
      <c r="J66" s="1096"/>
      <c r="K66" s="1783"/>
      <c r="L66" s="1096"/>
      <c r="M66" s="1783"/>
      <c r="N66" s="1096"/>
      <c r="O66" s="1783"/>
      <c r="P66" s="1096"/>
      <c r="Q66" s="1783"/>
      <c r="R66" s="1096"/>
      <c r="S66" s="1783"/>
    </row>
    <row r="67" spans="1:21">
      <c r="A67" s="1589"/>
      <c r="B67" s="1247" t="s">
        <v>2261</v>
      </c>
      <c r="C67" s="23"/>
      <c r="D67" s="503">
        <f t="shared" si="0"/>
        <v>3</v>
      </c>
      <c r="E67" s="266" t="s">
        <v>468</v>
      </c>
      <c r="F67" s="431"/>
      <c r="G67" s="1751"/>
      <c r="H67" s="1096" t="s">
        <v>682</v>
      </c>
      <c r="I67" s="1783"/>
      <c r="J67" s="1096" t="s">
        <v>682</v>
      </c>
      <c r="K67" s="1783"/>
      <c r="L67" s="1096" t="s">
        <v>682</v>
      </c>
      <c r="M67" s="1783"/>
      <c r="N67" s="1096"/>
      <c r="O67" s="1783"/>
      <c r="P67" s="1096"/>
      <c r="Q67" s="1783"/>
      <c r="R67" s="1096"/>
      <c r="S67" s="1783"/>
      <c r="T67" t="s">
        <v>2262</v>
      </c>
      <c r="U67">
        <v>3</v>
      </c>
    </row>
    <row r="68" spans="1:21">
      <c r="A68" s="1589"/>
      <c r="B68" s="1247" t="s">
        <v>2263</v>
      </c>
      <c r="C68" s="23"/>
      <c r="D68" s="503">
        <v>2</v>
      </c>
      <c r="E68" s="266" t="s">
        <v>468</v>
      </c>
      <c r="F68" s="431"/>
      <c r="G68" s="1751"/>
      <c r="H68" s="1096" t="s">
        <v>682</v>
      </c>
      <c r="I68" s="1783"/>
      <c r="J68" s="1096" t="s">
        <v>682</v>
      </c>
      <c r="K68" s="1783"/>
      <c r="L68" s="1096" t="s">
        <v>682</v>
      </c>
      <c r="M68" s="1783"/>
      <c r="N68" s="1096"/>
      <c r="O68" s="1783"/>
      <c r="P68" s="1096"/>
      <c r="Q68" s="1783"/>
      <c r="R68" s="1096"/>
      <c r="S68" s="1783"/>
    </row>
    <row r="69" spans="1:21">
      <c r="A69" s="1589"/>
      <c r="B69" s="1247"/>
      <c r="C69" s="23"/>
      <c r="D69" s="503"/>
      <c r="E69" s="266"/>
      <c r="F69" s="431"/>
      <c r="G69" s="1751"/>
      <c r="H69" s="1096"/>
      <c r="I69" s="1783"/>
      <c r="J69" s="1096"/>
      <c r="K69" s="1783"/>
      <c r="L69" s="1096"/>
      <c r="M69" s="1783"/>
      <c r="N69" s="1096"/>
      <c r="O69" s="1783"/>
      <c r="P69" s="1096"/>
      <c r="Q69" s="1783"/>
      <c r="R69" s="1096"/>
      <c r="S69" s="1783"/>
    </row>
    <row r="70" spans="1:21" s="267" customFormat="1" ht="30">
      <c r="A70" s="1589"/>
      <c r="B70" s="1893" t="s">
        <v>2264</v>
      </c>
      <c r="C70" s="517"/>
      <c r="D70" s="518">
        <v>2</v>
      </c>
      <c r="E70" s="693" t="s">
        <v>468</v>
      </c>
      <c r="F70" s="463"/>
      <c r="G70" s="1865"/>
      <c r="H70" s="1880"/>
      <c r="I70" s="1932">
        <v>110000</v>
      </c>
      <c r="J70" s="1880"/>
      <c r="K70" s="1867">
        <v>110000</v>
      </c>
      <c r="L70" s="1880" t="s">
        <v>682</v>
      </c>
      <c r="M70" s="1868"/>
      <c r="N70" s="1880"/>
      <c r="O70" s="1932">
        <v>689758</v>
      </c>
      <c r="P70" s="1880"/>
      <c r="Q70" s="1868"/>
      <c r="R70" s="1880"/>
      <c r="S70" s="1868"/>
    </row>
    <row r="71" spans="1:21">
      <c r="A71" s="1589"/>
      <c r="B71" s="1113"/>
      <c r="C71" s="23"/>
      <c r="D71" s="503"/>
      <c r="E71" s="266"/>
      <c r="F71" s="431"/>
      <c r="G71" s="1751"/>
      <c r="H71" s="1096"/>
      <c r="I71" s="1783"/>
      <c r="J71" s="1096"/>
      <c r="K71" s="1783"/>
      <c r="L71" s="1096"/>
      <c r="M71" s="1783"/>
      <c r="N71" s="1096"/>
      <c r="O71" s="1783"/>
      <c r="P71" s="1096"/>
      <c r="Q71" s="1783"/>
      <c r="R71" s="1096"/>
      <c r="S71" s="1783"/>
    </row>
    <row r="72" spans="1:21">
      <c r="A72" s="1589"/>
      <c r="B72" s="1113" t="s">
        <v>2265</v>
      </c>
      <c r="C72" s="23"/>
      <c r="D72" s="503"/>
      <c r="E72" s="266"/>
      <c r="F72" s="431"/>
      <c r="G72" s="1751"/>
      <c r="H72" s="1096"/>
      <c r="I72" s="1783"/>
      <c r="J72" s="1096"/>
      <c r="K72" s="1783"/>
      <c r="L72" s="1096"/>
      <c r="M72" s="1783"/>
      <c r="N72" s="1096"/>
      <c r="O72" s="1783"/>
      <c r="P72" s="1096"/>
      <c r="Q72" s="1783"/>
      <c r="R72" s="1096"/>
      <c r="S72" s="1783"/>
    </row>
    <row r="73" spans="1:21">
      <c r="A73" s="1589"/>
      <c r="B73" s="1247" t="s">
        <v>2266</v>
      </c>
      <c r="C73" s="23"/>
      <c r="D73" s="503">
        <f t="shared" ref="D73:D81" si="1">U73</f>
        <v>2</v>
      </c>
      <c r="E73" s="266" t="s">
        <v>468</v>
      </c>
      <c r="F73" s="431"/>
      <c r="G73" s="1751"/>
      <c r="H73" s="1096" t="s">
        <v>682</v>
      </c>
      <c r="I73" s="1783"/>
      <c r="J73" s="1096" t="s">
        <v>682</v>
      </c>
      <c r="K73" s="1783"/>
      <c r="L73" s="1096" t="s">
        <v>682</v>
      </c>
      <c r="M73" s="1783"/>
      <c r="N73" s="1096"/>
      <c r="O73" s="1783"/>
      <c r="P73" s="1096"/>
      <c r="Q73" s="1783"/>
      <c r="R73" s="1096"/>
      <c r="S73" s="1783"/>
      <c r="T73" t="s">
        <v>2267</v>
      </c>
      <c r="U73">
        <v>2</v>
      </c>
    </row>
    <row r="74" spans="1:21">
      <c r="A74" s="1589"/>
      <c r="B74" s="1247" t="s">
        <v>2268</v>
      </c>
      <c r="C74" s="23"/>
      <c r="D74" s="503">
        <f t="shared" si="1"/>
        <v>12</v>
      </c>
      <c r="E74" s="266" t="s">
        <v>468</v>
      </c>
      <c r="F74" s="431"/>
      <c r="G74" s="1751"/>
      <c r="H74" s="1096" t="s">
        <v>682</v>
      </c>
      <c r="I74" s="1783"/>
      <c r="J74" s="1096" t="s">
        <v>682</v>
      </c>
      <c r="K74" s="1783"/>
      <c r="L74" s="1096" t="s">
        <v>682</v>
      </c>
      <c r="M74" s="1783"/>
      <c r="N74" s="1096"/>
      <c r="O74" s="1783"/>
      <c r="P74" s="1096"/>
      <c r="Q74" s="1783"/>
      <c r="R74" s="1096"/>
      <c r="S74" s="1783"/>
      <c r="T74" t="s">
        <v>2269</v>
      </c>
      <c r="U74">
        <v>12</v>
      </c>
    </row>
    <row r="75" spans="1:21">
      <c r="A75" s="1589"/>
      <c r="B75" s="1247" t="s">
        <v>2270</v>
      </c>
      <c r="C75" s="23"/>
      <c r="D75" s="503">
        <f t="shared" si="1"/>
        <v>10</v>
      </c>
      <c r="E75" s="266" t="s">
        <v>468</v>
      </c>
      <c r="F75" s="431"/>
      <c r="G75" s="1751"/>
      <c r="H75" s="1096" t="s">
        <v>682</v>
      </c>
      <c r="I75" s="1783"/>
      <c r="J75" s="1096" t="s">
        <v>682</v>
      </c>
      <c r="K75" s="1783"/>
      <c r="L75" s="1096" t="s">
        <v>682</v>
      </c>
      <c r="M75" s="1783"/>
      <c r="N75" s="1096"/>
      <c r="O75" s="1783"/>
      <c r="P75" s="1096"/>
      <c r="Q75" s="1783"/>
      <c r="R75" s="1096"/>
      <c r="S75" s="1783"/>
      <c r="T75" t="s">
        <v>2271</v>
      </c>
      <c r="U75">
        <v>10</v>
      </c>
    </row>
    <row r="76" spans="1:21">
      <c r="A76" s="1589"/>
      <c r="B76" s="1247" t="s">
        <v>2272</v>
      </c>
      <c r="C76" s="23"/>
      <c r="D76" s="503">
        <v>4</v>
      </c>
      <c r="E76" s="266" t="s">
        <v>468</v>
      </c>
      <c r="F76" s="431"/>
      <c r="G76" s="1751"/>
      <c r="H76" s="1096" t="s">
        <v>682</v>
      </c>
      <c r="I76" s="1783"/>
      <c r="J76" s="1096" t="s">
        <v>682</v>
      </c>
      <c r="K76" s="1783"/>
      <c r="L76" s="1096" t="s">
        <v>682</v>
      </c>
      <c r="M76" s="1783"/>
      <c r="N76" s="1096"/>
      <c r="O76" s="1783"/>
      <c r="P76" s="1096"/>
      <c r="Q76" s="1783"/>
      <c r="R76" s="1096"/>
      <c r="S76" s="1783"/>
    </row>
    <row r="77" spans="1:21">
      <c r="A77" s="1589"/>
      <c r="B77" s="1247" t="s">
        <v>2273</v>
      </c>
      <c r="C77" s="23"/>
      <c r="D77" s="503">
        <f t="shared" si="1"/>
        <v>2</v>
      </c>
      <c r="E77" s="266" t="s">
        <v>468</v>
      </c>
      <c r="F77" s="431"/>
      <c r="G77" s="1751"/>
      <c r="H77" s="1096" t="s">
        <v>682</v>
      </c>
      <c r="I77" s="1783"/>
      <c r="J77" s="1096" t="s">
        <v>682</v>
      </c>
      <c r="K77" s="1783"/>
      <c r="L77" s="1096" t="s">
        <v>682</v>
      </c>
      <c r="M77" s="1783"/>
      <c r="N77" s="1096"/>
      <c r="O77" s="1783"/>
      <c r="P77" s="1096"/>
      <c r="Q77" s="1783"/>
      <c r="R77" s="1096"/>
      <c r="S77" s="1783"/>
      <c r="T77" t="s">
        <v>2274</v>
      </c>
      <c r="U77">
        <v>2</v>
      </c>
    </row>
    <row r="78" spans="1:21">
      <c r="A78" s="1589"/>
      <c r="B78" s="1247" t="s">
        <v>2275</v>
      </c>
      <c r="C78" s="23"/>
      <c r="D78" s="503">
        <f t="shared" si="1"/>
        <v>3</v>
      </c>
      <c r="E78" s="266" t="s">
        <v>468</v>
      </c>
      <c r="F78" s="431"/>
      <c r="G78" s="1751"/>
      <c r="H78" s="1096" t="s">
        <v>682</v>
      </c>
      <c r="I78" s="1783"/>
      <c r="J78" s="1096" t="s">
        <v>682</v>
      </c>
      <c r="K78" s="1783"/>
      <c r="L78" s="1096" t="s">
        <v>682</v>
      </c>
      <c r="M78" s="1783"/>
      <c r="N78" s="1096"/>
      <c r="O78" s="1783"/>
      <c r="P78" s="1096"/>
      <c r="Q78" s="1783"/>
      <c r="R78" s="1096"/>
      <c r="S78" s="1783"/>
      <c r="T78" t="s">
        <v>2276</v>
      </c>
      <c r="U78">
        <v>3</v>
      </c>
    </row>
    <row r="79" spans="1:21">
      <c r="A79" s="1589"/>
      <c r="B79" s="1247" t="s">
        <v>2277</v>
      </c>
      <c r="C79" s="23"/>
      <c r="D79" s="503">
        <f t="shared" si="1"/>
        <v>1</v>
      </c>
      <c r="E79" s="266" t="s">
        <v>468</v>
      </c>
      <c r="F79" s="431"/>
      <c r="G79" s="1751"/>
      <c r="H79" s="1096" t="s">
        <v>682</v>
      </c>
      <c r="I79" s="1783"/>
      <c r="J79" s="1096" t="s">
        <v>682</v>
      </c>
      <c r="K79" s="1783"/>
      <c r="L79" s="1096" t="s">
        <v>682</v>
      </c>
      <c r="M79" s="1783"/>
      <c r="N79" s="1096"/>
      <c r="O79" s="1783"/>
      <c r="P79" s="1096"/>
      <c r="Q79" s="1783"/>
      <c r="R79" s="1096"/>
      <c r="S79" s="1783"/>
      <c r="T79" t="s">
        <v>2278</v>
      </c>
      <c r="U79">
        <v>1</v>
      </c>
    </row>
    <row r="80" spans="1:21">
      <c r="A80" s="1589"/>
      <c r="B80" s="1247" t="s">
        <v>2279</v>
      </c>
      <c r="C80" s="23"/>
      <c r="D80" s="503">
        <f t="shared" si="1"/>
        <v>12</v>
      </c>
      <c r="E80" s="266" t="s">
        <v>468</v>
      </c>
      <c r="F80" s="431"/>
      <c r="G80" s="1751"/>
      <c r="H80" s="1096" t="s">
        <v>682</v>
      </c>
      <c r="I80" s="1783"/>
      <c r="J80" s="1096" t="s">
        <v>682</v>
      </c>
      <c r="K80" s="1783"/>
      <c r="L80" s="1096" t="s">
        <v>682</v>
      </c>
      <c r="M80" s="1783"/>
      <c r="N80" s="1096"/>
      <c r="O80" s="1783"/>
      <c r="P80" s="1096"/>
      <c r="Q80" s="1783"/>
      <c r="R80" s="1096"/>
      <c r="S80" s="1783"/>
      <c r="T80" t="s">
        <v>2280</v>
      </c>
      <c r="U80">
        <v>12</v>
      </c>
    </row>
    <row r="81" spans="1:36">
      <c r="A81" s="1589"/>
      <c r="B81" s="1247" t="s">
        <v>2281</v>
      </c>
      <c r="C81" s="23"/>
      <c r="D81" s="503">
        <f t="shared" si="1"/>
        <v>10</v>
      </c>
      <c r="E81" s="266" t="s">
        <v>468</v>
      </c>
      <c r="F81" s="431"/>
      <c r="G81" s="1751"/>
      <c r="H81" s="1096" t="s">
        <v>682</v>
      </c>
      <c r="I81" s="1783"/>
      <c r="J81" s="1096" t="s">
        <v>682</v>
      </c>
      <c r="K81" s="1783"/>
      <c r="L81" s="1096" t="s">
        <v>682</v>
      </c>
      <c r="M81" s="1783"/>
      <c r="N81" s="1096"/>
      <c r="O81" s="1783"/>
      <c r="P81" s="1096"/>
      <c r="Q81" s="1783"/>
      <c r="R81" s="1096"/>
      <c r="S81" s="1783"/>
      <c r="T81" t="s">
        <v>2282</v>
      </c>
      <c r="U81">
        <v>10</v>
      </c>
    </row>
    <row r="82" spans="1:36">
      <c r="A82" s="1589"/>
      <c r="B82" s="1247"/>
      <c r="C82" s="23"/>
      <c r="D82" s="503"/>
      <c r="E82" s="266"/>
      <c r="F82" s="431"/>
      <c r="G82" s="1751"/>
      <c r="H82" s="1096"/>
      <c r="I82" s="1783"/>
      <c r="J82" s="1096"/>
      <c r="K82" s="1783"/>
      <c r="L82" s="1096"/>
      <c r="M82" s="1783"/>
      <c r="N82" s="1096"/>
      <c r="O82" s="1783"/>
      <c r="P82" s="1096"/>
      <c r="Q82" s="1783"/>
      <c r="R82" s="1096"/>
      <c r="S82" s="1783"/>
    </row>
    <row r="83" spans="1:36">
      <c r="A83" s="1589"/>
      <c r="B83" s="1451" t="s">
        <v>2283</v>
      </c>
      <c r="C83" s="23"/>
      <c r="D83" s="503"/>
      <c r="E83" s="266"/>
      <c r="F83" s="431"/>
      <c r="G83" s="1751"/>
      <c r="H83" s="1096"/>
      <c r="I83" s="1783"/>
      <c r="J83" s="1096"/>
      <c r="K83" s="1783"/>
      <c r="L83" s="1096"/>
      <c r="M83" s="1783"/>
      <c r="N83" s="1096"/>
      <c r="O83" s="1783"/>
      <c r="P83" s="1096"/>
      <c r="Q83" s="1783"/>
      <c r="R83" s="1096"/>
      <c r="S83" s="1783"/>
      <c r="U83" t="s">
        <v>2284</v>
      </c>
      <c r="W83" t="s">
        <v>2285</v>
      </c>
      <c r="X83">
        <v>10</v>
      </c>
      <c r="Z83" t="s">
        <v>2286</v>
      </c>
      <c r="AA83">
        <f>103-X83</f>
        <v>93</v>
      </c>
    </row>
    <row r="84" spans="1:36">
      <c r="A84" s="1589"/>
      <c r="B84" s="1247" t="s">
        <v>2287</v>
      </c>
      <c r="C84" s="23"/>
      <c r="D84" s="503">
        <f t="shared" ref="D84:D93" si="2">U84+W84+AA84</f>
        <v>98</v>
      </c>
      <c r="E84" s="266" t="s">
        <v>468</v>
      </c>
      <c r="F84" s="431"/>
      <c r="G84" s="1751"/>
      <c r="H84" s="1096" t="s">
        <v>682</v>
      </c>
      <c r="I84" s="1783"/>
      <c r="J84" s="1096" t="s">
        <v>682</v>
      </c>
      <c r="K84" s="1783"/>
      <c r="L84" s="1096" t="s">
        <v>682</v>
      </c>
      <c r="M84" s="1783"/>
      <c r="N84" s="1096"/>
      <c r="O84" s="1783"/>
      <c r="P84" s="1096"/>
      <c r="Q84" s="1783"/>
      <c r="R84" s="1096"/>
      <c r="S84" s="1783"/>
      <c r="T84" t="s">
        <v>2288</v>
      </c>
      <c r="U84">
        <v>4</v>
      </c>
      <c r="V84" t="s">
        <v>2288</v>
      </c>
      <c r="W84">
        <v>1</v>
      </c>
      <c r="X84">
        <f t="shared" ref="X84:X94" si="3">W84*$X$83</f>
        <v>10</v>
      </c>
      <c r="Y84" t="s">
        <v>2288</v>
      </c>
      <c r="Z84">
        <v>1</v>
      </c>
      <c r="AA84">
        <f t="shared" ref="AA84:AA93" si="4">Z84*$AA$83</f>
        <v>93</v>
      </c>
      <c r="AJ84" t="s">
        <v>663</v>
      </c>
    </row>
    <row r="85" spans="1:36">
      <c r="A85" s="1589"/>
      <c r="B85" s="1247" t="s">
        <v>2225</v>
      </c>
      <c r="C85" s="23"/>
      <c r="D85" s="503">
        <f t="shared" si="2"/>
        <v>190</v>
      </c>
      <c r="E85" s="266" t="s">
        <v>468</v>
      </c>
      <c r="F85" s="431"/>
      <c r="G85" s="1751"/>
      <c r="H85" s="1096" t="s">
        <v>682</v>
      </c>
      <c r="I85" s="1783"/>
      <c r="J85" s="1096" t="s">
        <v>682</v>
      </c>
      <c r="K85" s="1783"/>
      <c r="L85" s="1096" t="s">
        <v>682</v>
      </c>
      <c r="M85" s="1783"/>
      <c r="N85" s="1096"/>
      <c r="O85" s="1783"/>
      <c r="P85" s="1096"/>
      <c r="Q85" s="1783"/>
      <c r="R85" s="1096"/>
      <c r="S85" s="1783"/>
      <c r="T85" t="s">
        <v>2226</v>
      </c>
      <c r="U85">
        <v>2</v>
      </c>
      <c r="V85" t="s">
        <v>2226</v>
      </c>
      <c r="W85">
        <v>2</v>
      </c>
      <c r="X85">
        <f t="shared" si="3"/>
        <v>20</v>
      </c>
      <c r="Y85" t="s">
        <v>2226</v>
      </c>
      <c r="Z85">
        <v>2</v>
      </c>
      <c r="AA85">
        <f t="shared" si="4"/>
        <v>186</v>
      </c>
      <c r="AJ85" t="s">
        <v>663</v>
      </c>
    </row>
    <row r="86" spans="1:36">
      <c r="A86" s="1589"/>
      <c r="B86" s="1247" t="s">
        <v>2249</v>
      </c>
      <c r="C86" s="23"/>
      <c r="D86" s="503">
        <f t="shared" si="2"/>
        <v>96</v>
      </c>
      <c r="E86" s="266" t="s">
        <v>468</v>
      </c>
      <c r="F86" s="431"/>
      <c r="G86" s="1751"/>
      <c r="H86" s="1096" t="s">
        <v>682</v>
      </c>
      <c r="I86" s="1783"/>
      <c r="J86" s="1096" t="s">
        <v>682</v>
      </c>
      <c r="K86" s="1783"/>
      <c r="L86" s="1096" t="s">
        <v>682</v>
      </c>
      <c r="M86" s="1783"/>
      <c r="N86" s="1096"/>
      <c r="O86" s="1783"/>
      <c r="P86" s="1096"/>
      <c r="Q86" s="1783"/>
      <c r="R86" s="1096"/>
      <c r="S86" s="1783"/>
      <c r="T86" t="s">
        <v>2250</v>
      </c>
      <c r="U86">
        <v>1</v>
      </c>
      <c r="V86" t="s">
        <v>2250</v>
      </c>
      <c r="W86">
        <v>2</v>
      </c>
      <c r="X86">
        <f t="shared" si="3"/>
        <v>20</v>
      </c>
      <c r="Y86" t="s">
        <v>2250</v>
      </c>
      <c r="Z86">
        <v>1</v>
      </c>
      <c r="AA86">
        <f t="shared" si="4"/>
        <v>93</v>
      </c>
      <c r="AJ86" t="s">
        <v>663</v>
      </c>
    </row>
    <row r="87" spans="1:36">
      <c r="A87" s="1589"/>
      <c r="B87" s="1247" t="s">
        <v>2268</v>
      </c>
      <c r="C87" s="23"/>
      <c r="D87" s="503">
        <f t="shared" si="2"/>
        <v>375</v>
      </c>
      <c r="E87" s="266" t="s">
        <v>468</v>
      </c>
      <c r="F87" s="431"/>
      <c r="G87" s="1751"/>
      <c r="H87" s="1096" t="s">
        <v>682</v>
      </c>
      <c r="I87" s="1783"/>
      <c r="J87" s="1096" t="s">
        <v>682</v>
      </c>
      <c r="K87" s="1783"/>
      <c r="L87" s="1096" t="s">
        <v>682</v>
      </c>
      <c r="M87" s="1783"/>
      <c r="N87" s="1096"/>
      <c r="O87" s="1783"/>
      <c r="P87" s="1096"/>
      <c r="Q87" s="1783"/>
      <c r="R87" s="1096"/>
      <c r="S87" s="1783"/>
      <c r="T87" t="s">
        <v>2269</v>
      </c>
      <c r="U87">
        <v>3</v>
      </c>
      <c r="X87">
        <f t="shared" si="3"/>
        <v>0</v>
      </c>
      <c r="Y87" t="s">
        <v>2269</v>
      </c>
      <c r="Z87">
        <v>4</v>
      </c>
      <c r="AA87">
        <f t="shared" si="4"/>
        <v>372</v>
      </c>
      <c r="AJ87" t="s">
        <v>663</v>
      </c>
    </row>
    <row r="88" spans="1:36">
      <c r="A88" s="1589"/>
      <c r="B88" s="1247" t="s">
        <v>2270</v>
      </c>
      <c r="C88" s="23"/>
      <c r="D88" s="503">
        <f t="shared" si="2"/>
        <v>7</v>
      </c>
      <c r="E88" s="266" t="s">
        <v>468</v>
      </c>
      <c r="F88" s="431"/>
      <c r="G88" s="1751"/>
      <c r="H88" s="1096" t="s">
        <v>682</v>
      </c>
      <c r="I88" s="1783"/>
      <c r="J88" s="1096" t="s">
        <v>682</v>
      </c>
      <c r="K88" s="1783"/>
      <c r="L88" s="1096" t="s">
        <v>682</v>
      </c>
      <c r="M88" s="1783"/>
      <c r="N88" s="1096"/>
      <c r="O88" s="1783"/>
      <c r="P88" s="1096"/>
      <c r="Q88" s="1783"/>
      <c r="R88" s="1096"/>
      <c r="S88" s="1783"/>
      <c r="T88" t="s">
        <v>2271</v>
      </c>
      <c r="U88">
        <v>3</v>
      </c>
      <c r="V88" t="s">
        <v>2271</v>
      </c>
      <c r="W88">
        <v>4</v>
      </c>
      <c r="X88">
        <f t="shared" si="3"/>
        <v>40</v>
      </c>
      <c r="AA88">
        <f t="shared" si="4"/>
        <v>0</v>
      </c>
      <c r="AJ88" t="s">
        <v>663</v>
      </c>
    </row>
    <row r="89" spans="1:36">
      <c r="A89" s="1589"/>
      <c r="B89" s="1247" t="s">
        <v>2273</v>
      </c>
      <c r="C89" s="23"/>
      <c r="D89" s="503">
        <f t="shared" si="2"/>
        <v>98</v>
      </c>
      <c r="E89" s="266" t="s">
        <v>468</v>
      </c>
      <c r="F89" s="431"/>
      <c r="G89" s="1751"/>
      <c r="H89" s="1096" t="s">
        <v>682</v>
      </c>
      <c r="I89" s="1783"/>
      <c r="J89" s="1096" t="s">
        <v>682</v>
      </c>
      <c r="K89" s="1783"/>
      <c r="L89" s="1096" t="s">
        <v>682</v>
      </c>
      <c r="M89" s="1783"/>
      <c r="N89" s="1096"/>
      <c r="O89" s="1783"/>
      <c r="P89" s="1096"/>
      <c r="Q89" s="1783"/>
      <c r="R89" s="1096"/>
      <c r="S89" s="1783"/>
      <c r="T89" t="s">
        <v>2274</v>
      </c>
      <c r="U89">
        <v>4</v>
      </c>
      <c r="V89" t="s">
        <v>2274</v>
      </c>
      <c r="W89">
        <v>1</v>
      </c>
      <c r="X89">
        <f t="shared" si="3"/>
        <v>10</v>
      </c>
      <c r="Y89" t="s">
        <v>2274</v>
      </c>
      <c r="Z89">
        <v>1</v>
      </c>
      <c r="AA89">
        <f t="shared" si="4"/>
        <v>93</v>
      </c>
      <c r="AJ89" t="s">
        <v>663</v>
      </c>
    </row>
    <row r="90" spans="1:36">
      <c r="A90" s="1589"/>
      <c r="B90" s="1247" t="s">
        <v>2289</v>
      </c>
      <c r="C90" s="23"/>
      <c r="D90" s="503">
        <f t="shared" si="2"/>
        <v>375</v>
      </c>
      <c r="E90" s="266" t="s">
        <v>468</v>
      </c>
      <c r="F90" s="431"/>
      <c r="G90" s="1751"/>
      <c r="H90" s="1096" t="s">
        <v>682</v>
      </c>
      <c r="I90" s="1783"/>
      <c r="J90" s="1096" t="s">
        <v>682</v>
      </c>
      <c r="K90" s="1783"/>
      <c r="L90" s="1096" t="s">
        <v>682</v>
      </c>
      <c r="M90" s="1783"/>
      <c r="N90" s="1096"/>
      <c r="O90" s="1783"/>
      <c r="P90" s="1096"/>
      <c r="Q90" s="1783"/>
      <c r="R90" s="1096"/>
      <c r="S90" s="1783"/>
      <c r="T90" t="s">
        <v>2290</v>
      </c>
      <c r="U90">
        <v>3</v>
      </c>
      <c r="X90">
        <f t="shared" si="3"/>
        <v>0</v>
      </c>
      <c r="Y90" t="s">
        <v>2290</v>
      </c>
      <c r="Z90">
        <v>4</v>
      </c>
      <c r="AA90">
        <f t="shared" si="4"/>
        <v>372</v>
      </c>
      <c r="AJ90" t="s">
        <v>663</v>
      </c>
    </row>
    <row r="91" spans="1:36">
      <c r="A91" s="1589"/>
      <c r="B91" s="1247" t="s">
        <v>2291</v>
      </c>
      <c r="C91" s="23"/>
      <c r="D91" s="503">
        <f t="shared" si="2"/>
        <v>7</v>
      </c>
      <c r="E91" s="266" t="s">
        <v>468</v>
      </c>
      <c r="F91" s="431"/>
      <c r="G91" s="1751"/>
      <c r="H91" s="1096" t="s">
        <v>682</v>
      </c>
      <c r="I91" s="1783"/>
      <c r="J91" s="1096" t="s">
        <v>682</v>
      </c>
      <c r="K91" s="1783"/>
      <c r="L91" s="1096" t="s">
        <v>682</v>
      </c>
      <c r="M91" s="1783"/>
      <c r="N91" s="1096"/>
      <c r="O91" s="1783"/>
      <c r="P91" s="1096"/>
      <c r="Q91" s="1783"/>
      <c r="R91" s="1096"/>
      <c r="S91" s="1783"/>
      <c r="T91" t="s">
        <v>2292</v>
      </c>
      <c r="U91">
        <v>3</v>
      </c>
      <c r="V91" t="s">
        <v>2292</v>
      </c>
      <c r="W91">
        <v>4</v>
      </c>
      <c r="X91">
        <f t="shared" si="3"/>
        <v>40</v>
      </c>
      <c r="AA91">
        <f t="shared" si="4"/>
        <v>0</v>
      </c>
      <c r="AJ91" t="s">
        <v>663</v>
      </c>
    </row>
    <row r="92" spans="1:36">
      <c r="A92" s="1589"/>
      <c r="B92" s="1247" t="s">
        <v>2293</v>
      </c>
      <c r="C92" s="23"/>
      <c r="D92" s="503">
        <f t="shared" si="2"/>
        <v>98</v>
      </c>
      <c r="E92" s="266" t="s">
        <v>468</v>
      </c>
      <c r="F92" s="431"/>
      <c r="G92" s="1751"/>
      <c r="H92" s="1096" t="s">
        <v>682</v>
      </c>
      <c r="I92" s="1783"/>
      <c r="J92" s="1096" t="s">
        <v>682</v>
      </c>
      <c r="K92" s="1783"/>
      <c r="L92" s="1096" t="s">
        <v>682</v>
      </c>
      <c r="M92" s="1783"/>
      <c r="N92" s="1096"/>
      <c r="O92" s="1783"/>
      <c r="P92" s="1096"/>
      <c r="Q92" s="1783"/>
      <c r="R92" s="1096"/>
      <c r="S92" s="1783"/>
      <c r="T92" t="s">
        <v>2294</v>
      </c>
      <c r="U92">
        <v>4</v>
      </c>
      <c r="V92" t="s">
        <v>2294</v>
      </c>
      <c r="W92">
        <v>1</v>
      </c>
      <c r="X92">
        <f t="shared" si="3"/>
        <v>10</v>
      </c>
      <c r="Y92" t="s">
        <v>2294</v>
      </c>
      <c r="Z92">
        <v>1</v>
      </c>
      <c r="AA92">
        <f t="shared" si="4"/>
        <v>93</v>
      </c>
    </row>
    <row r="93" spans="1:36">
      <c r="A93" s="1589"/>
      <c r="B93" s="1247" t="s">
        <v>2279</v>
      </c>
      <c r="C93" s="23"/>
      <c r="D93" s="503">
        <f t="shared" si="2"/>
        <v>375</v>
      </c>
      <c r="E93" s="266" t="s">
        <v>468</v>
      </c>
      <c r="F93" s="431"/>
      <c r="G93" s="1751"/>
      <c r="H93" s="1096" t="s">
        <v>682</v>
      </c>
      <c r="I93" s="1783"/>
      <c r="J93" s="1096" t="s">
        <v>682</v>
      </c>
      <c r="K93" s="1783"/>
      <c r="L93" s="1096" t="s">
        <v>682</v>
      </c>
      <c r="M93" s="1783"/>
      <c r="N93" s="1096"/>
      <c r="O93" s="1783"/>
      <c r="P93" s="1096"/>
      <c r="Q93" s="1783"/>
      <c r="R93" s="1096"/>
      <c r="S93" s="1783"/>
      <c r="T93" t="s">
        <v>2280</v>
      </c>
      <c r="U93">
        <v>3</v>
      </c>
      <c r="X93">
        <f t="shared" si="3"/>
        <v>0</v>
      </c>
      <c r="Y93" t="s">
        <v>2280</v>
      </c>
      <c r="Z93">
        <v>4</v>
      </c>
      <c r="AA93">
        <f t="shared" si="4"/>
        <v>372</v>
      </c>
    </row>
    <row r="94" spans="1:36">
      <c r="A94" s="1589"/>
      <c r="B94" s="1247" t="s">
        <v>2281</v>
      </c>
      <c r="C94" s="23"/>
      <c r="D94" s="503">
        <f>U94+W94+AD94</f>
        <v>7</v>
      </c>
      <c r="E94" s="266" t="s">
        <v>468</v>
      </c>
      <c r="F94" s="431"/>
      <c r="G94" s="1751"/>
      <c r="H94" s="1096" t="s">
        <v>682</v>
      </c>
      <c r="I94" s="1783"/>
      <c r="J94" s="1096" t="s">
        <v>682</v>
      </c>
      <c r="K94" s="1783"/>
      <c r="L94" s="1096" t="s">
        <v>682</v>
      </c>
      <c r="M94" s="1783"/>
      <c r="N94" s="1096"/>
      <c r="O94" s="1783"/>
      <c r="P94" s="1096"/>
      <c r="Q94" s="1783"/>
      <c r="R94" s="1096"/>
      <c r="S94" s="1783"/>
      <c r="T94" t="s">
        <v>2282</v>
      </c>
      <c r="U94">
        <v>3</v>
      </c>
      <c r="V94" t="s">
        <v>2282</v>
      </c>
      <c r="W94">
        <v>4</v>
      </c>
      <c r="X94">
        <f t="shared" si="3"/>
        <v>40</v>
      </c>
      <c r="AC94" t="s">
        <v>663</v>
      </c>
    </row>
    <row r="95" spans="1:36">
      <c r="A95" s="1589"/>
      <c r="B95" s="1247"/>
      <c r="C95" s="23"/>
      <c r="D95" s="503"/>
      <c r="E95" s="266"/>
      <c r="F95" s="431"/>
      <c r="G95" s="1751"/>
      <c r="H95" s="1096"/>
      <c r="I95" s="1783"/>
      <c r="J95" s="1096"/>
      <c r="K95" s="1783"/>
      <c r="L95" s="1096"/>
      <c r="M95" s="1783"/>
      <c r="N95" s="1096"/>
      <c r="O95" s="1783"/>
      <c r="P95" s="1096"/>
      <c r="Q95" s="1783"/>
      <c r="R95" s="1096"/>
      <c r="S95" s="1783"/>
      <c r="AC95" t="s">
        <v>663</v>
      </c>
    </row>
    <row r="96" spans="1:36">
      <c r="A96" s="1589"/>
      <c r="B96" s="1451" t="s">
        <v>2295</v>
      </c>
      <c r="C96" s="23" t="s">
        <v>2296</v>
      </c>
      <c r="D96" s="503"/>
      <c r="E96" s="266"/>
      <c r="F96" s="431"/>
      <c r="G96" s="1751"/>
      <c r="H96" s="1096"/>
      <c r="I96" s="1783"/>
      <c r="J96" s="1096"/>
      <c r="K96" s="1783"/>
      <c r="L96" s="1096"/>
      <c r="M96" s="1783"/>
      <c r="N96" s="1096"/>
      <c r="O96" s="1783"/>
      <c r="P96" s="1096"/>
      <c r="Q96" s="1783"/>
      <c r="R96" s="1096"/>
      <c r="S96" s="1783"/>
    </row>
    <row r="97" spans="1:19">
      <c r="A97" s="1589"/>
      <c r="B97" s="1247" t="s">
        <v>2297</v>
      </c>
      <c r="C97" s="23"/>
      <c r="D97" s="503">
        <v>22</v>
      </c>
      <c r="E97" s="266" t="s">
        <v>468</v>
      </c>
      <c r="F97" s="431">
        <v>456</v>
      </c>
      <c r="G97" s="1751">
        <f>D97*F97</f>
        <v>10032</v>
      </c>
      <c r="H97" s="1096"/>
      <c r="I97" s="1855">
        <f>$G97</f>
        <v>10032</v>
      </c>
      <c r="J97" s="1096"/>
      <c r="K97" s="1855">
        <f>$G97</f>
        <v>10032</v>
      </c>
      <c r="L97" s="1096"/>
      <c r="M97" s="1855">
        <f>$G97</f>
        <v>10032</v>
      </c>
      <c r="N97" s="1096"/>
      <c r="O97" s="1855">
        <f>$G97</f>
        <v>10032</v>
      </c>
      <c r="P97" s="1096"/>
      <c r="Q97" s="1855">
        <f>$G97</f>
        <v>10032</v>
      </c>
      <c r="R97" s="1096"/>
      <c r="S97" s="1855">
        <f>$G97</f>
        <v>10032</v>
      </c>
    </row>
    <row r="98" spans="1:19">
      <c r="A98" s="1589"/>
      <c r="B98" s="1247" t="s">
        <v>2298</v>
      </c>
      <c r="C98" s="23"/>
      <c r="D98" s="503">
        <v>1</v>
      </c>
      <c r="E98" s="266" t="s">
        <v>462</v>
      </c>
      <c r="F98" s="431">
        <f>G97*0.075</f>
        <v>752.4</v>
      </c>
      <c r="G98" s="1751">
        <f>D98*F98</f>
        <v>752.4</v>
      </c>
      <c r="H98" s="1096"/>
      <c r="I98" s="1855">
        <f t="shared" ref="I98:S100" si="5">$G98</f>
        <v>752.4</v>
      </c>
      <c r="J98" s="1096"/>
      <c r="K98" s="1855">
        <f t="shared" si="5"/>
        <v>752.4</v>
      </c>
      <c r="L98" s="1096"/>
      <c r="M98" s="1855">
        <f t="shared" si="5"/>
        <v>752.4</v>
      </c>
      <c r="N98" s="1096"/>
      <c r="O98" s="1855">
        <f t="shared" si="5"/>
        <v>752.4</v>
      </c>
      <c r="P98" s="1096"/>
      <c r="Q98" s="1855">
        <f t="shared" si="5"/>
        <v>752.4</v>
      </c>
      <c r="R98" s="1096"/>
      <c r="S98" s="1855">
        <f t="shared" si="5"/>
        <v>752.4</v>
      </c>
    </row>
    <row r="99" spans="1:19">
      <c r="A99" s="1589"/>
      <c r="B99" s="1247" t="s">
        <v>2299</v>
      </c>
      <c r="C99" s="23"/>
      <c r="D99" s="503">
        <v>1</v>
      </c>
      <c r="E99" s="266" t="s">
        <v>462</v>
      </c>
      <c r="F99" s="431">
        <v>2013</v>
      </c>
      <c r="G99" s="1751">
        <f>D99*F99</f>
        <v>2013</v>
      </c>
      <c r="H99" s="1096"/>
      <c r="I99" s="1855">
        <f t="shared" si="5"/>
        <v>2013</v>
      </c>
      <c r="J99" s="1096"/>
      <c r="K99" s="1855">
        <f t="shared" si="5"/>
        <v>2013</v>
      </c>
      <c r="L99" s="1096"/>
      <c r="M99" s="1855">
        <f t="shared" si="5"/>
        <v>2013</v>
      </c>
      <c r="N99" s="1096"/>
      <c r="O99" s="1855">
        <f t="shared" si="5"/>
        <v>2013</v>
      </c>
      <c r="P99" s="1096"/>
      <c r="Q99" s="1855">
        <f t="shared" si="5"/>
        <v>2013</v>
      </c>
      <c r="R99" s="1096"/>
      <c r="S99" s="1855">
        <f t="shared" si="5"/>
        <v>2013</v>
      </c>
    </row>
    <row r="100" spans="1:19">
      <c r="A100" s="1589"/>
      <c r="B100" s="1247" t="s">
        <v>2300</v>
      </c>
      <c r="C100" s="23"/>
      <c r="D100" s="503">
        <v>22</v>
      </c>
      <c r="E100" s="266" t="s">
        <v>468</v>
      </c>
      <c r="F100" s="431">
        <v>275</v>
      </c>
      <c r="G100" s="1751">
        <f>D100*F100</f>
        <v>6050</v>
      </c>
      <c r="H100" s="1096"/>
      <c r="I100" s="1855">
        <f t="shared" si="5"/>
        <v>6050</v>
      </c>
      <c r="J100" s="1096"/>
      <c r="K100" s="1855">
        <f t="shared" si="5"/>
        <v>6050</v>
      </c>
      <c r="L100" s="1096"/>
      <c r="M100" s="1855">
        <f t="shared" si="5"/>
        <v>6050</v>
      </c>
      <c r="N100" s="1096"/>
      <c r="O100" s="1855">
        <f t="shared" si="5"/>
        <v>6050</v>
      </c>
      <c r="P100" s="1096"/>
      <c r="Q100" s="1855">
        <f t="shared" si="5"/>
        <v>6050</v>
      </c>
      <c r="R100" s="1096"/>
      <c r="S100" s="1855">
        <f t="shared" si="5"/>
        <v>6050</v>
      </c>
    </row>
    <row r="101" spans="1:19">
      <c r="A101" s="1589"/>
      <c r="B101" s="1451"/>
      <c r="C101" s="23"/>
      <c r="D101" s="503"/>
      <c r="E101" s="266"/>
      <c r="F101" s="431"/>
      <c r="G101" s="1751"/>
      <c r="H101" s="1096"/>
      <c r="I101" s="1783"/>
      <c r="J101" s="1096"/>
      <c r="K101" s="1783"/>
      <c r="L101" s="1096"/>
      <c r="M101" s="1783"/>
      <c r="N101" s="1096"/>
      <c r="O101" s="1783"/>
      <c r="P101" s="1096"/>
      <c r="Q101" s="1783"/>
      <c r="R101" s="1096"/>
      <c r="S101" s="1783"/>
    </row>
    <row r="102" spans="1:19">
      <c r="A102" s="1589"/>
      <c r="B102" s="1113" t="s">
        <v>2301</v>
      </c>
      <c r="C102" s="23"/>
      <c r="D102" s="826"/>
      <c r="E102" s="266"/>
      <c r="F102" s="737"/>
      <c r="G102" s="833"/>
      <c r="H102" s="1553"/>
      <c r="I102" s="1855">
        <v>15000</v>
      </c>
      <c r="J102" s="1553"/>
      <c r="K102" s="1855">
        <v>15000</v>
      </c>
      <c r="L102" s="1553"/>
      <c r="M102" s="1855">
        <v>15000</v>
      </c>
      <c r="N102" s="1553"/>
      <c r="O102" s="1855">
        <v>15000</v>
      </c>
      <c r="P102" s="1096"/>
      <c r="Q102" s="1855">
        <v>15000</v>
      </c>
      <c r="R102" s="1096"/>
      <c r="S102" s="1855">
        <v>15000</v>
      </c>
    </row>
    <row r="103" spans="1:19" ht="15.75" thickBot="1">
      <c r="A103" s="1589"/>
      <c r="B103" s="1113"/>
      <c r="C103" s="23"/>
      <c r="D103" s="503"/>
      <c r="E103" s="266"/>
      <c r="F103" s="431"/>
      <c r="G103" s="830"/>
      <c r="H103" s="1096"/>
      <c r="I103" s="1783"/>
      <c r="J103" s="1096"/>
      <c r="K103" s="1783"/>
      <c r="L103" s="1096"/>
      <c r="M103" s="1783"/>
      <c r="N103" s="1096"/>
      <c r="O103" s="1783"/>
      <c r="P103" s="1096"/>
      <c r="Q103" s="1783"/>
      <c r="R103" s="1096"/>
      <c r="S103" s="1783"/>
    </row>
    <row r="104" spans="1:19" ht="15.75" thickTop="1">
      <c r="A104" s="296"/>
      <c r="B104" s="301"/>
      <c r="C104" s="297"/>
      <c r="D104" s="505"/>
      <c r="E104" s="349"/>
      <c r="F104" s="282" t="s">
        <v>753</v>
      </c>
      <c r="G104" s="272"/>
      <c r="H104" s="273"/>
      <c r="I104" s="273">
        <f>SUM(I20:I103)</f>
        <v>4143847.4</v>
      </c>
      <c r="J104" s="273"/>
      <c r="K104" s="273">
        <f>SUM(K20:K103)</f>
        <v>4705323.4000000004</v>
      </c>
      <c r="L104" s="273"/>
      <c r="M104" s="273">
        <f>SUM(M20:M103)</f>
        <v>4810146.96</v>
      </c>
      <c r="N104" s="273"/>
      <c r="O104" s="273">
        <f>SUM(O20:O103)</f>
        <v>5285081.4000000004</v>
      </c>
      <c r="P104" s="273"/>
      <c r="Q104" s="273">
        <f>SUM(Q20:Q103)</f>
        <v>33847.4</v>
      </c>
      <c r="R104" s="273"/>
      <c r="S104" s="273">
        <f>SUM(S20:S103)</f>
        <v>33847.4</v>
      </c>
    </row>
    <row r="105" spans="1:19">
      <c r="A105" s="1114"/>
      <c r="B105" s="1164"/>
      <c r="C105" s="432"/>
      <c r="D105" s="506"/>
      <c r="E105" s="453"/>
      <c r="F105" s="435" t="s">
        <v>754</v>
      </c>
      <c r="G105" s="436"/>
      <c r="H105" s="1165">
        <v>0</v>
      </c>
      <c r="I105" s="1166"/>
      <c r="J105" s="1165">
        <v>0</v>
      </c>
      <c r="K105" s="1166"/>
      <c r="L105" s="1165">
        <v>0</v>
      </c>
      <c r="M105" s="1166"/>
      <c r="N105" s="1165">
        <v>0</v>
      </c>
      <c r="O105" s="1166"/>
      <c r="P105" s="1165">
        <v>0</v>
      </c>
      <c r="Q105" s="1166"/>
      <c r="R105" s="1165">
        <v>0</v>
      </c>
      <c r="S105" s="1166"/>
    </row>
    <row r="106" spans="1:19">
      <c r="A106" s="1114"/>
      <c r="B106" s="1164"/>
      <c r="C106" s="432"/>
      <c r="D106" s="506"/>
      <c r="E106" s="453"/>
      <c r="F106" s="435" t="s">
        <v>755</v>
      </c>
      <c r="G106" s="436"/>
      <c r="H106" s="1166"/>
      <c r="I106" s="1166">
        <f>I104*H105</f>
        <v>0</v>
      </c>
      <c r="J106" s="1166"/>
      <c r="K106" s="1166">
        <f>K104*J105</f>
        <v>0</v>
      </c>
      <c r="L106" s="1166"/>
      <c r="M106" s="1166">
        <f>M104*L105</f>
        <v>0</v>
      </c>
      <c r="N106" s="1166"/>
      <c r="O106" s="1166">
        <f>O104*N105</f>
        <v>0</v>
      </c>
      <c r="P106" s="1166"/>
      <c r="Q106" s="1166">
        <f>Q104*P105</f>
        <v>0</v>
      </c>
      <c r="R106" s="1166"/>
      <c r="S106" s="1166">
        <f>S104*R105</f>
        <v>0</v>
      </c>
    </row>
    <row r="107" spans="1:19">
      <c r="A107" s="1114"/>
      <c r="B107" s="1164"/>
      <c r="C107" s="432"/>
      <c r="D107" s="506"/>
      <c r="E107" s="453"/>
      <c r="F107" s="435"/>
      <c r="G107" s="436"/>
      <c r="H107" s="1166"/>
      <c r="I107" s="1166"/>
      <c r="J107" s="1166"/>
      <c r="K107" s="1166"/>
      <c r="L107" s="1166"/>
      <c r="M107" s="1166"/>
      <c r="N107" s="1166"/>
      <c r="O107" s="1166"/>
      <c r="P107" s="1166"/>
      <c r="Q107" s="1166"/>
      <c r="R107" s="1166"/>
      <c r="S107" s="1166"/>
    </row>
    <row r="108" spans="1:19">
      <c r="A108" s="1114"/>
      <c r="B108" s="1164"/>
      <c r="C108" s="432"/>
      <c r="D108" s="506"/>
      <c r="E108" s="453"/>
      <c r="F108" s="435" t="s">
        <v>756</v>
      </c>
      <c r="G108" s="436"/>
      <c r="H108" s="1166"/>
      <c r="I108" s="1166">
        <f>SUM(I104:I106)</f>
        <v>4143847.4</v>
      </c>
      <c r="J108" s="1166"/>
      <c r="K108" s="1166">
        <f>SUM(K104:K106)</f>
        <v>4705323.4000000004</v>
      </c>
      <c r="L108" s="1166"/>
      <c r="M108" s="1166">
        <f>SUM(M104:M106)</f>
        <v>4810146.96</v>
      </c>
      <c r="N108" s="1166"/>
      <c r="O108" s="1166">
        <f>SUM(O104:O106)</f>
        <v>5285081.4000000004</v>
      </c>
      <c r="P108" s="1166"/>
      <c r="Q108" s="1166">
        <f>SUM(Q104:Q106)</f>
        <v>33847.4</v>
      </c>
      <c r="R108" s="1166"/>
      <c r="S108" s="1166">
        <f>SUM(S104:S106)</f>
        <v>33847.4</v>
      </c>
    </row>
    <row r="109" spans="1:19">
      <c r="A109" s="1114"/>
      <c r="B109" s="1164"/>
      <c r="C109" s="432"/>
      <c r="D109" s="506"/>
      <c r="E109" s="453"/>
      <c r="F109" s="437" t="s">
        <v>757</v>
      </c>
      <c r="G109" s="438"/>
      <c r="H109" s="1167"/>
      <c r="I109" s="1167">
        <f>I108/'Area Calculations'!$G$4</f>
        <v>7.1610719883593728</v>
      </c>
      <c r="J109" s="1167"/>
      <c r="K109" s="1167">
        <f>K108/'Area Calculations'!$G$4</f>
        <v>8.131370763294008</v>
      </c>
      <c r="L109" s="1167"/>
      <c r="M109" s="1167">
        <f>M108/'Area Calculations'!$G$4</f>
        <v>8.3125186161893883</v>
      </c>
      <c r="N109" s="1167"/>
      <c r="O109" s="1167">
        <f>O108/'Area Calculations'!$G$4</f>
        <v>9.1332630563903354</v>
      </c>
      <c r="P109" s="1167"/>
      <c r="Q109" s="1167">
        <f>Q108/'Area Calculations'!$G$4</f>
        <v>5.8492421322946173E-2</v>
      </c>
      <c r="R109" s="1167"/>
      <c r="S109" s="1167">
        <f>S108/'Area Calculations'!$G$4</f>
        <v>5.8492421322946173E-2</v>
      </c>
    </row>
    <row r="110" spans="1:19">
      <c r="A110" s="1114"/>
      <c r="B110" s="1164"/>
      <c r="C110" s="432"/>
      <c r="D110" s="506"/>
      <c r="E110" s="453"/>
      <c r="F110" s="437" t="s">
        <v>758</v>
      </c>
      <c r="G110" s="438"/>
      <c r="H110" s="1167"/>
      <c r="I110" s="1167">
        <f>I108/'Area Calculations'!$G$9</f>
        <v>38727.545794392521</v>
      </c>
      <c r="J110" s="1167"/>
      <c r="K110" s="1167">
        <f>K108/'Area Calculations'!$G$9</f>
        <v>43974.985046728973</v>
      </c>
      <c r="L110" s="1167"/>
      <c r="M110" s="1167">
        <f>M108/'Area Calculations'!$G$9</f>
        <v>44954.644485981305</v>
      </c>
      <c r="N110" s="1167"/>
      <c r="O110" s="1167">
        <f>O108/'Area Calculations'!$G$9</f>
        <v>49393.284112149537</v>
      </c>
      <c r="P110" s="1167"/>
      <c r="Q110" s="1167">
        <f>Q108/'Area Calculations'!$G$9</f>
        <v>316.33084112149533</v>
      </c>
      <c r="R110" s="1167"/>
      <c r="S110" s="1167">
        <f>S108/'Area Calculations'!$G$9</f>
        <v>316.33084112149533</v>
      </c>
    </row>
    <row r="111" spans="1:19" ht="15.75" thickBot="1">
      <c r="A111" s="1114"/>
      <c r="B111" s="1164"/>
      <c r="C111" s="432"/>
      <c r="D111" s="506"/>
      <c r="E111" s="453"/>
      <c r="F111" s="439"/>
      <c r="G111" s="436"/>
      <c r="H111" s="1168"/>
      <c r="I111" s="1168"/>
      <c r="J111" s="1168"/>
      <c r="K111" s="1168"/>
      <c r="L111" s="1168"/>
      <c r="M111" s="1168"/>
      <c r="N111" s="1168"/>
      <c r="O111" s="1168"/>
      <c r="P111" s="1168"/>
      <c r="Q111" s="1168"/>
      <c r="R111" s="1168"/>
      <c r="S111" s="1168"/>
    </row>
    <row r="112" spans="1:19" ht="16.5" thickTop="1" thickBot="1">
      <c r="A112" s="2331" t="s">
        <v>759</v>
      </c>
      <c r="B112" s="2332"/>
      <c r="C112" s="298"/>
      <c r="D112" s="507"/>
      <c r="E112" s="350"/>
      <c r="F112" s="12"/>
      <c r="G112" s="26"/>
      <c r="H112" s="20"/>
      <c r="I112" s="20"/>
      <c r="J112" s="24"/>
      <c r="K112" s="20"/>
      <c r="L112" s="20"/>
      <c r="M112" s="20"/>
      <c r="N112" s="20"/>
      <c r="O112" s="20"/>
      <c r="P112" s="20"/>
      <c r="Q112" s="20"/>
      <c r="R112" s="20"/>
      <c r="S112" s="20"/>
    </row>
    <row r="113" spans="1:21" ht="15.75" thickTop="1">
      <c r="A113" s="1580"/>
      <c r="B113" s="1933" t="s">
        <v>2302</v>
      </c>
      <c r="C113" s="927"/>
      <c r="D113" s="1856"/>
      <c r="E113" s="1927"/>
      <c r="F113" s="1740"/>
      <c r="G113" s="1722"/>
      <c r="H113" s="1906"/>
      <c r="I113" s="1906"/>
      <c r="J113" s="1775"/>
      <c r="K113" s="1906"/>
      <c r="L113" s="1906"/>
      <c r="M113" s="1906"/>
      <c r="N113" s="1906"/>
      <c r="O113" s="1906"/>
      <c r="P113" s="1906"/>
      <c r="Q113" s="1906"/>
      <c r="R113" s="1906"/>
      <c r="S113" s="1906"/>
    </row>
    <row r="114" spans="1:21">
      <c r="A114" s="1580"/>
      <c r="B114" s="1933" t="s">
        <v>2303</v>
      </c>
      <c r="C114" s="927"/>
      <c r="D114" s="1856"/>
      <c r="E114" s="1927"/>
      <c r="F114" s="1740"/>
      <c r="G114" s="1722"/>
      <c r="H114" s="1906"/>
      <c r="I114" s="1906"/>
      <c r="J114" s="1775"/>
      <c r="K114" s="1906"/>
      <c r="L114" s="1906"/>
      <c r="M114" s="1906"/>
      <c r="N114" s="1906"/>
      <c r="O114" s="1906"/>
      <c r="P114" s="1906"/>
      <c r="Q114" s="1906"/>
      <c r="R114" s="1906"/>
      <c r="S114" s="1906"/>
    </row>
    <row r="115" spans="1:21" ht="60.75" thickBot="1">
      <c r="A115" s="1580"/>
      <c r="B115" s="1490" t="s">
        <v>2304</v>
      </c>
      <c r="C115" s="927"/>
      <c r="D115" s="1856"/>
      <c r="E115" s="1927"/>
      <c r="F115" s="1740"/>
      <c r="G115" s="1722"/>
      <c r="H115" s="1906"/>
      <c r="I115" s="1906"/>
      <c r="J115" s="1775"/>
      <c r="K115" s="1906"/>
      <c r="L115" s="1906"/>
      <c r="M115" s="1906"/>
      <c r="N115" s="1906"/>
      <c r="O115" s="1906"/>
      <c r="P115" s="1906"/>
      <c r="Q115" s="1906"/>
      <c r="R115" s="1906"/>
      <c r="S115" s="1906"/>
    </row>
    <row r="116" spans="1:21" s="2" customFormat="1" ht="16.5" thickTop="1" thickBot="1">
      <c r="A116" s="2331" t="s">
        <v>760</v>
      </c>
      <c r="B116" s="2332"/>
      <c r="C116" s="298"/>
      <c r="D116" s="507"/>
      <c r="E116" s="350"/>
      <c r="F116" s="12"/>
      <c r="G116" s="26"/>
      <c r="H116" s="20"/>
      <c r="I116" s="20"/>
      <c r="J116" s="24"/>
      <c r="K116" s="20"/>
      <c r="L116" s="20"/>
      <c r="M116" s="20"/>
      <c r="N116" s="20"/>
      <c r="O116" s="20"/>
      <c r="P116" s="20"/>
      <c r="Q116" s="20"/>
      <c r="R116" s="20"/>
      <c r="S116" s="20"/>
      <c r="T116"/>
      <c r="U116"/>
    </row>
    <row r="117" spans="1:21" s="2" customFormat="1" ht="15.75" thickTop="1">
      <c r="A117" s="1580"/>
      <c r="B117" s="1105"/>
      <c r="C117" s="927"/>
      <c r="D117" s="1856"/>
      <c r="E117" s="1927"/>
      <c r="F117" s="1740"/>
      <c r="G117" s="1722"/>
      <c r="H117" s="1906"/>
      <c r="I117" s="1906"/>
      <c r="J117" s="1775"/>
      <c r="K117" s="1906"/>
      <c r="L117" s="1906"/>
      <c r="M117" s="1906"/>
      <c r="N117" s="1906"/>
      <c r="O117" s="1906"/>
      <c r="P117" s="1906"/>
      <c r="Q117" s="1906"/>
      <c r="R117" s="1906"/>
      <c r="S117" s="1906"/>
      <c r="T117"/>
      <c r="U117"/>
    </row>
    <row r="118" spans="1:21" s="2" customFormat="1">
      <c r="A118" s="1580"/>
      <c r="B118" s="1105"/>
      <c r="C118" s="927"/>
      <c r="D118" s="1856"/>
      <c r="E118" s="1927"/>
      <c r="F118" s="1740"/>
      <c r="G118" s="1722"/>
      <c r="H118" s="1906"/>
      <c r="I118" s="1906"/>
      <c r="J118" s="1775"/>
      <c r="K118" s="1906"/>
      <c r="L118" s="1906"/>
      <c r="M118" s="1906"/>
      <c r="N118" s="1906"/>
      <c r="O118" s="1906"/>
      <c r="P118" s="1906"/>
      <c r="Q118" s="1906"/>
      <c r="R118" s="1906"/>
      <c r="S118" s="1906"/>
      <c r="T118"/>
      <c r="U118"/>
    </row>
    <row r="119" spans="1:21" ht="15.75" thickBot="1">
      <c r="A119" s="1580"/>
      <c r="B119" s="1105"/>
      <c r="C119" s="927"/>
      <c r="D119" s="1856"/>
      <c r="E119" s="1927"/>
      <c r="F119" s="1740"/>
      <c r="G119" s="1722"/>
      <c r="H119" s="1906"/>
      <c r="I119" s="1906"/>
      <c r="J119" s="1775"/>
      <c r="K119" s="1906"/>
      <c r="L119" s="1906"/>
      <c r="M119" s="1906"/>
      <c r="N119" s="1906"/>
      <c r="O119" s="1906"/>
      <c r="P119" s="1906"/>
      <c r="Q119" s="1906"/>
      <c r="R119" s="1906"/>
      <c r="S119" s="1906"/>
    </row>
    <row r="120" spans="1:21" s="2" customFormat="1" ht="16.5" thickTop="1" thickBot="1">
      <c r="A120" s="2331" t="s">
        <v>761</v>
      </c>
      <c r="B120" s="2332"/>
      <c r="C120" s="298"/>
      <c r="D120" s="507"/>
      <c r="E120" s="350"/>
      <c r="F120" s="12"/>
      <c r="G120" s="26"/>
      <c r="H120" s="20"/>
      <c r="I120" s="20"/>
      <c r="J120" s="24"/>
      <c r="K120" s="20"/>
      <c r="L120" s="20"/>
      <c r="M120" s="20"/>
      <c r="N120" s="20"/>
      <c r="O120" s="20"/>
      <c r="P120" s="20"/>
      <c r="Q120" s="20"/>
      <c r="R120" s="20"/>
      <c r="S120" s="20"/>
      <c r="T120"/>
      <c r="U120"/>
    </row>
    <row r="121" spans="1:21" s="2" customFormat="1" ht="15.75" thickTop="1">
      <c r="A121" s="1580"/>
      <c r="B121" s="1105"/>
      <c r="C121" s="927"/>
      <c r="D121" s="1856"/>
      <c r="E121" s="1927"/>
      <c r="F121" s="1740"/>
      <c r="G121" s="1722"/>
      <c r="H121" s="1906"/>
      <c r="I121" s="1906"/>
      <c r="J121" s="1775"/>
      <c r="K121" s="1906"/>
      <c r="L121" s="1906"/>
      <c r="M121" s="1906"/>
      <c r="N121" s="1906"/>
      <c r="O121" s="1906"/>
      <c r="P121" s="1906"/>
      <c r="Q121" s="1906"/>
      <c r="R121" s="1906"/>
      <c r="S121" s="1906"/>
      <c r="T121"/>
      <c r="U121"/>
    </row>
    <row r="122" spans="1:21" s="2" customFormat="1">
      <c r="A122" s="1124"/>
      <c r="B122" s="1105"/>
      <c r="C122" s="415"/>
      <c r="D122" s="499"/>
      <c r="E122" s="417"/>
      <c r="F122" s="422"/>
      <c r="G122" s="831"/>
      <c r="H122" s="1173"/>
      <c r="I122" s="1173"/>
      <c r="J122" s="440"/>
      <c r="K122" s="1173"/>
      <c r="L122" s="1173"/>
      <c r="M122" s="1173"/>
      <c r="N122" s="1173"/>
      <c r="O122" s="1173"/>
      <c r="P122" s="1173"/>
      <c r="Q122" s="1173"/>
      <c r="R122" s="1173"/>
      <c r="S122" s="1173"/>
      <c r="T122"/>
      <c r="U122"/>
    </row>
    <row r="123" spans="1:21" s="2" customFormat="1" ht="15.75" thickBot="1">
      <c r="A123" s="1126"/>
      <c r="B123" s="1174"/>
      <c r="C123" s="415"/>
      <c r="D123" s="499"/>
      <c r="E123" s="417"/>
      <c r="F123" s="422"/>
      <c r="G123" s="831"/>
      <c r="H123" s="1175"/>
      <c r="I123" s="1175"/>
      <c r="J123" s="441"/>
      <c r="K123" s="1175"/>
      <c r="L123" s="1175"/>
      <c r="M123" s="1175"/>
      <c r="N123" s="1175"/>
      <c r="O123" s="1175"/>
      <c r="P123" s="1175"/>
      <c r="Q123" s="1175"/>
      <c r="R123" s="1175"/>
      <c r="S123" s="1175"/>
    </row>
    <row r="124" spans="1:21" s="2" customFormat="1" ht="16.5" thickTop="1" thickBot="1">
      <c r="A124" s="2331" t="s">
        <v>762</v>
      </c>
      <c r="B124" s="2332"/>
      <c r="C124" s="298"/>
      <c r="D124" s="507"/>
      <c r="E124" s="350"/>
      <c r="F124" s="12"/>
      <c r="G124" s="26"/>
      <c r="H124" s="20"/>
      <c r="I124" s="20"/>
      <c r="J124" s="24"/>
      <c r="K124" s="20"/>
      <c r="L124" s="20"/>
      <c r="M124" s="20"/>
      <c r="N124" s="20"/>
      <c r="O124" s="20"/>
      <c r="P124" s="20"/>
      <c r="Q124" s="20"/>
      <c r="R124" s="20"/>
      <c r="S124" s="20"/>
      <c r="T124"/>
      <c r="U124"/>
    </row>
    <row r="125" spans="1:21" s="690" customFormat="1" ht="30.75" thickTop="1">
      <c r="A125" s="1934"/>
      <c r="B125" s="1935" t="s">
        <v>2305</v>
      </c>
      <c r="C125" s="1936"/>
      <c r="D125" s="1937"/>
      <c r="E125" s="1938"/>
      <c r="F125" s="1937"/>
      <c r="G125" s="1939"/>
      <c r="H125" s="1940"/>
      <c r="I125" s="1940">
        <v>-180000</v>
      </c>
      <c r="J125" s="1868"/>
      <c r="K125" s="1940"/>
      <c r="L125" s="1940"/>
      <c r="M125" s="1940"/>
      <c r="N125" s="1940"/>
      <c r="O125" s="1940"/>
      <c r="P125" s="1940"/>
      <c r="Q125" s="1940"/>
      <c r="R125" s="1940"/>
      <c r="S125" s="1940"/>
      <c r="T125" s="525"/>
      <c r="U125" s="525"/>
    </row>
    <row r="126" spans="1:21" s="267" customFormat="1" ht="30">
      <c r="A126" s="1941"/>
      <c r="B126" s="1942" t="s">
        <v>2306</v>
      </c>
      <c r="C126" s="511"/>
      <c r="D126" s="515"/>
      <c r="E126" s="691"/>
      <c r="F126" s="462"/>
      <c r="G126" s="834"/>
      <c r="H126" s="1913"/>
      <c r="I126" s="1943">
        <v>-140000</v>
      </c>
      <c r="J126" s="692"/>
      <c r="K126" s="1913"/>
      <c r="L126" s="1913"/>
      <c r="M126" s="1913"/>
      <c r="N126" s="1913"/>
      <c r="O126" s="1913"/>
      <c r="P126" s="1913"/>
      <c r="Q126" s="1913"/>
      <c r="R126" s="1913"/>
      <c r="S126" s="1913"/>
      <c r="T126" s="529"/>
      <c r="U126" s="529"/>
    </row>
    <row r="127" spans="1:21" ht="15.75" thickBot="1">
      <c r="A127" s="1126"/>
      <c r="B127" s="1174"/>
      <c r="C127" s="415"/>
      <c r="D127" s="499"/>
      <c r="E127" s="417"/>
      <c r="F127" s="422"/>
      <c r="G127" s="831"/>
      <c r="H127" s="1178"/>
      <c r="I127" s="1178"/>
      <c r="J127" s="442"/>
      <c r="K127" s="1178"/>
      <c r="L127" s="1178"/>
      <c r="M127" s="1178"/>
      <c r="N127" s="1178"/>
      <c r="O127" s="1178"/>
      <c r="P127" s="1178"/>
      <c r="Q127" s="1178"/>
      <c r="R127" s="1178"/>
      <c r="S127" s="1178"/>
      <c r="T127" s="2"/>
      <c r="U127" s="2"/>
    </row>
    <row r="128" spans="1:21" ht="16.5" thickTop="1" thickBot="1">
      <c r="A128" s="2331" t="s">
        <v>763</v>
      </c>
      <c r="B128" s="2332"/>
      <c r="C128" s="298"/>
      <c r="D128" s="507"/>
      <c r="E128" s="350"/>
      <c r="F128" s="12"/>
      <c r="G128" s="26"/>
      <c r="H128" s="20"/>
      <c r="I128" s="20"/>
      <c r="J128" s="24"/>
      <c r="K128" s="20"/>
      <c r="L128" s="20"/>
      <c r="M128" s="20"/>
      <c r="N128" s="20"/>
      <c r="O128" s="20"/>
      <c r="P128" s="20"/>
      <c r="Q128" s="20"/>
      <c r="R128" s="20"/>
      <c r="S128" s="20"/>
    </row>
    <row r="129" spans="1:19" ht="15.75" thickTop="1">
      <c r="A129" s="1124"/>
      <c r="B129" s="1105" t="s">
        <v>764</v>
      </c>
      <c r="C129" s="415"/>
      <c r="D129" s="499"/>
      <c r="E129" s="417"/>
      <c r="F129" s="422"/>
      <c r="G129" s="831"/>
      <c r="H129" s="1178"/>
      <c r="I129" s="1178"/>
      <c r="J129" s="442"/>
      <c r="K129" s="1178"/>
      <c r="L129" s="1178"/>
      <c r="M129" s="1178"/>
      <c r="N129" s="1178"/>
      <c r="O129" s="1178"/>
      <c r="P129" s="1178"/>
      <c r="Q129" s="1178"/>
      <c r="R129" s="1178"/>
      <c r="S129" s="1178"/>
    </row>
    <row r="130" spans="1:19">
      <c r="A130" s="1124"/>
      <c r="B130" s="1105" t="s">
        <v>765</v>
      </c>
      <c r="C130" s="415"/>
      <c r="D130" s="499"/>
      <c r="E130" s="417"/>
      <c r="F130" s="422"/>
      <c r="G130" s="831"/>
      <c r="H130" s="1178"/>
      <c r="I130" s="1178"/>
      <c r="J130" s="442"/>
      <c r="K130" s="1178"/>
      <c r="L130" s="1178"/>
      <c r="M130" s="1178"/>
      <c r="N130" s="1178"/>
      <c r="O130" s="1178"/>
      <c r="P130" s="1178"/>
      <c r="Q130" s="1178"/>
      <c r="R130" s="1178"/>
      <c r="S130" s="1178"/>
    </row>
    <row r="131" spans="1:19">
      <c r="A131" s="1124"/>
      <c r="B131" s="1105" t="s">
        <v>766</v>
      </c>
      <c r="C131" s="415"/>
      <c r="D131" s="499"/>
      <c r="E131" s="417"/>
      <c r="F131" s="422"/>
      <c r="G131" s="831"/>
      <c r="H131" s="1178"/>
      <c r="I131" s="1178"/>
      <c r="J131" s="442"/>
      <c r="K131" s="1178"/>
      <c r="L131" s="1178"/>
      <c r="M131" s="1178"/>
      <c r="N131" s="1178"/>
      <c r="O131" s="1178"/>
      <c r="P131" s="1178"/>
      <c r="Q131" s="1178"/>
      <c r="R131" s="1178"/>
      <c r="S131" s="1178"/>
    </row>
    <row r="132" spans="1:19">
      <c r="A132" s="1124"/>
      <c r="B132" s="1105" t="s">
        <v>767</v>
      </c>
      <c r="C132" s="415"/>
      <c r="D132" s="499"/>
      <c r="E132" s="417"/>
      <c r="F132" s="422"/>
      <c r="G132" s="831"/>
      <c r="H132" s="1178"/>
      <c r="I132" s="1178"/>
      <c r="J132" s="442"/>
      <c r="K132" s="1178"/>
      <c r="L132" s="1178"/>
      <c r="M132" s="1178"/>
      <c r="N132" s="1178"/>
      <c r="O132" s="1178"/>
      <c r="P132" s="1178"/>
      <c r="Q132" s="1178"/>
      <c r="R132" s="1178"/>
      <c r="S132" s="1178"/>
    </row>
    <row r="133" spans="1:19" ht="15.75" thickBot="1">
      <c r="A133" s="443"/>
      <c r="B133" s="421"/>
      <c r="C133" s="23"/>
      <c r="D133" s="500"/>
      <c r="E133" s="266"/>
      <c r="F133" s="86"/>
      <c r="G133" s="27"/>
      <c r="H133" s="444"/>
      <c r="I133" s="444"/>
      <c r="J133" s="25"/>
      <c r="K133" s="444"/>
      <c r="L133" s="444"/>
      <c r="M133" s="444"/>
      <c r="N133" s="444"/>
      <c r="O133" s="444"/>
      <c r="P133" s="444"/>
      <c r="Q133" s="444"/>
      <c r="R133" s="444"/>
      <c r="S133" s="444"/>
    </row>
    <row r="134" spans="1:19" ht="16.5" thickTop="1" thickBot="1">
      <c r="A134" s="72" t="s">
        <v>768</v>
      </c>
      <c r="B134" s="73"/>
      <c r="C134" s="298"/>
      <c r="D134" s="507"/>
      <c r="E134" s="350"/>
      <c r="F134" s="12"/>
      <c r="G134" s="26"/>
      <c r="H134" s="20"/>
      <c r="I134" s="20"/>
      <c r="J134" s="24"/>
      <c r="K134" s="20"/>
      <c r="L134" s="20"/>
      <c r="M134" s="20"/>
      <c r="N134" s="20"/>
      <c r="O134" s="20"/>
      <c r="P134" s="20"/>
      <c r="Q134" s="20"/>
      <c r="R134" s="20"/>
      <c r="S134" s="20"/>
    </row>
    <row r="135" spans="1:19" ht="15.75" thickTop="1">
      <c r="A135" s="1580"/>
      <c r="B135" s="1914" t="s">
        <v>769</v>
      </c>
      <c r="C135" s="927"/>
      <c r="D135" s="1856"/>
      <c r="E135" s="1927"/>
      <c r="F135" s="1740"/>
      <c r="G135" s="1722"/>
      <c r="H135" s="1916"/>
      <c r="I135" s="1916"/>
      <c r="J135" s="1792"/>
      <c r="K135" s="1916"/>
      <c r="L135" s="1916"/>
      <c r="M135" s="1916"/>
      <c r="N135" s="1916"/>
      <c r="O135" s="1916"/>
      <c r="P135" s="1916"/>
      <c r="Q135" s="1916"/>
      <c r="R135" s="1916"/>
      <c r="S135" s="1916"/>
    </row>
    <row r="136" spans="1:19">
      <c r="A136" s="1124"/>
      <c r="B136" s="1105" t="s">
        <v>770</v>
      </c>
      <c r="C136" s="415"/>
      <c r="D136" s="499"/>
      <c r="E136" s="417"/>
      <c r="F136" s="422"/>
      <c r="G136" s="831"/>
      <c r="H136" s="1182"/>
      <c r="I136" s="1182"/>
      <c r="J136" s="445"/>
      <c r="K136" s="1182"/>
      <c r="L136" s="1182"/>
      <c r="M136" s="1182"/>
      <c r="N136" s="1182"/>
      <c r="O136" s="1182"/>
      <c r="P136" s="1182"/>
      <c r="Q136" s="1182"/>
      <c r="R136" s="1182"/>
      <c r="S136" s="1182"/>
    </row>
    <row r="137" spans="1:19" ht="15.75" thickBot="1">
      <c r="A137" s="1308"/>
      <c r="B137" s="1136" t="s">
        <v>771</v>
      </c>
      <c r="C137" s="935"/>
      <c r="D137" s="936"/>
      <c r="E137" s="937"/>
      <c r="F137" s="938"/>
      <c r="G137" s="939"/>
      <c r="H137" s="1140"/>
      <c r="I137" s="1140"/>
      <c r="J137" s="940"/>
      <c r="K137" s="1140"/>
      <c r="L137" s="1140"/>
      <c r="M137" s="1140"/>
      <c r="N137" s="1140"/>
      <c r="O137" s="1140"/>
      <c r="P137" s="1140"/>
      <c r="Q137" s="1140"/>
      <c r="R137" s="1140"/>
      <c r="S137" s="1140"/>
    </row>
    <row r="138" spans="1:19" ht="16.5" thickTop="1" thickBot="1">
      <c r="F138" s="2"/>
      <c r="G138" s="2"/>
      <c r="H138" s="2"/>
      <c r="I138" s="2"/>
      <c r="J138" s="2"/>
      <c r="K138" s="2"/>
      <c r="L138" s="2"/>
      <c r="M138" s="2"/>
      <c r="N138" s="2"/>
      <c r="O138" s="2"/>
      <c r="P138" s="2"/>
      <c r="Q138" s="2"/>
      <c r="R138" s="2"/>
      <c r="S138" s="2"/>
    </row>
    <row r="139" spans="1:19" ht="16.5" thickTop="1" thickBot="1">
      <c r="A139" s="37" t="s">
        <v>772</v>
      </c>
      <c r="B139" s="39"/>
      <c r="F139" s="2"/>
      <c r="G139" s="2"/>
      <c r="H139" s="2"/>
      <c r="I139" s="2"/>
      <c r="J139" s="2"/>
      <c r="K139" s="2"/>
      <c r="L139" s="2"/>
      <c r="M139" s="2"/>
      <c r="N139" s="2"/>
      <c r="O139" s="2"/>
      <c r="P139" s="2"/>
      <c r="Q139" s="2"/>
      <c r="R139" s="2"/>
      <c r="S139" s="2"/>
    </row>
    <row r="140" spans="1:19" ht="15.75" thickTop="1">
      <c r="A140" s="38" t="s">
        <v>693</v>
      </c>
      <c r="B140" s="1277" t="str">
        <f>H5</f>
        <v>Express Plumbing</v>
      </c>
      <c r="F140" s="2"/>
      <c r="G140" s="2"/>
      <c r="H140" s="2"/>
      <c r="I140" s="2"/>
      <c r="J140" s="2"/>
      <c r="K140" s="2"/>
      <c r="L140" s="2"/>
      <c r="M140" s="2"/>
      <c r="N140" s="2"/>
      <c r="O140" s="2"/>
      <c r="P140" s="2"/>
      <c r="Q140" s="2"/>
      <c r="R140" s="2"/>
      <c r="S140" s="2"/>
    </row>
    <row r="141" spans="1:19">
      <c r="A141" s="1142" t="s">
        <v>702</v>
      </c>
      <c r="B141" s="1277" t="str">
        <f>H6</f>
        <v xml:space="preserve">Clayton Shaheen </v>
      </c>
      <c r="F141" s="2"/>
      <c r="G141" s="2"/>
      <c r="H141" s="2"/>
      <c r="I141" s="2"/>
      <c r="J141" s="2"/>
      <c r="K141" s="2"/>
      <c r="L141" s="2"/>
      <c r="M141" s="2"/>
      <c r="N141" s="2"/>
      <c r="O141" s="2"/>
      <c r="P141" s="2"/>
      <c r="Q141" s="2"/>
      <c r="R141" s="2"/>
      <c r="S141" s="2"/>
    </row>
    <row r="142" spans="1:19">
      <c r="A142" s="1191" t="s">
        <v>708</v>
      </c>
      <c r="B142" s="1277" t="str">
        <f>H7</f>
        <v xml:space="preserve">(386) 365-8979 </v>
      </c>
      <c r="F142" s="2"/>
      <c r="G142" s="2"/>
      <c r="H142" s="2"/>
      <c r="I142" s="2"/>
      <c r="J142" s="2"/>
      <c r="K142" s="2"/>
      <c r="L142" s="2"/>
      <c r="M142" s="2"/>
      <c r="N142" s="2"/>
      <c r="O142" s="2"/>
      <c r="P142" s="2"/>
      <c r="Q142" s="2"/>
      <c r="R142" s="2"/>
      <c r="S142" s="2"/>
    </row>
    <row r="143" spans="1:19">
      <c r="A143" s="1191" t="s">
        <v>713</v>
      </c>
      <c r="B143" s="1277" t="str">
        <f>H8</f>
        <v>claytons@explumbing.com</v>
      </c>
      <c r="F143" s="2"/>
      <c r="G143" s="2"/>
      <c r="H143" s="2"/>
      <c r="I143" s="2"/>
      <c r="J143" s="2"/>
      <c r="K143" s="2"/>
      <c r="L143" s="2"/>
      <c r="M143" s="2"/>
      <c r="N143" s="2"/>
      <c r="O143" s="2"/>
      <c r="P143" s="2"/>
      <c r="Q143" s="2"/>
      <c r="R143" s="2"/>
      <c r="S143" s="2"/>
    </row>
    <row r="144" spans="1:19" ht="15.75" thickBot="1">
      <c r="A144" s="1145" t="s">
        <v>69</v>
      </c>
      <c r="B144" s="1146">
        <f>I108</f>
        <v>4143847.4</v>
      </c>
      <c r="F144" s="2"/>
      <c r="G144" s="2"/>
      <c r="H144" s="2"/>
      <c r="I144" s="2"/>
      <c r="J144" s="2"/>
      <c r="K144" s="2"/>
      <c r="L144" s="2"/>
      <c r="M144" s="2"/>
      <c r="N144" s="2"/>
      <c r="O144" s="2"/>
      <c r="P144" s="2"/>
      <c r="Q144" s="2"/>
      <c r="R144" s="2"/>
      <c r="S144" s="2"/>
    </row>
    <row r="145" ht="15.75" thickTop="1"/>
  </sheetData>
  <sortState xmlns:xlrd2="http://schemas.microsoft.com/office/spreadsheetml/2017/richdata2" ref="B73:B81">
    <sortCondition ref="B73:B81"/>
  </sortState>
  <mergeCells count="41">
    <mergeCell ref="J7:K7"/>
    <mergeCell ref="J8:K8"/>
    <mergeCell ref="J9:K9"/>
    <mergeCell ref="A112:B112"/>
    <mergeCell ref="A116:B116"/>
    <mergeCell ref="H9:I9"/>
    <mergeCell ref="H7:I7"/>
    <mergeCell ref="H8:I8"/>
    <mergeCell ref="A124:B124"/>
    <mergeCell ref="A128:B128"/>
    <mergeCell ref="A120:B120"/>
    <mergeCell ref="R9:S9"/>
    <mergeCell ref="N9:O9"/>
    <mergeCell ref="L9:M9"/>
    <mergeCell ref="P9:Q9"/>
    <mergeCell ref="P5:Q5"/>
    <mergeCell ref="R4:S4"/>
    <mergeCell ref="R8:S8"/>
    <mergeCell ref="N7:O7"/>
    <mergeCell ref="L7:M7"/>
    <mergeCell ref="P7:Q7"/>
    <mergeCell ref="R7:S7"/>
    <mergeCell ref="N8:O8"/>
    <mergeCell ref="L8:M8"/>
    <mergeCell ref="P8:Q8"/>
    <mergeCell ref="H4:I4"/>
    <mergeCell ref="R5:S5"/>
    <mergeCell ref="R6:S6"/>
    <mergeCell ref="N6:O6"/>
    <mergeCell ref="N4:O4"/>
    <mergeCell ref="H5:I5"/>
    <mergeCell ref="H6:I6"/>
    <mergeCell ref="J4:K4"/>
    <mergeCell ref="J5:K5"/>
    <mergeCell ref="J6:K6"/>
    <mergeCell ref="L4:M4"/>
    <mergeCell ref="P4:Q4"/>
    <mergeCell ref="L6:M6"/>
    <mergeCell ref="P6:Q6"/>
    <mergeCell ref="N5:O5"/>
    <mergeCell ref="L5:M5"/>
  </mergeCells>
  <conditionalFormatting sqref="H11:H19">
    <cfRule type="cellIs" dxfId="171" priority="1" operator="equal">
      <formula>"X"</formula>
    </cfRule>
    <cfRule type="cellIs" dxfId="170" priority="2" operator="equal">
      <formula>"I"</formula>
    </cfRule>
  </conditionalFormatting>
  <conditionalFormatting sqref="J11:J19 L11:L19 N11:N19 P11:P19 R11:R19 H21:H103 J21:J103 L21:L103 N21:N103 P21:P103 R21:R103">
    <cfRule type="cellIs" dxfId="169" priority="15" operator="equal">
      <formula>"X"</formula>
    </cfRule>
    <cfRule type="cellIs" dxfId="168" priority="16" operator="equal">
      <formula>"I"</formula>
    </cfRule>
  </conditionalFormatting>
  <hyperlinks>
    <hyperlink ref="B4" location="'Cost Summary'!A1" display="BACK TO SUMMARY SHEET" xr:uid="{29C96B6A-6DF8-456C-859F-76E5CCF39974}"/>
    <hyperlink ref="L8" r:id="rId1" xr:uid="{688C7BD8-FFC0-4386-BB52-9AA3067DCDF9}"/>
    <hyperlink ref="J8" r:id="rId2" xr:uid="{0620EC12-6258-416A-A9FC-19EADF5C0D5A}"/>
    <hyperlink ref="H8" r:id="rId3" xr:uid="{DC40DB70-991F-4109-A447-AB273CFA00AC}"/>
    <hyperlink ref="N8" r:id="rId4" xr:uid="{D8DC0B56-5CEB-4A93-B002-AF08DE588B2D}"/>
  </hyperlinks>
  <pageMargins left="0.7" right="0.7" top="0.75" bottom="0.75" header="0.3" footer="0.3"/>
  <pageSetup orientation="portrait" r:id="rId5"/>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104C-5E10-4F64-9C8D-35B2752A3E7D}">
  <sheetPr>
    <tabColor theme="7" tint="0.39997558519241921"/>
    <pageSetUpPr fitToPage="1"/>
  </sheetPr>
  <dimension ref="A1:AU125"/>
  <sheetViews>
    <sheetView zoomScaleNormal="100" workbookViewId="0">
      <pane xSplit="2" ySplit="10" topLeftCell="E51" activePane="bottomRight" state="frozen"/>
      <selection pane="topRight" activeCell="C1" sqref="C1"/>
      <selection pane="bottomLeft" activeCell="A11" sqref="A11"/>
      <selection pane="bottomRight" activeCell="N9" sqref="N9:W10"/>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2851562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9" style="270" customWidth="1"/>
    <col min="19" max="19" width="15.7109375" style="270" customWidth="1"/>
    <col min="20" max="20" width="9.140625" style="270" customWidth="1"/>
    <col min="21" max="21" width="15.7109375" style="270" customWidth="1"/>
    <col min="22" max="22" width="10.42578125" style="270" customWidth="1"/>
    <col min="23" max="23" width="15.7109375" style="270" customWidth="1"/>
    <col min="24" max="24" width="10.42578125" style="270" customWidth="1"/>
    <col min="25" max="25" width="15.7109375" style="270" customWidth="1"/>
    <col min="27" max="27" width="17.28515625" customWidth="1"/>
    <col min="29" max="29" width="15.140625" customWidth="1"/>
  </cols>
  <sheetData>
    <row r="1" spans="1:30">
      <c r="D1" s="260"/>
      <c r="E1" s="68"/>
      <c r="F1" s="275"/>
      <c r="G1" s="269" t="s">
        <v>679</v>
      </c>
      <c r="Z1" s="270"/>
      <c r="AA1" s="270"/>
      <c r="AD1" s="261"/>
    </row>
    <row r="2" spans="1:30">
      <c r="D2" s="260"/>
      <c r="E2" s="68"/>
      <c r="F2" s="276" t="s">
        <v>680</v>
      </c>
      <c r="G2" s="269" t="s">
        <v>681</v>
      </c>
      <c r="Z2" s="270"/>
      <c r="AA2" s="270"/>
      <c r="AD2" s="261"/>
    </row>
    <row r="3" spans="1:30" ht="15.75" customHeight="1" thickBot="1">
      <c r="D3" s="260"/>
      <c r="E3" s="68"/>
      <c r="F3" s="277" t="s">
        <v>682</v>
      </c>
      <c r="G3" s="269" t="s">
        <v>683</v>
      </c>
      <c r="H3" s="2345" t="s">
        <v>2307</v>
      </c>
      <c r="I3" s="2345"/>
      <c r="J3" s="2345" t="s">
        <v>2307</v>
      </c>
      <c r="K3" s="2345"/>
      <c r="N3" s="2345" t="s">
        <v>2307</v>
      </c>
      <c r="O3" s="2345"/>
      <c r="Z3" s="270"/>
      <c r="AA3" s="270"/>
      <c r="AD3" s="261"/>
    </row>
    <row r="4" spans="1:30" ht="15.75" thickBot="1">
      <c r="B4" s="262" t="s">
        <v>684</v>
      </c>
      <c r="D4" s="260"/>
      <c r="E4" s="68"/>
      <c r="F4" s="278"/>
      <c r="G4" s="270" t="s">
        <v>685</v>
      </c>
      <c r="H4" s="2323" t="s">
        <v>686</v>
      </c>
      <c r="I4" s="2324"/>
      <c r="J4" s="2319" t="s">
        <v>687</v>
      </c>
      <c r="K4" s="2320"/>
      <c r="L4" s="2319" t="s">
        <v>688</v>
      </c>
      <c r="M4" s="2320"/>
      <c r="N4" s="2319" t="s">
        <v>689</v>
      </c>
      <c r="O4" s="2320"/>
      <c r="P4" s="2319" t="s">
        <v>691</v>
      </c>
      <c r="Q4" s="2320"/>
      <c r="R4" s="2319" t="s">
        <v>806</v>
      </c>
      <c r="S4" s="2320"/>
      <c r="T4" s="2319" t="s">
        <v>808</v>
      </c>
      <c r="U4" s="2320"/>
      <c r="V4" s="2319" t="s">
        <v>809</v>
      </c>
      <c r="W4" s="2320"/>
      <c r="X4" s="2319" t="s">
        <v>2308</v>
      </c>
      <c r="Y4" s="2320"/>
      <c r="Z4" s="2319" t="s">
        <v>2309</v>
      </c>
      <c r="AA4" s="2320"/>
      <c r="AB4" s="2319" t="s">
        <v>2310</v>
      </c>
      <c r="AC4" s="2320"/>
      <c r="AD4" s="261"/>
    </row>
    <row r="5" spans="1:30" ht="15.75" customHeight="1" thickTop="1">
      <c r="A5" s="292" t="s">
        <v>692</v>
      </c>
      <c r="B5" s="299" t="str">
        <f>'Area Calculations'!B4</f>
        <v>ERAU Residential Hall &amp; Garage Building</v>
      </c>
      <c r="C5" s="294"/>
      <c r="D5" s="263"/>
      <c r="E5" s="264"/>
      <c r="F5" s="279"/>
      <c r="G5" s="271" t="s">
        <v>693</v>
      </c>
      <c r="H5" s="2333" t="s">
        <v>250</v>
      </c>
      <c r="I5" s="2334"/>
      <c r="J5" s="2333" t="s">
        <v>2311</v>
      </c>
      <c r="K5" s="2334"/>
      <c r="L5" s="2333" t="s">
        <v>2312</v>
      </c>
      <c r="M5" s="2334"/>
      <c r="N5" s="2333" t="s">
        <v>2313</v>
      </c>
      <c r="O5" s="2334"/>
      <c r="P5" s="2333" t="s">
        <v>2314</v>
      </c>
      <c r="Q5" s="2334"/>
      <c r="R5" s="2333" t="s">
        <v>2315</v>
      </c>
      <c r="S5" s="2334"/>
      <c r="T5" s="2333" t="s">
        <v>2316</v>
      </c>
      <c r="U5" s="2334"/>
      <c r="V5" s="2333" t="s">
        <v>2317</v>
      </c>
      <c r="W5" s="2334"/>
      <c r="X5" s="2333" t="s">
        <v>2312</v>
      </c>
      <c r="Y5" s="2334"/>
      <c r="Z5" s="2333" t="s">
        <v>2318</v>
      </c>
      <c r="AA5" s="2334"/>
      <c r="AB5" s="2333" t="s">
        <v>2319</v>
      </c>
      <c r="AC5" s="2334"/>
      <c r="AD5" s="261"/>
    </row>
    <row r="6" spans="1:30">
      <c r="A6" s="1082" t="s">
        <v>700</v>
      </c>
      <c r="B6" s="1196" t="s">
        <v>135</v>
      </c>
      <c r="C6" s="415"/>
      <c r="D6" s="416"/>
      <c r="E6" s="417"/>
      <c r="F6" s="418"/>
      <c r="G6" s="419" t="s">
        <v>702</v>
      </c>
      <c r="H6" s="2313" t="s">
        <v>2320</v>
      </c>
      <c r="I6" s="2314"/>
      <c r="J6" s="2313" t="s">
        <v>2321</v>
      </c>
      <c r="K6" s="2314"/>
      <c r="L6" s="2313" t="s">
        <v>2322</v>
      </c>
      <c r="M6" s="2314"/>
      <c r="N6" s="2313" t="s">
        <v>2323</v>
      </c>
      <c r="O6" s="2314"/>
      <c r="P6" s="2313" t="s">
        <v>2324</v>
      </c>
      <c r="Q6" s="2314"/>
      <c r="R6" s="2313" t="s">
        <v>2325</v>
      </c>
      <c r="S6" s="2314"/>
      <c r="T6" s="2313" t="s">
        <v>2326</v>
      </c>
      <c r="U6" s="2314"/>
      <c r="V6" s="2313" t="s">
        <v>2327</v>
      </c>
      <c r="W6" s="2314"/>
      <c r="X6" s="2313" t="s">
        <v>2322</v>
      </c>
      <c r="Y6" s="2314"/>
      <c r="Z6" s="2313" t="s">
        <v>2328</v>
      </c>
      <c r="AA6" s="2314"/>
      <c r="AB6" s="2313" t="s">
        <v>2329</v>
      </c>
      <c r="AC6" s="2314"/>
      <c r="AD6" s="261"/>
    </row>
    <row r="7" spans="1:30">
      <c r="A7" s="1082" t="s">
        <v>706</v>
      </c>
      <c r="B7" s="1197" t="s">
        <v>359</v>
      </c>
      <c r="C7" s="415"/>
      <c r="D7" s="416"/>
      <c r="E7" s="417"/>
      <c r="F7" s="418"/>
      <c r="G7" s="829" t="s">
        <v>708</v>
      </c>
      <c r="H7" s="2313" t="s">
        <v>2330</v>
      </c>
      <c r="I7" s="2314"/>
      <c r="J7" s="2313" t="s">
        <v>2331</v>
      </c>
      <c r="K7" s="2314"/>
      <c r="L7" s="2313" t="s">
        <v>2332</v>
      </c>
      <c r="M7" s="2314"/>
      <c r="N7" s="2402" t="s">
        <v>2333</v>
      </c>
      <c r="O7" s="2314"/>
      <c r="P7" s="2313" t="s">
        <v>2334</v>
      </c>
      <c r="Q7" s="2314"/>
      <c r="R7" s="2313" t="s">
        <v>2335</v>
      </c>
      <c r="S7" s="2314"/>
      <c r="T7" s="2313" t="s">
        <v>2336</v>
      </c>
      <c r="U7" s="2314"/>
      <c r="V7" s="2313" t="s">
        <v>2337</v>
      </c>
      <c r="W7" s="2314"/>
      <c r="X7" s="2313" t="s">
        <v>2332</v>
      </c>
      <c r="Y7" s="2314"/>
      <c r="Z7" s="2313" t="s">
        <v>2338</v>
      </c>
      <c r="AA7" s="2314"/>
      <c r="AB7" s="2313" t="s">
        <v>2339</v>
      </c>
      <c r="AC7" s="2314"/>
      <c r="AD7" s="261"/>
    </row>
    <row r="8" spans="1:30">
      <c r="A8" s="1082" t="s">
        <v>712</v>
      </c>
      <c r="B8" s="1198"/>
      <c r="C8" s="415"/>
      <c r="D8" s="416"/>
      <c r="E8" s="417"/>
      <c r="F8" s="418"/>
      <c r="G8" s="829" t="s">
        <v>713</v>
      </c>
      <c r="H8" s="2343" t="s">
        <v>2340</v>
      </c>
      <c r="I8" s="2344"/>
      <c r="J8" s="2343" t="s">
        <v>2341</v>
      </c>
      <c r="K8" s="2344"/>
      <c r="L8" s="2343" t="s">
        <v>2342</v>
      </c>
      <c r="M8" s="2344"/>
      <c r="N8" s="2343" t="s">
        <v>2343</v>
      </c>
      <c r="O8" s="2344"/>
      <c r="P8" s="2343" t="s">
        <v>2344</v>
      </c>
      <c r="Q8" s="2344"/>
      <c r="R8" s="2343" t="s">
        <v>2345</v>
      </c>
      <c r="S8" s="2344"/>
      <c r="T8" s="2343" t="s">
        <v>2346</v>
      </c>
      <c r="U8" s="2344"/>
      <c r="V8" s="2343" t="s">
        <v>2347</v>
      </c>
      <c r="W8" s="2344"/>
      <c r="X8" s="2343" t="s">
        <v>2342</v>
      </c>
      <c r="Y8" s="2344"/>
      <c r="Z8" s="2343" t="s">
        <v>2348</v>
      </c>
      <c r="AA8" s="2344"/>
      <c r="AB8" s="2403" t="s">
        <v>2349</v>
      </c>
      <c r="AC8" s="2404"/>
      <c r="AD8" s="261"/>
    </row>
    <row r="9" spans="1:30" ht="15.75" thickBot="1">
      <c r="A9" s="420"/>
      <c r="B9" s="421"/>
      <c r="C9" s="23"/>
      <c r="D9" s="265"/>
      <c r="E9" s="266"/>
      <c r="F9" s="283"/>
      <c r="G9" s="284" t="s">
        <v>717</v>
      </c>
      <c r="H9" s="2317">
        <f>I88</f>
        <v>10305235</v>
      </c>
      <c r="I9" s="2318"/>
      <c r="J9" s="2317">
        <f>K88</f>
        <v>10681543.005000001</v>
      </c>
      <c r="K9" s="2318"/>
      <c r="L9" s="2317">
        <f>M88</f>
        <v>11632480</v>
      </c>
      <c r="M9" s="2318"/>
      <c r="N9" s="2317">
        <f>O88</f>
        <v>100000</v>
      </c>
      <c r="O9" s="2318"/>
      <c r="P9" s="2317">
        <f>Q88</f>
        <v>100000</v>
      </c>
      <c r="Q9" s="2318"/>
      <c r="R9" s="2317">
        <f>S88</f>
        <v>100000</v>
      </c>
      <c r="S9" s="2318"/>
      <c r="T9" s="2317">
        <f>U88</f>
        <v>100000</v>
      </c>
      <c r="U9" s="2318"/>
      <c r="V9" s="2317">
        <f>W88</f>
        <v>100000</v>
      </c>
      <c r="W9" s="2318"/>
      <c r="X9" s="2317">
        <f>Y88</f>
        <v>100000</v>
      </c>
      <c r="Y9" s="2318"/>
      <c r="Z9" s="2317">
        <f>AA88</f>
        <v>100000</v>
      </c>
      <c r="AA9" s="2318"/>
      <c r="AB9" s="2317">
        <f>AC88</f>
        <v>100000</v>
      </c>
      <c r="AC9" s="2318"/>
      <c r="AD9" s="261"/>
    </row>
    <row r="10" spans="1:30"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1" t="s">
        <v>724</v>
      </c>
      <c r="R10" s="290" t="s">
        <v>723</v>
      </c>
      <c r="S10" s="291" t="s">
        <v>724</v>
      </c>
      <c r="T10" s="290" t="s">
        <v>723</v>
      </c>
      <c r="U10" s="291" t="s">
        <v>724</v>
      </c>
      <c r="V10" s="290" t="s">
        <v>723</v>
      </c>
      <c r="W10" s="291" t="s">
        <v>724</v>
      </c>
      <c r="X10" s="290" t="s">
        <v>723</v>
      </c>
      <c r="Y10" s="291" t="s">
        <v>724</v>
      </c>
      <c r="Z10" s="290" t="s">
        <v>723</v>
      </c>
      <c r="AA10" s="291" t="s">
        <v>724</v>
      </c>
      <c r="AB10" s="290" t="s">
        <v>723</v>
      </c>
      <c r="AC10" s="291" t="s">
        <v>724</v>
      </c>
      <c r="AD10" s="268"/>
    </row>
    <row r="11" spans="1:30" ht="15.75">
      <c r="A11" s="1589"/>
      <c r="B11" s="1921" t="s">
        <v>725</v>
      </c>
      <c r="C11" s="928"/>
      <c r="D11" s="1740"/>
      <c r="E11" s="1740"/>
      <c r="F11" s="1744"/>
      <c r="G11" s="1781"/>
      <c r="H11" s="1922"/>
      <c r="I11" s="1783"/>
      <c r="J11" s="1922"/>
      <c r="K11" s="1782"/>
      <c r="L11" s="1922"/>
      <c r="M11" s="285"/>
      <c r="N11" s="1922"/>
      <c r="O11" s="1783"/>
      <c r="P11" s="1922"/>
      <c r="Q11" s="1783"/>
      <c r="R11" s="1922"/>
      <c r="S11" s="1783"/>
      <c r="T11" s="1922"/>
      <c r="U11" s="1783"/>
      <c r="V11" s="1922"/>
      <c r="W11" s="1783"/>
      <c r="X11" s="1922"/>
      <c r="Y11" s="1783"/>
      <c r="Z11" s="1922"/>
      <c r="AA11" s="1783"/>
      <c r="AB11" s="1922"/>
      <c r="AC11" s="1783"/>
    </row>
    <row r="12" spans="1:30">
      <c r="A12" s="1589"/>
      <c r="B12" s="1263" t="s">
        <v>726</v>
      </c>
      <c r="C12" s="446"/>
      <c r="D12" s="422"/>
      <c r="E12" s="422"/>
      <c r="F12" s="418"/>
      <c r="G12" s="423"/>
      <c r="H12" s="1264" t="s">
        <v>727</v>
      </c>
      <c r="I12" s="1782"/>
      <c r="J12" s="1264" t="s">
        <v>727</v>
      </c>
      <c r="K12" s="1782"/>
      <c r="L12" s="1264" t="s">
        <v>727</v>
      </c>
      <c r="M12" s="1783"/>
      <c r="N12" s="1264"/>
      <c r="O12" s="1783"/>
      <c r="P12" s="1264"/>
      <c r="Q12" s="1783"/>
      <c r="R12" s="1264"/>
      <c r="S12" s="1783"/>
      <c r="T12" s="1264"/>
      <c r="U12" s="1783"/>
      <c r="V12" s="1264"/>
      <c r="W12" s="1783"/>
      <c r="X12" s="1264"/>
      <c r="Y12" s="1783"/>
      <c r="Z12" s="1264"/>
      <c r="AA12" s="1783"/>
      <c r="AB12" s="1264"/>
      <c r="AC12" s="1783"/>
    </row>
    <row r="13" spans="1:30">
      <c r="A13" s="1097"/>
      <c r="B13" s="1263" t="s">
        <v>728</v>
      </c>
      <c r="C13" s="446"/>
      <c r="D13" s="422"/>
      <c r="E13" s="422"/>
      <c r="F13" s="418"/>
      <c r="G13" s="423"/>
      <c r="H13" s="1264" t="s">
        <v>727</v>
      </c>
      <c r="I13" s="1782"/>
      <c r="J13" s="1264" t="s">
        <v>727</v>
      </c>
      <c r="K13" s="1782"/>
      <c r="L13" s="1264" t="s">
        <v>727</v>
      </c>
      <c r="M13" s="1783"/>
      <c r="N13" s="1264"/>
      <c r="O13" s="1783"/>
      <c r="P13" s="1264"/>
      <c r="Q13" s="1783"/>
      <c r="R13" s="1264"/>
      <c r="S13" s="1783"/>
      <c r="T13" s="1264"/>
      <c r="U13" s="1783"/>
      <c r="V13" s="1264"/>
      <c r="W13" s="1783"/>
      <c r="X13" s="1264"/>
      <c r="Y13" s="1783"/>
      <c r="Z13" s="1264"/>
      <c r="AA13" s="1783"/>
      <c r="AB13" s="1264"/>
      <c r="AC13" s="1783"/>
    </row>
    <row r="14" spans="1:30">
      <c r="A14" s="1589"/>
      <c r="B14" s="1265" t="s">
        <v>729</v>
      </c>
      <c r="C14" s="446"/>
      <c r="D14" s="422"/>
      <c r="E14" s="422"/>
      <c r="F14" s="418"/>
      <c r="G14" s="423"/>
      <c r="H14" s="1264" t="s">
        <v>730</v>
      </c>
      <c r="I14" s="1782" t="s">
        <v>1513</v>
      </c>
      <c r="J14" s="1264" t="s">
        <v>730</v>
      </c>
      <c r="K14" s="1784" t="s">
        <v>837</v>
      </c>
      <c r="L14" s="1264" t="s">
        <v>730</v>
      </c>
      <c r="M14" s="1783"/>
      <c r="N14" s="1264"/>
      <c r="O14" s="1783"/>
      <c r="P14" s="1264"/>
      <c r="Q14" s="1783"/>
      <c r="R14" s="1264"/>
      <c r="S14" s="1783"/>
      <c r="T14" s="1264"/>
      <c r="U14" s="1783"/>
      <c r="V14" s="1264"/>
      <c r="W14" s="1783"/>
      <c r="X14" s="1264"/>
      <c r="Y14" s="1783"/>
      <c r="Z14" s="1264"/>
      <c r="AA14" s="1783"/>
      <c r="AB14" s="1264"/>
      <c r="AC14" s="1783"/>
    </row>
    <row r="15" spans="1:30">
      <c r="A15" s="1097"/>
      <c r="B15" s="1265" t="s">
        <v>731</v>
      </c>
      <c r="C15" s="446"/>
      <c r="D15" s="422"/>
      <c r="E15" s="422"/>
      <c r="F15" s="418"/>
      <c r="G15" s="423"/>
      <c r="H15" s="1264" t="s">
        <v>727</v>
      </c>
      <c r="I15" s="1782"/>
      <c r="J15" s="1264" t="s">
        <v>727</v>
      </c>
      <c r="K15" s="1782"/>
      <c r="L15" s="1264" t="s">
        <v>727</v>
      </c>
      <c r="M15" s="1782"/>
      <c r="N15" s="1264"/>
      <c r="O15" s="1782"/>
      <c r="P15" s="1264"/>
      <c r="Q15" s="1782"/>
      <c r="R15" s="1264"/>
      <c r="S15" s="1782"/>
      <c r="T15" s="1264"/>
      <c r="U15" s="1782"/>
      <c r="V15" s="1264"/>
      <c r="W15" s="1782"/>
      <c r="X15" s="1264"/>
      <c r="Y15" s="1782"/>
      <c r="Z15" s="1264"/>
      <c r="AA15" s="1782"/>
      <c r="AB15" s="1264"/>
      <c r="AC15" s="1782"/>
    </row>
    <row r="16" spans="1:30">
      <c r="A16" s="1589"/>
      <c r="B16" s="1265" t="s">
        <v>732</v>
      </c>
      <c r="C16" s="446"/>
      <c r="D16" s="422"/>
      <c r="E16" s="422"/>
      <c r="F16" s="418"/>
      <c r="G16" s="423"/>
      <c r="H16" s="1264" t="s">
        <v>727</v>
      </c>
      <c r="I16" s="1782"/>
      <c r="J16" s="1264" t="s">
        <v>727</v>
      </c>
      <c r="K16" s="1782"/>
      <c r="L16" s="1264" t="s">
        <v>727</v>
      </c>
      <c r="M16" s="1783"/>
      <c r="N16" s="1264"/>
      <c r="O16" s="1783"/>
      <c r="P16" s="1264"/>
      <c r="Q16" s="1783"/>
      <c r="R16" s="1264"/>
      <c r="S16" s="1783"/>
      <c r="T16" s="1264"/>
      <c r="U16" s="1783"/>
      <c r="V16" s="1264"/>
      <c r="W16" s="1783"/>
      <c r="X16" s="1264"/>
      <c r="Y16" s="1783"/>
      <c r="Z16" s="1264"/>
      <c r="AA16" s="1783"/>
      <c r="AB16" s="1264"/>
      <c r="AC16" s="1783"/>
    </row>
    <row r="17" spans="1:47">
      <c r="A17" s="1097"/>
      <c r="B17" s="1265" t="s">
        <v>733</v>
      </c>
      <c r="C17" s="446"/>
      <c r="D17" s="422"/>
      <c r="E17" s="422"/>
      <c r="F17" s="418"/>
      <c r="G17" s="423"/>
      <c r="H17" s="1264" t="s">
        <v>727</v>
      </c>
      <c r="I17" s="1782"/>
      <c r="J17" s="1264" t="s">
        <v>727</v>
      </c>
      <c r="K17" s="1782"/>
      <c r="L17" s="1264" t="s">
        <v>727</v>
      </c>
      <c r="M17" s="1783"/>
      <c r="N17" s="1264"/>
      <c r="O17" s="1783"/>
      <c r="P17" s="1264"/>
      <c r="Q17" s="1783"/>
      <c r="R17" s="1264"/>
      <c r="S17" s="1783"/>
      <c r="T17" s="1264"/>
      <c r="U17" s="1783"/>
      <c r="V17" s="1264"/>
      <c r="W17" s="1783"/>
      <c r="X17" s="1264"/>
      <c r="Y17" s="1783"/>
      <c r="Z17" s="1264"/>
      <c r="AA17" s="1783"/>
      <c r="AB17" s="1264"/>
      <c r="AC17" s="1783"/>
    </row>
    <row r="18" spans="1:47">
      <c r="A18" s="1589"/>
      <c r="B18" s="534" t="s">
        <v>734</v>
      </c>
      <c r="C18" s="446"/>
      <c r="D18" s="422"/>
      <c r="E18" s="422"/>
      <c r="F18" s="418"/>
      <c r="G18" s="423"/>
      <c r="H18" s="1264" t="s">
        <v>730</v>
      </c>
      <c r="I18" s="1782"/>
      <c r="J18" s="1264" t="s">
        <v>730</v>
      </c>
      <c r="K18" s="1782"/>
      <c r="L18" s="1264" t="s">
        <v>730</v>
      </c>
      <c r="M18" s="1783"/>
      <c r="N18" s="1264"/>
      <c r="O18" s="1783"/>
      <c r="P18" s="1264"/>
      <c r="Q18" s="1783"/>
      <c r="R18" s="1264"/>
      <c r="S18" s="1783"/>
      <c r="T18" s="1264"/>
      <c r="U18" s="1783"/>
      <c r="V18" s="1264"/>
      <c r="W18" s="1783"/>
      <c r="X18" s="1264"/>
      <c r="Y18" s="1783"/>
      <c r="Z18" s="1264"/>
      <c r="AA18" s="1783"/>
      <c r="AB18" s="1264"/>
      <c r="AC18" s="1783"/>
    </row>
    <row r="19" spans="1:47">
      <c r="A19" s="1589"/>
      <c r="B19" s="1154" t="s">
        <v>736</v>
      </c>
      <c r="C19" s="446"/>
      <c r="D19" s="422"/>
      <c r="E19" s="422"/>
      <c r="F19" s="418"/>
      <c r="G19" s="423"/>
      <c r="H19" s="1264"/>
      <c r="I19" s="1783"/>
      <c r="J19" s="1264"/>
      <c r="K19" s="1782"/>
      <c r="L19" s="1264"/>
      <c r="M19" s="1783"/>
      <c r="N19" s="1264"/>
      <c r="O19" s="1783"/>
      <c r="P19" s="1264"/>
      <c r="Q19" s="1783"/>
      <c r="R19" s="1264"/>
      <c r="S19" s="1783"/>
      <c r="T19" s="1264"/>
      <c r="U19" s="1783"/>
      <c r="V19" s="1264"/>
      <c r="W19" s="1783"/>
      <c r="X19" s="1264"/>
      <c r="Y19" s="1783"/>
      <c r="Z19" s="1264"/>
      <c r="AA19" s="1783"/>
      <c r="AB19" s="1264"/>
      <c r="AC19" s="1783"/>
    </row>
    <row r="20" spans="1:47">
      <c r="A20" s="1097"/>
      <c r="B20" s="1853" t="s">
        <v>737</v>
      </c>
      <c r="C20" s="447"/>
      <c r="D20" s="425"/>
      <c r="E20" s="425"/>
      <c r="F20" s="426"/>
      <c r="G20" s="427"/>
      <c r="H20" s="1156"/>
      <c r="I20" s="1787">
        <f>9611000+35000+60000</f>
        <v>9706000</v>
      </c>
      <c r="J20" s="1156"/>
      <c r="K20" s="1786">
        <v>10422636</v>
      </c>
      <c r="L20" s="1156"/>
      <c r="M20" s="1787">
        <f>12081000-158000-390520</f>
        <v>11532480</v>
      </c>
      <c r="N20" s="1156"/>
      <c r="O20" s="1787"/>
      <c r="P20" s="1156"/>
      <c r="Q20" s="1787"/>
      <c r="R20" s="1156"/>
      <c r="S20" s="1787"/>
      <c r="T20" s="1156"/>
      <c r="U20" s="1787"/>
      <c r="V20" s="1156"/>
      <c r="W20" s="1787"/>
      <c r="X20" s="1156"/>
      <c r="Y20" s="1787"/>
      <c r="Z20" s="1156"/>
      <c r="AA20" s="1787"/>
      <c r="AB20" s="1156"/>
      <c r="AC20" s="1787"/>
    </row>
    <row r="21" spans="1:47">
      <c r="A21" s="1097"/>
      <c r="B21" s="1924"/>
      <c r="C21" s="415"/>
      <c r="D21" s="430"/>
      <c r="E21" s="422"/>
      <c r="F21" s="431"/>
      <c r="G21" s="1751"/>
      <c r="H21" s="1264"/>
      <c r="I21" s="1783"/>
      <c r="J21" s="1264"/>
      <c r="K21" s="1783"/>
      <c r="L21" s="1264"/>
      <c r="M21" s="1783"/>
      <c r="N21" s="1264"/>
      <c r="O21" s="1783"/>
      <c r="P21" s="1264"/>
      <c r="Q21" s="1783"/>
      <c r="R21" s="1264"/>
      <c r="S21" s="1783"/>
      <c r="T21" s="1264"/>
      <c r="U21" s="1783"/>
      <c r="V21" s="1264"/>
      <c r="W21" s="1783"/>
      <c r="X21" s="1264"/>
      <c r="Y21" s="1783"/>
      <c r="Z21" s="1264"/>
      <c r="AA21" s="1783"/>
      <c r="AB21" s="1264"/>
      <c r="AC21" s="1783"/>
    </row>
    <row r="22" spans="1:47">
      <c r="A22" s="1097"/>
      <c r="B22" s="1944" t="s">
        <v>2350</v>
      </c>
      <c r="C22" s="415"/>
      <c r="D22" s="430"/>
      <c r="E22" s="422"/>
      <c r="F22" s="431"/>
      <c r="G22" s="1751"/>
      <c r="H22" s="1264"/>
      <c r="I22" s="1783"/>
      <c r="J22" s="1264"/>
      <c r="K22" s="1783"/>
      <c r="L22" s="1264"/>
      <c r="M22" s="1783"/>
      <c r="N22" s="1264"/>
      <c r="O22" s="1783"/>
      <c r="P22" s="1264"/>
      <c r="Q22" s="1783"/>
      <c r="R22" s="1264"/>
      <c r="S22" s="1783"/>
      <c r="T22" s="1264"/>
      <c r="U22" s="1783"/>
      <c r="V22" s="1264"/>
      <c r="W22" s="1783"/>
      <c r="X22" s="1264"/>
      <c r="Y22" s="1783"/>
      <c r="Z22" s="1264"/>
      <c r="AA22" s="1783"/>
      <c r="AB22" s="1264"/>
      <c r="AC22" s="1783"/>
    </row>
    <row r="23" spans="1:47">
      <c r="A23" s="1097"/>
      <c r="B23" s="1924"/>
      <c r="C23" s="415"/>
      <c r="D23" s="430"/>
      <c r="E23" s="422"/>
      <c r="F23" s="431"/>
      <c r="G23" s="1751"/>
      <c r="H23" s="1264"/>
      <c r="I23" s="1783"/>
      <c r="J23" s="1264"/>
      <c r="K23" s="1783"/>
      <c r="L23" s="1264"/>
      <c r="M23" s="1783"/>
      <c r="N23" s="1264"/>
      <c r="O23" s="1783"/>
      <c r="P23" s="1264"/>
      <c r="Q23" s="1783"/>
      <c r="R23" s="1264"/>
      <c r="S23" s="1783"/>
      <c r="T23" s="1264"/>
      <c r="U23" s="1783"/>
      <c r="V23" s="1264"/>
      <c r="W23" s="1783"/>
      <c r="X23" s="1264"/>
      <c r="Y23" s="1783"/>
      <c r="Z23" s="1264"/>
      <c r="AA23" s="1783"/>
      <c r="AB23" s="1264"/>
      <c r="AC23" s="1783"/>
    </row>
    <row r="24" spans="1:47" s="69" customFormat="1">
      <c r="A24" s="1097"/>
      <c r="B24" s="1945" t="s">
        <v>1617</v>
      </c>
      <c r="C24" s="415"/>
      <c r="D24" s="430"/>
      <c r="E24" s="422"/>
      <c r="F24" s="431"/>
      <c r="G24" s="1751"/>
      <c r="H24" s="1264" t="s">
        <v>727</v>
      </c>
      <c r="I24" s="1783"/>
      <c r="J24" s="1264" t="s">
        <v>727</v>
      </c>
      <c r="K24" s="1783"/>
      <c r="L24" s="1264" t="s">
        <v>727</v>
      </c>
      <c r="M24" s="1783"/>
      <c r="N24" s="1264"/>
      <c r="O24" s="1783"/>
      <c r="P24" s="1264"/>
      <c r="Q24" s="1783"/>
      <c r="R24" s="1264"/>
      <c r="S24" s="1783"/>
      <c r="T24" s="1264"/>
      <c r="U24" s="1783"/>
      <c r="V24" s="1264"/>
      <c r="W24" s="1783"/>
      <c r="X24" s="1264"/>
      <c r="Y24" s="1783"/>
      <c r="Z24" s="1264"/>
      <c r="AA24" s="1783"/>
      <c r="AB24" s="1264"/>
      <c r="AC24" s="1783"/>
      <c r="AD24"/>
      <c r="AE24"/>
      <c r="AF24"/>
      <c r="AG24"/>
      <c r="AH24"/>
      <c r="AI24"/>
      <c r="AJ24"/>
      <c r="AK24"/>
      <c r="AL24"/>
      <c r="AM24"/>
      <c r="AN24"/>
      <c r="AO24"/>
      <c r="AP24"/>
      <c r="AQ24"/>
      <c r="AR24"/>
      <c r="AS24"/>
      <c r="AT24"/>
      <c r="AU24"/>
    </row>
    <row r="25" spans="1:47">
      <c r="A25" s="1097"/>
      <c r="B25" s="1924" t="s">
        <v>2351</v>
      </c>
      <c r="C25" s="415"/>
      <c r="D25" s="430"/>
      <c r="E25" s="422"/>
      <c r="F25" s="431"/>
      <c r="G25" s="1751"/>
      <c r="H25" s="1264" t="s">
        <v>727</v>
      </c>
      <c r="I25" s="1783"/>
      <c r="J25" s="1264" t="s">
        <v>727</v>
      </c>
      <c r="K25" s="1783"/>
      <c r="L25" s="1264" t="s">
        <v>727</v>
      </c>
      <c r="M25" s="1783"/>
      <c r="N25" s="1264"/>
      <c r="O25" s="1783"/>
      <c r="P25" s="1264"/>
      <c r="Q25" s="1783"/>
      <c r="R25" s="1264"/>
      <c r="S25" s="1783"/>
      <c r="T25" s="1264"/>
      <c r="U25" s="1783"/>
      <c r="V25" s="1264"/>
      <c r="W25" s="1783"/>
      <c r="X25" s="1264"/>
      <c r="Y25" s="1783"/>
      <c r="Z25" s="1264"/>
      <c r="AA25" s="1783"/>
      <c r="AB25" s="1264"/>
      <c r="AC25" s="1783"/>
    </row>
    <row r="26" spans="1:47">
      <c r="A26" s="1097"/>
      <c r="B26" s="1924" t="s">
        <v>2352</v>
      </c>
      <c r="C26" s="415"/>
      <c r="D26" s="430"/>
      <c r="E26" s="422"/>
      <c r="F26" s="431"/>
      <c r="G26" s="1751"/>
      <c r="H26" s="1264" t="s">
        <v>727</v>
      </c>
      <c r="I26" s="1783"/>
      <c r="J26" s="1264" t="s">
        <v>727</v>
      </c>
      <c r="K26" s="1783"/>
      <c r="L26" s="1264" t="s">
        <v>727</v>
      </c>
      <c r="M26" s="1783"/>
      <c r="N26" s="1264"/>
      <c r="O26" s="1783"/>
      <c r="P26" s="1264"/>
      <c r="Q26" s="1783"/>
      <c r="R26" s="1264"/>
      <c r="S26" s="1783"/>
      <c r="T26" s="1264"/>
      <c r="U26" s="1783"/>
      <c r="V26" s="1264"/>
      <c r="W26" s="1783"/>
      <c r="X26" s="1264"/>
      <c r="Y26" s="1783"/>
      <c r="Z26" s="1264"/>
      <c r="AA26" s="1783"/>
      <c r="AB26" s="1264"/>
      <c r="AC26" s="1783"/>
    </row>
    <row r="27" spans="1:47" ht="34.5" customHeight="1">
      <c r="A27" s="1589"/>
      <c r="B27" s="1924" t="s">
        <v>2353</v>
      </c>
      <c r="C27" s="415"/>
      <c r="D27" s="430"/>
      <c r="E27" s="422"/>
      <c r="F27" s="431"/>
      <c r="G27" s="1751"/>
      <c r="H27" s="1264" t="s">
        <v>727</v>
      </c>
      <c r="I27" s="1783"/>
      <c r="J27" s="1264" t="s">
        <v>727</v>
      </c>
      <c r="K27" s="1783"/>
      <c r="L27" s="1264" t="s">
        <v>727</v>
      </c>
      <c r="M27" s="1783"/>
      <c r="N27" s="1264"/>
      <c r="O27" s="1783"/>
      <c r="P27" s="1264"/>
      <c r="Q27" s="1783"/>
      <c r="R27" s="1264"/>
      <c r="S27" s="1783"/>
      <c r="T27" s="1264"/>
      <c r="U27" s="1783"/>
      <c r="V27" s="1264"/>
      <c r="W27" s="1783"/>
      <c r="X27" s="1264"/>
      <c r="Y27" s="1783"/>
      <c r="Z27" s="1264"/>
      <c r="AA27" s="1783"/>
      <c r="AB27" s="1264"/>
      <c r="AC27" s="1783"/>
    </row>
    <row r="28" spans="1:47" ht="30" customHeight="1">
      <c r="A28" s="1589"/>
      <c r="B28" s="1924" t="s">
        <v>2354</v>
      </c>
      <c r="C28" s="415"/>
      <c r="D28" s="430"/>
      <c r="E28" s="422"/>
      <c r="F28" s="431"/>
      <c r="G28" s="1751"/>
      <c r="H28" s="1264" t="s">
        <v>727</v>
      </c>
      <c r="I28" s="1783"/>
      <c r="J28" s="1264" t="s">
        <v>727</v>
      </c>
      <c r="K28" s="1783"/>
      <c r="L28" s="1264" t="s">
        <v>727</v>
      </c>
      <c r="M28" s="1783"/>
      <c r="N28" s="1264"/>
      <c r="O28" s="1783"/>
      <c r="P28" s="1264"/>
      <c r="Q28" s="1783"/>
      <c r="R28" s="1264"/>
      <c r="S28" s="1783"/>
      <c r="T28" s="1264"/>
      <c r="U28" s="1783"/>
      <c r="V28" s="1264"/>
      <c r="W28" s="1783"/>
      <c r="X28" s="1264"/>
      <c r="Y28" s="1783"/>
      <c r="Z28" s="1264"/>
      <c r="AA28" s="1783"/>
      <c r="AB28" s="1264"/>
      <c r="AC28" s="1783"/>
    </row>
    <row r="29" spans="1:47">
      <c r="A29" s="1097"/>
      <c r="B29" s="1924" t="s">
        <v>2355</v>
      </c>
      <c r="C29" s="415"/>
      <c r="D29" s="430"/>
      <c r="E29" s="422"/>
      <c r="F29" s="431"/>
      <c r="G29" s="1751"/>
      <c r="H29" s="1264" t="s">
        <v>727</v>
      </c>
      <c r="I29" s="1783"/>
      <c r="J29" s="1264" t="s">
        <v>727</v>
      </c>
      <c r="K29" s="1783"/>
      <c r="L29" s="1264" t="s">
        <v>727</v>
      </c>
      <c r="M29" s="1783"/>
      <c r="N29" s="1264"/>
      <c r="O29" s="1783"/>
      <c r="P29" s="1264"/>
      <c r="Q29" s="1783"/>
      <c r="R29" s="1264"/>
      <c r="S29" s="1783"/>
      <c r="T29" s="1264"/>
      <c r="U29" s="1783"/>
      <c r="V29" s="1264"/>
      <c r="W29" s="1783"/>
      <c r="X29" s="1264"/>
      <c r="Y29" s="1783"/>
      <c r="Z29" s="1264"/>
      <c r="AA29" s="1783"/>
      <c r="AB29" s="1264"/>
      <c r="AC29" s="1783"/>
    </row>
    <row r="30" spans="1:47">
      <c r="A30" s="1589"/>
      <c r="B30" s="1924" t="s">
        <v>2356</v>
      </c>
      <c r="C30" s="415"/>
      <c r="D30" s="430"/>
      <c r="E30" s="422"/>
      <c r="F30" s="431"/>
      <c r="G30" s="1751"/>
      <c r="H30" s="1264" t="s">
        <v>727</v>
      </c>
      <c r="I30" s="1783"/>
      <c r="J30" s="1264" t="s">
        <v>727</v>
      </c>
      <c r="K30" s="1783"/>
      <c r="L30" s="1264" t="s">
        <v>727</v>
      </c>
      <c r="M30" s="1783"/>
      <c r="N30" s="1264"/>
      <c r="O30" s="1783"/>
      <c r="P30" s="1264"/>
      <c r="Q30" s="1783"/>
      <c r="R30" s="1264"/>
      <c r="S30" s="1783"/>
      <c r="T30" s="1264"/>
      <c r="U30" s="1783"/>
      <c r="V30" s="1264"/>
      <c r="W30" s="1783"/>
      <c r="X30" s="1264"/>
      <c r="Y30" s="1783"/>
      <c r="Z30" s="1264"/>
      <c r="AA30" s="1783"/>
      <c r="AB30" s="1264"/>
      <c r="AC30" s="1783"/>
    </row>
    <row r="31" spans="1:47" ht="25.5">
      <c r="A31" s="1589"/>
      <c r="B31" s="1924" t="s">
        <v>2357</v>
      </c>
      <c r="C31" s="415"/>
      <c r="D31" s="430"/>
      <c r="E31" s="422" t="s">
        <v>847</v>
      </c>
      <c r="F31" s="431"/>
      <c r="G31" s="1751"/>
      <c r="H31" s="1264" t="s">
        <v>727</v>
      </c>
      <c r="I31" s="1783"/>
      <c r="J31" s="1264" t="s">
        <v>727</v>
      </c>
      <c r="K31" s="1783"/>
      <c r="L31" s="1264" t="s">
        <v>727</v>
      </c>
      <c r="M31" s="1783"/>
      <c r="N31" s="1264"/>
      <c r="O31" s="1783"/>
      <c r="P31" s="1264"/>
      <c r="Q31" s="1783"/>
      <c r="R31" s="1264"/>
      <c r="S31" s="1783"/>
      <c r="T31" s="1264"/>
      <c r="U31" s="1783"/>
      <c r="V31" s="1264"/>
      <c r="W31" s="1783"/>
      <c r="X31" s="1264"/>
      <c r="Y31" s="1783"/>
      <c r="Z31" s="1264"/>
      <c r="AA31" s="1783"/>
      <c r="AB31" s="1264"/>
      <c r="AC31" s="1783"/>
    </row>
    <row r="32" spans="1:47">
      <c r="A32" s="1589"/>
      <c r="B32" s="1924" t="s">
        <v>2358</v>
      </c>
      <c r="C32" s="415"/>
      <c r="D32" s="430"/>
      <c r="E32" s="422"/>
      <c r="F32" s="431"/>
      <c r="G32" s="1751"/>
      <c r="H32" s="1264" t="s">
        <v>727</v>
      </c>
      <c r="I32" s="1783"/>
      <c r="J32" s="1264" t="s">
        <v>727</v>
      </c>
      <c r="K32" s="1783"/>
      <c r="L32" s="1264" t="s">
        <v>727</v>
      </c>
      <c r="M32" s="1783"/>
      <c r="N32" s="1264"/>
      <c r="O32" s="1783"/>
      <c r="P32" s="1264"/>
      <c r="Q32" s="1783"/>
      <c r="R32" s="1264"/>
      <c r="S32" s="1783"/>
      <c r="T32" s="1264"/>
      <c r="U32" s="1783"/>
      <c r="V32" s="1264"/>
      <c r="W32" s="1783"/>
      <c r="X32" s="1264"/>
      <c r="Y32" s="1783"/>
      <c r="Z32" s="1264"/>
      <c r="AA32" s="1783"/>
      <c r="AB32" s="1264"/>
      <c r="AC32" s="1783"/>
    </row>
    <row r="33" spans="1:29">
      <c r="A33" s="1097"/>
      <c r="B33" s="1924" t="s">
        <v>2359</v>
      </c>
      <c r="C33" s="415"/>
      <c r="D33" s="430"/>
      <c r="E33" s="422"/>
      <c r="F33" s="431"/>
      <c r="G33" s="1751"/>
      <c r="H33" s="1264" t="s">
        <v>727</v>
      </c>
      <c r="I33" s="1783"/>
      <c r="J33" s="1264" t="s">
        <v>727</v>
      </c>
      <c r="K33" s="1783"/>
      <c r="L33" s="1264" t="s">
        <v>727</v>
      </c>
      <c r="M33" s="1783"/>
      <c r="N33" s="1264"/>
      <c r="O33" s="1783"/>
      <c r="P33" s="1264"/>
      <c r="Q33" s="1783"/>
      <c r="R33" s="1264"/>
      <c r="S33" s="1783"/>
      <c r="T33" s="1264"/>
      <c r="U33" s="1783"/>
      <c r="V33" s="1264"/>
      <c r="W33" s="1783"/>
      <c r="X33" s="1264"/>
      <c r="Y33" s="1783"/>
      <c r="Z33" s="1264"/>
      <c r="AA33" s="1783"/>
      <c r="AB33" s="1264"/>
      <c r="AC33" s="1783"/>
    </row>
    <row r="34" spans="1:29">
      <c r="A34" s="1097"/>
      <c r="B34" s="1945" t="s">
        <v>2360</v>
      </c>
      <c r="C34" s="415"/>
      <c r="D34" s="430"/>
      <c r="E34" s="422"/>
      <c r="F34" s="431"/>
      <c r="G34" s="1751"/>
      <c r="H34" s="1264" t="s">
        <v>727</v>
      </c>
      <c r="I34" s="1783"/>
      <c r="J34" s="1264" t="s">
        <v>727</v>
      </c>
      <c r="K34" s="1783"/>
      <c r="L34" s="1264" t="s">
        <v>727</v>
      </c>
      <c r="M34" s="1783"/>
      <c r="N34" s="1264"/>
      <c r="O34" s="1783"/>
      <c r="P34" s="1264"/>
      <c r="Q34" s="1783"/>
      <c r="R34" s="1264"/>
      <c r="S34" s="1783"/>
      <c r="T34" s="1264"/>
      <c r="U34" s="1783"/>
      <c r="V34" s="1264"/>
      <c r="W34" s="1783"/>
      <c r="X34" s="1264"/>
      <c r="Y34" s="1783"/>
      <c r="Z34" s="1264"/>
      <c r="AA34" s="1783"/>
      <c r="AB34" s="1264"/>
      <c r="AC34" s="1783"/>
    </row>
    <row r="35" spans="1:29">
      <c r="A35" s="1097"/>
      <c r="B35" s="1924" t="s">
        <v>2361</v>
      </c>
      <c r="C35" s="415"/>
      <c r="D35" s="430"/>
      <c r="E35" s="422"/>
      <c r="F35" s="431"/>
      <c r="G35" s="1751"/>
      <c r="H35" s="1264" t="s">
        <v>727</v>
      </c>
      <c r="I35" s="1783"/>
      <c r="J35" s="1264" t="s">
        <v>727</v>
      </c>
      <c r="K35" s="1783"/>
      <c r="L35" s="1264" t="s">
        <v>727</v>
      </c>
      <c r="M35" s="1783"/>
      <c r="N35" s="1264"/>
      <c r="O35" s="1783"/>
      <c r="P35" s="1264"/>
      <c r="Q35" s="1783"/>
      <c r="R35" s="1264"/>
      <c r="S35" s="1783"/>
      <c r="T35" s="1264"/>
      <c r="U35" s="1783"/>
      <c r="V35" s="1264"/>
      <c r="W35" s="1783"/>
      <c r="X35" s="1264"/>
      <c r="Y35" s="1783"/>
      <c r="Z35" s="1264"/>
      <c r="AA35" s="1783"/>
      <c r="AB35" s="1264"/>
      <c r="AC35" s="1783"/>
    </row>
    <row r="36" spans="1:29" ht="24.75" customHeight="1">
      <c r="A36" s="1097"/>
      <c r="B36" s="1924" t="s">
        <v>2362</v>
      </c>
      <c r="C36" s="415"/>
      <c r="D36" s="430"/>
      <c r="E36" s="422"/>
      <c r="F36" s="431"/>
      <c r="G36" s="1751"/>
      <c r="H36" s="1264" t="s">
        <v>727</v>
      </c>
      <c r="I36" s="1783"/>
      <c r="J36" s="1264" t="s">
        <v>727</v>
      </c>
      <c r="K36" s="1783"/>
      <c r="L36" s="1264" t="s">
        <v>727</v>
      </c>
      <c r="M36" s="1783"/>
      <c r="N36" s="1264"/>
      <c r="O36" s="1783"/>
      <c r="P36" s="1264"/>
      <c r="Q36" s="1783"/>
      <c r="R36" s="1264"/>
      <c r="S36" s="1783"/>
      <c r="T36" s="1264"/>
      <c r="U36" s="1783"/>
      <c r="V36" s="1264"/>
      <c r="W36" s="1783"/>
      <c r="X36" s="1264"/>
      <c r="Y36" s="1783"/>
      <c r="Z36" s="1264"/>
      <c r="AA36" s="1783"/>
      <c r="AB36" s="1264"/>
      <c r="AC36" s="1783"/>
    </row>
    <row r="37" spans="1:29">
      <c r="A37" s="1097"/>
      <c r="B37" s="1924" t="s">
        <v>2363</v>
      </c>
      <c r="C37" s="415"/>
      <c r="D37" s="430"/>
      <c r="E37" s="422"/>
      <c r="F37" s="431"/>
      <c r="G37" s="1751"/>
      <c r="H37" s="1264" t="s">
        <v>727</v>
      </c>
      <c r="I37" s="1783"/>
      <c r="J37" s="1264" t="s">
        <v>727</v>
      </c>
      <c r="K37" s="1783"/>
      <c r="L37" s="1264" t="s">
        <v>727</v>
      </c>
      <c r="M37" s="1783"/>
      <c r="N37" s="1264"/>
      <c r="O37" s="1783"/>
      <c r="P37" s="1264"/>
      <c r="Q37" s="1783"/>
      <c r="R37" s="1264"/>
      <c r="S37" s="1783"/>
      <c r="T37" s="1264"/>
      <c r="U37" s="1783"/>
      <c r="V37" s="1264"/>
      <c r="W37" s="1783"/>
      <c r="X37" s="1264"/>
      <c r="Y37" s="1783"/>
      <c r="Z37" s="1264"/>
      <c r="AA37" s="1783"/>
      <c r="AB37" s="1264"/>
      <c r="AC37" s="1783"/>
    </row>
    <row r="38" spans="1:29">
      <c r="A38" s="1097"/>
      <c r="B38" s="1924" t="s">
        <v>2364</v>
      </c>
      <c r="C38" s="415"/>
      <c r="D38" s="670">
        <v>4</v>
      </c>
      <c r="E38" s="422" t="s">
        <v>847</v>
      </c>
      <c r="F38" s="431"/>
      <c r="G38" s="1751"/>
      <c r="H38" s="1264" t="s">
        <v>727</v>
      </c>
      <c r="I38" s="1783"/>
      <c r="J38" s="1264" t="s">
        <v>727</v>
      </c>
      <c r="K38" s="1783"/>
      <c r="L38" s="1264" t="s">
        <v>727</v>
      </c>
      <c r="M38" s="1783"/>
      <c r="N38" s="1264"/>
      <c r="O38" s="1783"/>
      <c r="P38" s="1264"/>
      <c r="Q38" s="1783"/>
      <c r="R38" s="1264"/>
      <c r="S38" s="1783"/>
      <c r="T38" s="1264"/>
      <c r="U38" s="1783"/>
      <c r="V38" s="1264"/>
      <c r="W38" s="1783"/>
      <c r="X38" s="1264"/>
      <c r="Y38" s="1783"/>
      <c r="Z38" s="1264"/>
      <c r="AA38" s="1783"/>
      <c r="AB38" s="1264"/>
      <c r="AC38" s="1783"/>
    </row>
    <row r="39" spans="1:29">
      <c r="A39" s="1589"/>
      <c r="B39" s="1945" t="s">
        <v>2365</v>
      </c>
      <c r="C39" s="415"/>
      <c r="D39" s="670"/>
      <c r="E39" s="422"/>
      <c r="F39" s="431"/>
      <c r="G39" s="1751"/>
      <c r="H39" s="1264" t="s">
        <v>727</v>
      </c>
      <c r="I39" s="1783"/>
      <c r="J39" s="1264" t="s">
        <v>727</v>
      </c>
      <c r="K39" s="1783"/>
      <c r="L39" s="1264" t="s">
        <v>727</v>
      </c>
      <c r="M39" s="1783"/>
      <c r="N39" s="1264"/>
      <c r="O39" s="1783"/>
      <c r="P39" s="1264"/>
      <c r="Q39" s="1783"/>
      <c r="R39" s="1264"/>
      <c r="S39" s="1783"/>
      <c r="T39" s="1264"/>
      <c r="U39" s="1783"/>
      <c r="V39" s="1264"/>
      <c r="W39" s="1783"/>
      <c r="X39" s="1264"/>
      <c r="Y39" s="1783"/>
      <c r="Z39" s="1264"/>
      <c r="AA39" s="1783"/>
      <c r="AB39" s="1264"/>
      <c r="AC39" s="1783"/>
    </row>
    <row r="40" spans="1:29">
      <c r="A40" s="1589"/>
      <c r="B40" s="1924" t="s">
        <v>2366</v>
      </c>
      <c r="C40" s="415"/>
      <c r="D40" s="430"/>
      <c r="E40" s="422"/>
      <c r="F40" s="431"/>
      <c r="G40" s="1751"/>
      <c r="H40" s="1264" t="s">
        <v>727</v>
      </c>
      <c r="I40" s="1783"/>
      <c r="J40" s="1264" t="s">
        <v>727</v>
      </c>
      <c r="K40" s="1783"/>
      <c r="L40" s="1264" t="s">
        <v>727</v>
      </c>
      <c r="M40" s="1783"/>
      <c r="N40" s="1264"/>
      <c r="O40" s="1783"/>
      <c r="P40" s="1264"/>
      <c r="Q40" s="1783"/>
      <c r="R40" s="1264"/>
      <c r="S40" s="1783"/>
      <c r="T40" s="1264"/>
      <c r="U40" s="1783"/>
      <c r="V40" s="1264"/>
      <c r="W40" s="1783"/>
      <c r="X40" s="1264"/>
      <c r="Y40" s="1783"/>
      <c r="Z40" s="1264"/>
      <c r="AA40" s="1783"/>
      <c r="AB40" s="1264"/>
      <c r="AC40" s="1783"/>
    </row>
    <row r="41" spans="1:29">
      <c r="A41" s="1589"/>
      <c r="B41" s="1924" t="s">
        <v>2367</v>
      </c>
      <c r="C41" s="415"/>
      <c r="D41" s="430"/>
      <c r="E41" s="422"/>
      <c r="F41" s="431"/>
      <c r="G41" s="1751"/>
      <c r="H41" s="1264" t="s">
        <v>727</v>
      </c>
      <c r="I41" s="1783"/>
      <c r="J41" s="1264" t="s">
        <v>727</v>
      </c>
      <c r="K41" s="1783"/>
      <c r="L41" s="1264" t="s">
        <v>727</v>
      </c>
      <c r="M41" s="1783"/>
      <c r="N41" s="1264"/>
      <c r="O41" s="1783"/>
      <c r="P41" s="1264"/>
      <c r="Q41" s="1783"/>
      <c r="R41" s="1264"/>
      <c r="S41" s="1783"/>
      <c r="T41" s="1264"/>
      <c r="U41" s="1783"/>
      <c r="V41" s="1264"/>
      <c r="W41" s="1783"/>
      <c r="X41" s="1264"/>
      <c r="Y41" s="1783"/>
      <c r="Z41" s="1264"/>
      <c r="AA41" s="1783"/>
      <c r="AB41" s="1264"/>
      <c r="AC41" s="1783"/>
    </row>
    <row r="42" spans="1:29">
      <c r="A42" s="1589"/>
      <c r="B42" s="1924" t="s">
        <v>2368</v>
      </c>
      <c r="C42" s="415"/>
      <c r="D42" s="430"/>
      <c r="E42" s="422"/>
      <c r="F42" s="431"/>
      <c r="G42" s="1751"/>
      <c r="H42" s="1264" t="s">
        <v>727</v>
      </c>
      <c r="I42" s="1783"/>
      <c r="J42" s="1264" t="s">
        <v>727</v>
      </c>
      <c r="K42" s="1783"/>
      <c r="L42" s="1264" t="s">
        <v>727</v>
      </c>
      <c r="M42" s="1783"/>
      <c r="N42" s="1264"/>
      <c r="O42" s="1783"/>
      <c r="P42" s="1264"/>
      <c r="Q42" s="1783"/>
      <c r="R42" s="1264"/>
      <c r="S42" s="1783"/>
      <c r="T42" s="1264"/>
      <c r="U42" s="1783"/>
      <c r="V42" s="1264"/>
      <c r="W42" s="1783"/>
      <c r="X42" s="1264"/>
      <c r="Y42" s="1783"/>
      <c r="Z42" s="1264"/>
      <c r="AA42" s="1783"/>
      <c r="AB42" s="1264"/>
      <c r="AC42" s="1783"/>
    </row>
    <row r="43" spans="1:29">
      <c r="A43" s="1589"/>
      <c r="B43" s="1924" t="s">
        <v>2369</v>
      </c>
      <c r="C43" s="415"/>
      <c r="D43" s="430"/>
      <c r="E43" s="422"/>
      <c r="F43" s="431"/>
      <c r="G43" s="1751"/>
      <c r="H43" s="1264" t="s">
        <v>727</v>
      </c>
      <c r="I43" s="1783"/>
      <c r="J43" s="1264" t="s">
        <v>727</v>
      </c>
      <c r="K43" s="1783"/>
      <c r="L43" s="1264" t="s">
        <v>727</v>
      </c>
      <c r="M43" s="1783"/>
      <c r="N43" s="1264"/>
      <c r="O43" s="1783"/>
      <c r="P43" s="1264"/>
      <c r="Q43" s="1783"/>
      <c r="R43" s="1264"/>
      <c r="S43" s="1783"/>
      <c r="T43" s="1264"/>
      <c r="U43" s="1783"/>
      <c r="V43" s="1264"/>
      <c r="W43" s="1783"/>
      <c r="X43" s="1264"/>
      <c r="Y43" s="1783"/>
      <c r="Z43" s="1264"/>
      <c r="AA43" s="1783"/>
      <c r="AB43" s="1264"/>
      <c r="AC43" s="1783"/>
    </row>
    <row r="44" spans="1:29">
      <c r="A44" s="1589"/>
      <c r="B44" s="1924" t="s">
        <v>2370</v>
      </c>
      <c r="C44" s="23"/>
      <c r="D44" s="430"/>
      <c r="E44" s="422"/>
      <c r="F44" s="431"/>
      <c r="G44" s="1751"/>
      <c r="H44" s="1264" t="s">
        <v>727</v>
      </c>
      <c r="I44" s="1783"/>
      <c r="J44" s="1264" t="s">
        <v>727</v>
      </c>
      <c r="K44" s="1783"/>
      <c r="L44" s="1264" t="s">
        <v>727</v>
      </c>
      <c r="M44" s="1783"/>
      <c r="N44" s="1264"/>
      <c r="O44" s="1783"/>
      <c r="P44" s="1264"/>
      <c r="Q44" s="1783"/>
      <c r="R44" s="1264"/>
      <c r="S44" s="1783"/>
      <c r="T44" s="1264"/>
      <c r="U44" s="1783"/>
      <c r="V44" s="1264"/>
      <c r="W44" s="1783"/>
      <c r="X44" s="1264"/>
      <c r="Y44" s="1783"/>
      <c r="Z44" s="1264"/>
      <c r="AA44" s="1783"/>
      <c r="AB44" s="1264"/>
      <c r="AC44" s="1783"/>
    </row>
    <row r="45" spans="1:29">
      <c r="A45" s="1589"/>
      <c r="B45" s="1924" t="s">
        <v>2371</v>
      </c>
      <c r="C45" s="23"/>
      <c r="D45" s="430"/>
      <c r="E45" s="422"/>
      <c r="F45" s="431"/>
      <c r="G45" s="1751"/>
      <c r="H45" s="1264" t="s">
        <v>727</v>
      </c>
      <c r="I45" s="1783"/>
      <c r="J45" s="1264" t="s">
        <v>727</v>
      </c>
      <c r="K45" s="1783"/>
      <c r="L45" s="1264" t="s">
        <v>727</v>
      </c>
      <c r="M45" s="1783"/>
      <c r="N45" s="1264"/>
      <c r="O45" s="1783"/>
      <c r="P45" s="1264"/>
      <c r="Q45" s="1783"/>
      <c r="R45" s="1264"/>
      <c r="S45" s="1783"/>
      <c r="T45" s="1264"/>
      <c r="U45" s="1783"/>
      <c r="V45" s="1264"/>
      <c r="W45" s="1783"/>
      <c r="X45" s="1264"/>
      <c r="Y45" s="1783"/>
      <c r="Z45" s="1264"/>
      <c r="AA45" s="1783"/>
      <c r="AB45" s="1264"/>
      <c r="AC45" s="1783"/>
    </row>
    <row r="46" spans="1:29">
      <c r="A46" s="1589"/>
      <c r="B46" s="1924" t="s">
        <v>2372</v>
      </c>
      <c r="C46" s="23"/>
      <c r="D46" s="430"/>
      <c r="E46" s="422"/>
      <c r="F46" s="431"/>
      <c r="G46" s="1751"/>
      <c r="H46" s="1264" t="s">
        <v>727</v>
      </c>
      <c r="I46" s="1783"/>
      <c r="J46" s="1264" t="s">
        <v>727</v>
      </c>
      <c r="K46" s="1783"/>
      <c r="L46" s="1264" t="s">
        <v>727</v>
      </c>
      <c r="M46" s="1783"/>
      <c r="N46" s="1264"/>
      <c r="O46" s="1783"/>
      <c r="P46" s="1264"/>
      <c r="Q46" s="1783"/>
      <c r="R46" s="1264"/>
      <c r="S46" s="1783"/>
      <c r="T46" s="1264"/>
      <c r="U46" s="1783"/>
      <c r="V46" s="1264"/>
      <c r="W46" s="1783"/>
      <c r="X46" s="1264"/>
      <c r="Y46" s="1783"/>
      <c r="Z46" s="1264"/>
      <c r="AA46" s="1783"/>
      <c r="AB46" s="1264"/>
      <c r="AC46" s="1783"/>
    </row>
    <row r="47" spans="1:29">
      <c r="A47" s="1589"/>
      <c r="B47" s="1945" t="s">
        <v>2373</v>
      </c>
      <c r="C47" s="23"/>
      <c r="D47" s="430"/>
      <c r="E47" s="422"/>
      <c r="F47" s="431"/>
      <c r="G47" s="1751"/>
      <c r="H47" s="1264" t="s">
        <v>727</v>
      </c>
      <c r="I47" s="1783"/>
      <c r="J47" s="1264" t="s">
        <v>727</v>
      </c>
      <c r="K47" s="1783"/>
      <c r="L47" s="1264" t="s">
        <v>727</v>
      </c>
      <c r="M47" s="1783"/>
      <c r="N47" s="1264"/>
      <c r="O47" s="1783"/>
      <c r="P47" s="1264"/>
      <c r="Q47" s="1783"/>
      <c r="R47" s="1264"/>
      <c r="S47" s="1783"/>
      <c r="T47" s="1264"/>
      <c r="U47" s="1783"/>
      <c r="V47" s="1264"/>
      <c r="W47" s="1783"/>
      <c r="X47" s="1264"/>
      <c r="Y47" s="1783"/>
      <c r="Z47" s="1264"/>
      <c r="AA47" s="1783"/>
      <c r="AB47" s="1264"/>
      <c r="AC47" s="1783"/>
    </row>
    <row r="48" spans="1:29" ht="29.25" customHeight="1">
      <c r="A48" s="1589"/>
      <c r="B48" s="1924" t="s">
        <v>2374</v>
      </c>
      <c r="C48" s="23" t="s">
        <v>2375</v>
      </c>
      <c r="D48" s="430"/>
      <c r="E48" s="422"/>
      <c r="F48" s="431"/>
      <c r="G48" s="1751"/>
      <c r="H48" s="1264" t="s">
        <v>727</v>
      </c>
      <c r="I48" s="1946" t="s">
        <v>2376</v>
      </c>
      <c r="J48" s="1264" t="s">
        <v>727</v>
      </c>
      <c r="K48" s="1783"/>
      <c r="L48" s="1264" t="s">
        <v>727</v>
      </c>
      <c r="M48" s="1783"/>
      <c r="N48" s="1264"/>
      <c r="O48" s="1783"/>
      <c r="P48" s="1264"/>
      <c r="Q48" s="1783"/>
      <c r="R48" s="1264"/>
      <c r="S48" s="1783"/>
      <c r="T48" s="1264"/>
      <c r="U48" s="1783"/>
      <c r="V48" s="1264"/>
      <c r="W48" s="1783"/>
      <c r="X48" s="1264"/>
      <c r="Y48" s="1783"/>
      <c r="Z48" s="1264"/>
      <c r="AA48" s="1783"/>
      <c r="AB48" s="1264"/>
      <c r="AC48" s="1783"/>
    </row>
    <row r="49" spans="1:29">
      <c r="A49" s="1589"/>
      <c r="B49" s="1924" t="s">
        <v>2377</v>
      </c>
      <c r="C49" s="23" t="s">
        <v>2378</v>
      </c>
      <c r="D49" s="430"/>
      <c r="E49" s="422"/>
      <c r="F49" s="431"/>
      <c r="G49" s="1751"/>
      <c r="H49" s="1264" t="s">
        <v>727</v>
      </c>
      <c r="I49" s="1946" t="s">
        <v>2376</v>
      </c>
      <c r="J49" s="1264" t="s">
        <v>727</v>
      </c>
      <c r="K49" s="1783"/>
      <c r="L49" s="1264" t="s">
        <v>727</v>
      </c>
      <c r="M49" s="1783"/>
      <c r="N49" s="1264"/>
      <c r="O49" s="1783"/>
      <c r="P49" s="1264"/>
      <c r="Q49" s="1783"/>
      <c r="R49" s="1264"/>
      <c r="S49" s="1783"/>
      <c r="T49" s="1264"/>
      <c r="U49" s="1783"/>
      <c r="V49" s="1264"/>
      <c r="W49" s="1783"/>
      <c r="X49" s="1264"/>
      <c r="Y49" s="1783"/>
      <c r="Z49" s="1264"/>
      <c r="AA49" s="1783"/>
      <c r="AB49" s="1264"/>
      <c r="AC49" s="1783"/>
    </row>
    <row r="50" spans="1:29">
      <c r="A50" s="1589"/>
      <c r="B50" s="1947" t="s">
        <v>2379</v>
      </c>
      <c r="C50" s="23"/>
      <c r="D50" s="430"/>
      <c r="E50" s="422"/>
      <c r="F50" s="431"/>
      <c r="G50" s="1751"/>
      <c r="H50" s="1264" t="s">
        <v>730</v>
      </c>
      <c r="I50" s="1783">
        <v>440000</v>
      </c>
      <c r="J50" s="1264" t="s">
        <v>730</v>
      </c>
      <c r="K50" s="1783"/>
      <c r="L50" s="1264" t="s">
        <v>730</v>
      </c>
      <c r="M50" s="1783"/>
      <c r="N50" s="1264"/>
      <c r="O50" s="1783"/>
      <c r="P50" s="1264"/>
      <c r="Q50" s="1783"/>
      <c r="R50" s="1264"/>
      <c r="S50" s="1783"/>
      <c r="T50" s="1264"/>
      <c r="U50" s="1783"/>
      <c r="V50" s="1264"/>
      <c r="W50" s="1783"/>
      <c r="X50" s="1264"/>
      <c r="Y50" s="1783"/>
      <c r="Z50" s="1264"/>
      <c r="AA50" s="1783"/>
      <c r="AB50" s="1264"/>
      <c r="AC50" s="1783"/>
    </row>
    <row r="51" spans="1:29">
      <c r="A51" s="1589"/>
      <c r="B51" s="1924" t="s">
        <v>2380</v>
      </c>
      <c r="C51" s="23" t="s">
        <v>2381</v>
      </c>
      <c r="D51" s="430"/>
      <c r="E51" s="422"/>
      <c r="F51" s="431"/>
      <c r="G51" s="1751"/>
      <c r="H51" s="1264" t="s">
        <v>727</v>
      </c>
      <c r="I51" s="1783" t="s">
        <v>2382</v>
      </c>
      <c r="J51" s="1264" t="s">
        <v>727</v>
      </c>
      <c r="K51" s="1783"/>
      <c r="L51" s="1264" t="s">
        <v>727</v>
      </c>
      <c r="M51" s="1783"/>
      <c r="N51" s="1264"/>
      <c r="O51" s="1783"/>
      <c r="P51" s="1264"/>
      <c r="Q51" s="1783"/>
      <c r="R51" s="1264"/>
      <c r="S51" s="1783"/>
      <c r="T51" s="1264"/>
      <c r="U51" s="1783"/>
      <c r="V51" s="1264"/>
      <c r="W51" s="1783"/>
      <c r="X51" s="1264"/>
      <c r="Y51" s="1783"/>
      <c r="Z51" s="1264"/>
      <c r="AA51" s="1783"/>
      <c r="AB51" s="1264"/>
      <c r="AC51" s="1783"/>
    </row>
    <row r="52" spans="1:29">
      <c r="A52" s="1589"/>
      <c r="B52" s="1924"/>
      <c r="C52" s="23"/>
      <c r="D52" s="430"/>
      <c r="E52" s="422"/>
      <c r="F52" s="431"/>
      <c r="G52" s="1751"/>
      <c r="H52" s="1264"/>
      <c r="I52" s="1783"/>
      <c r="J52" s="1264"/>
      <c r="K52" s="1783"/>
      <c r="L52" s="1264"/>
      <c r="M52" s="1783"/>
      <c r="N52" s="1264"/>
      <c r="O52" s="1783"/>
      <c r="P52" s="1264"/>
      <c r="Q52" s="1783"/>
      <c r="R52" s="1264"/>
      <c r="S52" s="1783"/>
      <c r="T52" s="1264"/>
      <c r="U52" s="1783"/>
      <c r="V52" s="1264"/>
      <c r="W52" s="1783"/>
      <c r="X52" s="1264"/>
      <c r="Y52" s="1783"/>
      <c r="Z52" s="1264"/>
      <c r="AA52" s="1783"/>
      <c r="AB52" s="1264"/>
      <c r="AC52" s="1783"/>
    </row>
    <row r="53" spans="1:29">
      <c r="A53" s="1589"/>
      <c r="B53" s="1945" t="s">
        <v>2383</v>
      </c>
      <c r="C53" s="23"/>
      <c r="D53" s="430"/>
      <c r="E53" s="422"/>
      <c r="F53" s="431"/>
      <c r="G53" s="1751"/>
      <c r="H53" s="1264" t="s">
        <v>727</v>
      </c>
      <c r="I53" s="1783"/>
      <c r="J53" s="1264" t="s">
        <v>727</v>
      </c>
      <c r="K53" s="1783" t="s">
        <v>2384</v>
      </c>
      <c r="L53" s="1264" t="s">
        <v>727</v>
      </c>
      <c r="M53" s="1783"/>
      <c r="N53" s="1264"/>
      <c r="O53" s="1783"/>
      <c r="P53" s="1264"/>
      <c r="Q53" s="1783"/>
      <c r="R53" s="1264"/>
      <c r="S53" s="1783"/>
      <c r="T53" s="1264"/>
      <c r="U53" s="1783"/>
      <c r="V53" s="1264"/>
      <c r="W53" s="1783"/>
      <c r="X53" s="1264"/>
      <c r="Y53" s="1783"/>
      <c r="Z53" s="1264"/>
      <c r="AA53" s="1783"/>
      <c r="AB53" s="1264"/>
      <c r="AC53" s="1783"/>
    </row>
    <row r="54" spans="1:29">
      <c r="A54" s="1589"/>
      <c r="B54" s="1945" t="s">
        <v>2385</v>
      </c>
      <c r="C54" s="23"/>
      <c r="D54" s="430"/>
      <c r="E54" s="422"/>
      <c r="F54" s="431"/>
      <c r="G54" s="1751"/>
      <c r="H54" s="1264" t="s">
        <v>727</v>
      </c>
      <c r="I54" s="1783"/>
      <c r="J54" s="1264" t="s">
        <v>727</v>
      </c>
      <c r="K54" s="1783"/>
      <c r="L54" s="1264" t="s">
        <v>727</v>
      </c>
      <c r="M54" s="1783"/>
      <c r="N54" s="1264"/>
      <c r="O54" s="1783"/>
      <c r="P54" s="1264"/>
      <c r="Q54" s="1783"/>
      <c r="R54" s="1264"/>
      <c r="S54" s="1783"/>
      <c r="T54" s="1264"/>
      <c r="U54" s="1783"/>
      <c r="V54" s="1264"/>
      <c r="W54" s="1783"/>
      <c r="X54" s="1264"/>
      <c r="Y54" s="1783"/>
      <c r="Z54" s="1264"/>
      <c r="AA54" s="1783"/>
      <c r="AB54" s="1264"/>
      <c r="AC54" s="1783"/>
    </row>
    <row r="55" spans="1:29">
      <c r="A55" s="1589"/>
      <c r="B55" s="1924" t="s">
        <v>2386</v>
      </c>
      <c r="C55" s="23"/>
      <c r="D55" s="430"/>
      <c r="E55" s="422"/>
      <c r="F55" s="431"/>
      <c r="G55" s="1751"/>
      <c r="H55" s="1264" t="s">
        <v>727</v>
      </c>
      <c r="I55" s="1783"/>
      <c r="J55" s="1264" t="s">
        <v>727</v>
      </c>
      <c r="K55" s="1783"/>
      <c r="L55" s="1264" t="s">
        <v>727</v>
      </c>
      <c r="M55" s="1783"/>
      <c r="N55" s="1264"/>
      <c r="O55" s="1783"/>
      <c r="P55" s="1264"/>
      <c r="Q55" s="1783"/>
      <c r="R55" s="1264"/>
      <c r="S55" s="1783"/>
      <c r="T55" s="1264"/>
      <c r="U55" s="1783"/>
      <c r="V55" s="1264"/>
      <c r="W55" s="1783"/>
      <c r="X55" s="1264"/>
      <c r="Y55" s="1783"/>
      <c r="Z55" s="1264"/>
      <c r="AA55" s="1783"/>
      <c r="AB55" s="1264"/>
      <c r="AC55" s="1783"/>
    </row>
    <row r="56" spans="1:29" ht="24.75">
      <c r="A56" s="1589"/>
      <c r="B56" s="1948" t="s">
        <v>2387</v>
      </c>
      <c r="C56" s="496" t="s">
        <v>2388</v>
      </c>
      <c r="D56" s="87"/>
      <c r="E56" s="86"/>
      <c r="F56" s="431"/>
      <c r="G56" s="1751"/>
      <c r="H56" s="1264" t="s">
        <v>727</v>
      </c>
      <c r="I56" s="1783"/>
      <c r="J56" s="1264" t="s">
        <v>727</v>
      </c>
      <c r="K56" s="1783"/>
      <c r="L56" s="1264" t="s">
        <v>727</v>
      </c>
      <c r="M56" s="1783"/>
      <c r="N56" s="1264"/>
      <c r="O56" s="1783"/>
      <c r="P56" s="1264"/>
      <c r="Q56" s="1783"/>
      <c r="R56" s="1264"/>
      <c r="S56" s="1783"/>
      <c r="T56" s="1264"/>
      <c r="U56" s="1783"/>
      <c r="V56" s="1264"/>
      <c r="W56" s="1783"/>
      <c r="X56" s="1264"/>
      <c r="Y56" s="1783"/>
      <c r="Z56" s="1264"/>
      <c r="AA56" s="1783"/>
      <c r="AB56" s="1264"/>
      <c r="AC56" s="1783"/>
    </row>
    <row r="57" spans="1:29">
      <c r="A57" s="1589"/>
      <c r="B57" s="1948" t="s">
        <v>2389</v>
      </c>
      <c r="C57" s="23"/>
      <c r="D57" s="87"/>
      <c r="E57" s="86"/>
      <c r="F57" s="431"/>
      <c r="G57" s="1751"/>
      <c r="H57" s="1264" t="s">
        <v>727</v>
      </c>
      <c r="I57" s="1783"/>
      <c r="J57" s="1264" t="s">
        <v>727</v>
      </c>
      <c r="K57" s="1783"/>
      <c r="L57" s="1264" t="s">
        <v>727</v>
      </c>
      <c r="M57" s="1783"/>
      <c r="N57" s="1264"/>
      <c r="O57" s="1783"/>
      <c r="P57" s="1264"/>
      <c r="Q57" s="1783"/>
      <c r="R57" s="1264"/>
      <c r="S57" s="1783"/>
      <c r="T57" s="1264"/>
      <c r="U57" s="1783"/>
      <c r="V57" s="1264"/>
      <c r="W57" s="1783"/>
      <c r="X57" s="1264"/>
      <c r="Y57" s="1783"/>
      <c r="Z57" s="1264"/>
      <c r="AA57" s="1783"/>
      <c r="AB57" s="1264"/>
      <c r="AC57" s="1783"/>
    </row>
    <row r="58" spans="1:29" ht="25.5">
      <c r="A58" s="1589"/>
      <c r="B58" s="1924" t="s">
        <v>2390</v>
      </c>
      <c r="C58" s="23"/>
      <c r="D58" s="87"/>
      <c r="E58" s="86"/>
      <c r="F58" s="431"/>
      <c r="G58" s="1751"/>
      <c r="H58" s="1264" t="s">
        <v>727</v>
      </c>
      <c r="I58" s="1783"/>
      <c r="J58" s="1264" t="s">
        <v>727</v>
      </c>
      <c r="K58" s="1783"/>
      <c r="L58" s="1264" t="s">
        <v>727</v>
      </c>
      <c r="M58" s="1783"/>
      <c r="N58" s="1264"/>
      <c r="O58" s="1783"/>
      <c r="P58" s="1264"/>
      <c r="Q58" s="1783"/>
      <c r="R58" s="1264"/>
      <c r="S58" s="1783"/>
      <c r="T58" s="1264"/>
      <c r="U58" s="1783"/>
      <c r="V58" s="1264"/>
      <c r="W58" s="1783"/>
      <c r="X58" s="1264"/>
      <c r="Y58" s="1783"/>
      <c r="Z58" s="1264"/>
      <c r="AA58" s="1783"/>
      <c r="AB58" s="1264"/>
      <c r="AC58" s="1783"/>
    </row>
    <row r="59" spans="1:29" ht="25.5">
      <c r="A59" s="1589"/>
      <c r="B59" s="1924" t="s">
        <v>2391</v>
      </c>
      <c r="C59" s="23"/>
      <c r="D59" s="87"/>
      <c r="E59" s="86"/>
      <c r="F59" s="431"/>
      <c r="G59" s="1751"/>
      <c r="H59" s="1264" t="s">
        <v>727</v>
      </c>
      <c r="I59" s="1783"/>
      <c r="J59" s="1264" t="s">
        <v>727</v>
      </c>
      <c r="K59" s="1783"/>
      <c r="L59" s="1264" t="s">
        <v>727</v>
      </c>
      <c r="M59" s="1783"/>
      <c r="N59" s="1264"/>
      <c r="O59" s="1783"/>
      <c r="P59" s="1264"/>
      <c r="Q59" s="1783"/>
      <c r="R59" s="1264"/>
      <c r="S59" s="1783"/>
      <c r="T59" s="1264"/>
      <c r="U59" s="1783"/>
      <c r="V59" s="1264"/>
      <c r="W59" s="1783"/>
      <c r="X59" s="1264"/>
      <c r="Y59" s="1783"/>
      <c r="Z59" s="1264"/>
      <c r="AA59" s="1783"/>
      <c r="AB59" s="1264"/>
      <c r="AC59" s="1783"/>
    </row>
    <row r="60" spans="1:29">
      <c r="A60" s="1589"/>
      <c r="B60" s="1271" t="s">
        <v>2186</v>
      </c>
      <c r="C60" s="23"/>
      <c r="D60" s="87"/>
      <c r="E60" s="86"/>
      <c r="F60" s="431"/>
      <c r="G60" s="1751"/>
      <c r="H60" s="1264" t="s">
        <v>727</v>
      </c>
      <c r="I60" s="1783"/>
      <c r="J60" s="1264" t="s">
        <v>727</v>
      </c>
      <c r="K60" s="1783"/>
      <c r="L60" s="1264" t="s">
        <v>727</v>
      </c>
      <c r="M60" s="1783"/>
      <c r="N60" s="1264"/>
      <c r="O60" s="1783"/>
      <c r="P60" s="1264"/>
      <c r="Q60" s="1783"/>
      <c r="R60" s="1264"/>
      <c r="S60" s="1783"/>
      <c r="T60" s="1264"/>
      <c r="U60" s="1783"/>
      <c r="V60" s="1264"/>
      <c r="W60" s="1783"/>
      <c r="X60" s="1264"/>
      <c r="Y60" s="1783"/>
      <c r="Z60" s="1264"/>
      <c r="AA60" s="1783"/>
      <c r="AB60" s="1264"/>
      <c r="AC60" s="1783"/>
    </row>
    <row r="61" spans="1:29">
      <c r="A61" s="1589"/>
      <c r="B61" s="1924" t="s">
        <v>2392</v>
      </c>
      <c r="C61" s="23"/>
      <c r="D61" s="87"/>
      <c r="E61" s="86"/>
      <c r="F61" s="431"/>
      <c r="G61" s="1751"/>
      <c r="H61" s="1264" t="s">
        <v>727</v>
      </c>
      <c r="I61" s="1783"/>
      <c r="J61" s="1264" t="s">
        <v>727</v>
      </c>
      <c r="K61" s="1783"/>
      <c r="L61" s="1264" t="s">
        <v>727</v>
      </c>
      <c r="M61" s="1783"/>
      <c r="N61" s="1264"/>
      <c r="O61" s="1783"/>
      <c r="P61" s="1264"/>
      <c r="Q61" s="1783"/>
      <c r="R61" s="1264"/>
      <c r="S61" s="1783"/>
      <c r="T61" s="1264"/>
      <c r="U61" s="1783"/>
      <c r="V61" s="1264"/>
      <c r="W61" s="1783"/>
      <c r="X61" s="1264"/>
      <c r="Y61" s="1783"/>
      <c r="Z61" s="1264"/>
      <c r="AA61" s="1783"/>
      <c r="AB61" s="1264"/>
      <c r="AC61" s="1783"/>
    </row>
    <row r="62" spans="1:29">
      <c r="A62" s="1589"/>
      <c r="B62" s="1924" t="s">
        <v>2393</v>
      </c>
      <c r="C62" s="23"/>
      <c r="D62" s="87"/>
      <c r="E62" s="86"/>
      <c r="F62" s="431"/>
      <c r="G62" s="1751"/>
      <c r="H62" s="1264" t="s">
        <v>727</v>
      </c>
      <c r="I62" s="1783"/>
      <c r="J62" s="1264" t="s">
        <v>727</v>
      </c>
      <c r="K62" s="1783"/>
      <c r="L62" s="1264" t="s">
        <v>727</v>
      </c>
      <c r="M62" s="1783"/>
      <c r="N62" s="1264"/>
      <c r="O62" s="1783"/>
      <c r="P62" s="1264"/>
      <c r="Q62" s="1783"/>
      <c r="R62" s="1264"/>
      <c r="S62" s="1783"/>
      <c r="T62" s="1264"/>
      <c r="U62" s="1783"/>
      <c r="V62" s="1264"/>
      <c r="W62" s="1783"/>
      <c r="X62" s="1264"/>
      <c r="Y62" s="1783"/>
      <c r="Z62" s="1264"/>
      <c r="AA62" s="1783"/>
      <c r="AB62" s="1264"/>
      <c r="AC62" s="1783"/>
    </row>
    <row r="63" spans="1:29">
      <c r="A63" s="1097"/>
      <c r="B63" s="1924" t="s">
        <v>2394</v>
      </c>
      <c r="C63" s="23"/>
      <c r="D63" s="87"/>
      <c r="E63" s="86"/>
      <c r="F63" s="431"/>
      <c r="G63" s="1751"/>
      <c r="H63" s="1264" t="s">
        <v>727</v>
      </c>
      <c r="I63" s="1783"/>
      <c r="J63" s="1264" t="s">
        <v>727</v>
      </c>
      <c r="K63" s="1783"/>
      <c r="L63" s="1264" t="s">
        <v>727</v>
      </c>
      <c r="M63" s="1783"/>
      <c r="N63" s="1264"/>
      <c r="O63" s="1783"/>
      <c r="P63" s="1264"/>
      <c r="Q63" s="1783"/>
      <c r="R63" s="1264"/>
      <c r="S63" s="1783"/>
      <c r="T63" s="1264"/>
      <c r="U63" s="1783"/>
      <c r="V63" s="1264"/>
      <c r="W63" s="1783"/>
      <c r="X63" s="1264"/>
      <c r="Y63" s="1783"/>
      <c r="Z63" s="1264"/>
      <c r="AA63" s="1783"/>
      <c r="AB63" s="1264"/>
      <c r="AC63" s="1783"/>
    </row>
    <row r="64" spans="1:29">
      <c r="A64" s="1097"/>
      <c r="B64" s="1924" t="s">
        <v>2395</v>
      </c>
      <c r="C64" s="23"/>
      <c r="D64" s="87"/>
      <c r="E64" s="86"/>
      <c r="F64" s="431"/>
      <c r="G64" s="1751"/>
      <c r="H64" s="1264" t="s">
        <v>727</v>
      </c>
      <c r="I64" s="1783"/>
      <c r="J64" s="1264" t="s">
        <v>727</v>
      </c>
      <c r="K64" s="1783"/>
      <c r="L64" s="1264" t="s">
        <v>727</v>
      </c>
      <c r="M64" s="1783"/>
      <c r="N64" s="1264"/>
      <c r="O64" s="1783"/>
      <c r="P64" s="1264"/>
      <c r="Q64" s="1783"/>
      <c r="R64" s="1264"/>
      <c r="S64" s="1783"/>
      <c r="T64" s="1264"/>
      <c r="U64" s="1783"/>
      <c r="V64" s="1264"/>
      <c r="W64" s="1783"/>
      <c r="X64" s="1264"/>
      <c r="Y64" s="1783"/>
      <c r="Z64" s="1264"/>
      <c r="AA64" s="1783"/>
      <c r="AB64" s="1264"/>
      <c r="AC64" s="1783"/>
    </row>
    <row r="65" spans="1:29">
      <c r="A65" s="1097"/>
      <c r="B65" s="1924" t="s">
        <v>2396</v>
      </c>
      <c r="C65" s="23"/>
      <c r="D65" s="87"/>
      <c r="E65" s="86"/>
      <c r="F65" s="431"/>
      <c r="G65" s="1751"/>
      <c r="H65" s="1264" t="s">
        <v>727</v>
      </c>
      <c r="I65" s="1783"/>
      <c r="J65" s="1264" t="s">
        <v>727</v>
      </c>
      <c r="K65" s="1783"/>
      <c r="L65" s="1264" t="s">
        <v>727</v>
      </c>
      <c r="M65" s="1783"/>
      <c r="N65" s="1264"/>
      <c r="O65" s="1783"/>
      <c r="P65" s="1264"/>
      <c r="Q65" s="1783"/>
      <c r="R65" s="1264"/>
      <c r="S65" s="1783"/>
      <c r="T65" s="1264"/>
      <c r="U65" s="1783"/>
      <c r="V65" s="1264"/>
      <c r="W65" s="1783"/>
      <c r="X65" s="1264"/>
      <c r="Y65" s="1783"/>
      <c r="Z65" s="1264"/>
      <c r="AA65" s="1783"/>
      <c r="AB65" s="1264"/>
      <c r="AC65" s="1783"/>
    </row>
    <row r="66" spans="1:29">
      <c r="A66" s="1097"/>
      <c r="B66" s="1924" t="s">
        <v>2397</v>
      </c>
      <c r="C66" s="23"/>
      <c r="D66" s="87"/>
      <c r="E66" s="86"/>
      <c r="F66" s="431"/>
      <c r="G66" s="1751"/>
      <c r="H66" s="1264" t="s">
        <v>727</v>
      </c>
      <c r="I66" s="1783"/>
      <c r="J66" s="1264" t="s">
        <v>727</v>
      </c>
      <c r="K66" s="1783"/>
      <c r="L66" s="1264" t="s">
        <v>727</v>
      </c>
      <c r="M66" s="1783"/>
      <c r="N66" s="1264"/>
      <c r="O66" s="1783"/>
      <c r="P66" s="1264"/>
      <c r="Q66" s="1783"/>
      <c r="R66" s="1264"/>
      <c r="S66" s="1783"/>
      <c r="T66" s="1264"/>
      <c r="U66" s="1783"/>
      <c r="V66" s="1264"/>
      <c r="W66" s="1783"/>
      <c r="X66" s="1264"/>
      <c r="Y66" s="1783"/>
      <c r="Z66" s="1264"/>
      <c r="AA66" s="1783"/>
      <c r="AB66" s="1264"/>
      <c r="AC66" s="1783"/>
    </row>
    <row r="67" spans="1:29" ht="42" customHeight="1">
      <c r="A67" s="1097"/>
      <c r="B67" s="1924" t="s">
        <v>2398</v>
      </c>
      <c r="C67" s="23"/>
      <c r="D67" s="87"/>
      <c r="E67" s="86"/>
      <c r="F67" s="431"/>
      <c r="G67" s="1751"/>
      <c r="H67" s="1264" t="s">
        <v>727</v>
      </c>
      <c r="I67" s="1949" t="s">
        <v>2399</v>
      </c>
      <c r="J67" s="1264" t="s">
        <v>727</v>
      </c>
      <c r="K67" s="1783">
        <v>46530</v>
      </c>
      <c r="L67" s="1264" t="s">
        <v>727</v>
      </c>
      <c r="M67" s="1783"/>
      <c r="N67" s="1264"/>
      <c r="O67" s="1783"/>
      <c r="P67" s="1264"/>
      <c r="Q67" s="1783"/>
      <c r="R67" s="1264"/>
      <c r="S67" s="1783"/>
      <c r="T67" s="1264"/>
      <c r="U67" s="1783"/>
      <c r="V67" s="1264"/>
      <c r="W67" s="1783"/>
      <c r="X67" s="1264"/>
      <c r="Y67" s="1783"/>
      <c r="Z67" s="1264"/>
      <c r="AA67" s="1783"/>
      <c r="AB67" s="1264"/>
      <c r="AC67" s="1783"/>
    </row>
    <row r="68" spans="1:29">
      <c r="A68" s="1097"/>
      <c r="B68" s="1924" t="s">
        <v>2400</v>
      </c>
      <c r="C68" s="23"/>
      <c r="D68" s="87"/>
      <c r="E68" s="86"/>
      <c r="F68" s="431"/>
      <c r="G68" s="1751"/>
      <c r="H68" s="1264" t="s">
        <v>727</v>
      </c>
      <c r="I68" s="1783"/>
      <c r="J68" s="1264" t="s">
        <v>727</v>
      </c>
      <c r="K68" s="1783"/>
      <c r="L68" s="1264" t="s">
        <v>727</v>
      </c>
      <c r="M68" s="1783"/>
      <c r="N68" s="1264"/>
      <c r="O68" s="1783"/>
      <c r="P68" s="1264"/>
      <c r="Q68" s="1783"/>
      <c r="R68" s="1264"/>
      <c r="S68" s="1783"/>
      <c r="T68" s="1264"/>
      <c r="U68" s="1783"/>
      <c r="V68" s="1264"/>
      <c r="W68" s="1783"/>
      <c r="X68" s="1264"/>
      <c r="Y68" s="1783"/>
      <c r="Z68" s="1264"/>
      <c r="AA68" s="1783"/>
      <c r="AB68" s="1264"/>
      <c r="AC68" s="1783"/>
    </row>
    <row r="69" spans="1:29" ht="24.75">
      <c r="A69" s="1097"/>
      <c r="B69" s="1924" t="s">
        <v>2401</v>
      </c>
      <c r="C69" s="496" t="s">
        <v>2402</v>
      </c>
      <c r="D69" s="87"/>
      <c r="E69" s="86"/>
      <c r="F69" s="431"/>
      <c r="G69" s="1751"/>
      <c r="H69" s="1264" t="s">
        <v>727</v>
      </c>
      <c r="I69" s="1783"/>
      <c r="J69" s="1264" t="s">
        <v>727</v>
      </c>
      <c r="K69" s="1783"/>
      <c r="L69" s="1264" t="s">
        <v>727</v>
      </c>
      <c r="M69" s="1783"/>
      <c r="N69" s="1264"/>
      <c r="O69" s="1783"/>
      <c r="P69" s="1264"/>
      <c r="Q69" s="1783"/>
      <c r="R69" s="1264"/>
      <c r="S69" s="1783"/>
      <c r="T69" s="1264"/>
      <c r="U69" s="1783"/>
      <c r="V69" s="1264"/>
      <c r="W69" s="1783"/>
      <c r="X69" s="1264"/>
      <c r="Y69" s="1783"/>
      <c r="Z69" s="1264"/>
      <c r="AA69" s="1783"/>
      <c r="AB69" s="1264"/>
      <c r="AC69" s="1783"/>
    </row>
    <row r="70" spans="1:29">
      <c r="A70" s="1097"/>
      <c r="B70" s="1924" t="s">
        <v>2403</v>
      </c>
      <c r="C70" s="23"/>
      <c r="D70" s="87"/>
      <c r="E70" s="86"/>
      <c r="F70" s="431"/>
      <c r="G70" s="1751"/>
      <c r="H70" s="1264" t="s">
        <v>727</v>
      </c>
      <c r="I70" s="1783"/>
      <c r="J70" s="1264" t="s">
        <v>727</v>
      </c>
      <c r="K70" s="1783"/>
      <c r="L70" s="1264" t="s">
        <v>727</v>
      </c>
      <c r="M70" s="1783"/>
      <c r="N70" s="1264"/>
      <c r="O70" s="1783"/>
      <c r="P70" s="1264"/>
      <c r="Q70" s="1783"/>
      <c r="R70" s="1264"/>
      <c r="S70" s="1783"/>
      <c r="T70" s="1264"/>
      <c r="U70" s="1783"/>
      <c r="V70" s="1264"/>
      <c r="W70" s="1783"/>
      <c r="X70" s="1264"/>
      <c r="Y70" s="1783"/>
      <c r="Z70" s="1264"/>
      <c r="AA70" s="1783"/>
      <c r="AB70" s="1264"/>
      <c r="AC70" s="1783"/>
    </row>
    <row r="71" spans="1:29" ht="24.75">
      <c r="A71" s="1097"/>
      <c r="B71" s="1924" t="s">
        <v>2404</v>
      </c>
      <c r="C71" s="496" t="s">
        <v>2405</v>
      </c>
      <c r="D71" s="87"/>
      <c r="E71" s="86"/>
      <c r="F71" s="431"/>
      <c r="G71" s="1751"/>
      <c r="H71" s="1264" t="s">
        <v>727</v>
      </c>
      <c r="I71" s="1783"/>
      <c r="J71" s="1264" t="s">
        <v>727</v>
      </c>
      <c r="K71" s="1783"/>
      <c r="L71" s="1264" t="s">
        <v>727</v>
      </c>
      <c r="M71" s="1783"/>
      <c r="N71" s="1264"/>
      <c r="O71" s="1783"/>
      <c r="P71" s="1264"/>
      <c r="Q71" s="1783"/>
      <c r="R71" s="1264"/>
      <c r="S71" s="1783"/>
      <c r="T71" s="1264"/>
      <c r="U71" s="1783"/>
      <c r="V71" s="1264"/>
      <c r="W71" s="1783"/>
      <c r="X71" s="1264"/>
      <c r="Y71" s="1783"/>
      <c r="Z71" s="1264"/>
      <c r="AA71" s="1783"/>
      <c r="AB71" s="1264"/>
      <c r="AC71" s="1783"/>
    </row>
    <row r="72" spans="1:29">
      <c r="A72" s="1097"/>
      <c r="B72" s="1924" t="s">
        <v>2406</v>
      </c>
      <c r="C72" s="496" t="s">
        <v>2407</v>
      </c>
      <c r="D72" s="87"/>
      <c r="E72" s="86"/>
      <c r="F72" s="431"/>
      <c r="G72" s="1751"/>
      <c r="H72" s="1264" t="s">
        <v>727</v>
      </c>
      <c r="I72" s="1783"/>
      <c r="J72" s="1264" t="s">
        <v>727</v>
      </c>
      <c r="K72" s="1783"/>
      <c r="L72" s="1264" t="s">
        <v>727</v>
      </c>
      <c r="M72" s="1783"/>
      <c r="N72" s="1264"/>
      <c r="O72" s="1783"/>
      <c r="P72" s="1264"/>
      <c r="Q72" s="1783"/>
      <c r="R72" s="1264"/>
      <c r="S72" s="1783"/>
      <c r="T72" s="1264"/>
      <c r="U72" s="1783"/>
      <c r="V72" s="1264"/>
      <c r="W72" s="1783"/>
      <c r="X72" s="1264"/>
      <c r="Y72" s="1783"/>
      <c r="Z72" s="1264"/>
      <c r="AA72" s="1783"/>
      <c r="AB72" s="1264"/>
      <c r="AC72" s="1783"/>
    </row>
    <row r="73" spans="1:29">
      <c r="A73" s="1097"/>
      <c r="B73" s="1924" t="s">
        <v>2408</v>
      </c>
      <c r="C73" s="23"/>
      <c r="D73" s="87"/>
      <c r="E73" s="86"/>
      <c r="F73" s="431"/>
      <c r="G73" s="1751"/>
      <c r="H73" s="1264" t="s">
        <v>727</v>
      </c>
      <c r="I73" s="1783"/>
      <c r="J73" s="1264" t="s">
        <v>727</v>
      </c>
      <c r="K73" s="1783"/>
      <c r="L73" s="1264" t="s">
        <v>727</v>
      </c>
      <c r="M73" s="1783"/>
      <c r="N73" s="1264"/>
      <c r="O73" s="1783"/>
      <c r="P73" s="1264"/>
      <c r="Q73" s="1783"/>
      <c r="R73" s="1264"/>
      <c r="S73" s="1783"/>
      <c r="T73" s="1264"/>
      <c r="U73" s="1783"/>
      <c r="V73" s="1264"/>
      <c r="W73" s="1783"/>
      <c r="X73" s="1264"/>
      <c r="Y73" s="1783"/>
      <c r="Z73" s="1264"/>
      <c r="AA73" s="1783"/>
      <c r="AB73" s="1264"/>
      <c r="AC73" s="1783"/>
    </row>
    <row r="74" spans="1:29">
      <c r="A74" s="1097"/>
      <c r="B74" s="1924" t="s">
        <v>2409</v>
      </c>
      <c r="C74" s="23"/>
      <c r="D74" s="87"/>
      <c r="E74" s="86"/>
      <c r="F74" s="431"/>
      <c r="G74" s="1751"/>
      <c r="H74" s="1264" t="s">
        <v>727</v>
      </c>
      <c r="I74" s="1783"/>
      <c r="J74" s="1264" t="s">
        <v>727</v>
      </c>
      <c r="K74" s="1783"/>
      <c r="L74" s="1264" t="s">
        <v>727</v>
      </c>
      <c r="M74" s="1783"/>
      <c r="N74" s="1264"/>
      <c r="O74" s="1783"/>
      <c r="P74" s="1264"/>
      <c r="Q74" s="1783"/>
      <c r="R74" s="1264"/>
      <c r="S74" s="1783"/>
      <c r="T74" s="1264"/>
      <c r="U74" s="1783"/>
      <c r="V74" s="1264"/>
      <c r="W74" s="1783"/>
      <c r="X74" s="1264"/>
      <c r="Y74" s="1783"/>
      <c r="Z74" s="1264"/>
      <c r="AA74" s="1783"/>
      <c r="AB74" s="1264"/>
      <c r="AC74" s="1783"/>
    </row>
    <row r="75" spans="1:29">
      <c r="A75" s="1097"/>
      <c r="B75" s="1924" t="s">
        <v>2410</v>
      </c>
      <c r="C75" s="23"/>
      <c r="D75" s="87"/>
      <c r="E75" s="86"/>
      <c r="F75" s="431"/>
      <c r="G75" s="1751"/>
      <c r="H75" s="1264" t="s">
        <v>730</v>
      </c>
      <c r="I75" s="1783"/>
      <c r="J75" s="1264" t="s">
        <v>730</v>
      </c>
      <c r="K75" s="1783"/>
      <c r="L75" s="1264" t="s">
        <v>730</v>
      </c>
      <c r="M75" s="1783"/>
      <c r="N75" s="1264"/>
      <c r="O75" s="1783"/>
      <c r="P75" s="1264"/>
      <c r="Q75" s="1783"/>
      <c r="R75" s="1264"/>
      <c r="S75" s="1783"/>
      <c r="T75" s="1264"/>
      <c r="U75" s="1783"/>
      <c r="V75" s="1264"/>
      <c r="W75" s="1783"/>
      <c r="X75" s="1264"/>
      <c r="Y75" s="1783"/>
      <c r="Z75" s="1264"/>
      <c r="AA75" s="1783"/>
      <c r="AB75" s="1264"/>
      <c r="AC75" s="1783"/>
    </row>
    <row r="76" spans="1:29">
      <c r="A76" s="1097"/>
      <c r="B76" s="1924" t="s">
        <v>2411</v>
      </c>
      <c r="C76" s="23"/>
      <c r="D76" s="87"/>
      <c r="E76" s="86"/>
      <c r="F76" s="431"/>
      <c r="G76" s="1751"/>
      <c r="H76" s="1273" t="s">
        <v>1035</v>
      </c>
      <c r="I76" s="1855">
        <f>K76</f>
        <v>59235</v>
      </c>
      <c r="J76" s="1264" t="s">
        <v>727</v>
      </c>
      <c r="K76" s="1783">
        <v>59235</v>
      </c>
      <c r="L76" s="1264" t="s">
        <v>727</v>
      </c>
      <c r="M76" s="1783"/>
      <c r="N76" s="1264"/>
      <c r="O76" s="1783"/>
      <c r="P76" s="1264"/>
      <c r="Q76" s="1783"/>
      <c r="R76" s="1264"/>
      <c r="S76" s="1783"/>
      <c r="T76" s="1264"/>
      <c r="U76" s="1783"/>
      <c r="V76" s="1264"/>
      <c r="W76" s="1783"/>
      <c r="X76" s="1264"/>
      <c r="Y76" s="1783"/>
      <c r="Z76" s="1264"/>
      <c r="AA76" s="1783"/>
      <c r="AB76" s="1264"/>
      <c r="AC76" s="1783"/>
    </row>
    <row r="77" spans="1:29">
      <c r="A77" s="1097"/>
      <c r="B77" s="1924" t="s">
        <v>392</v>
      </c>
      <c r="C77" s="23"/>
      <c r="D77" s="87"/>
      <c r="E77" s="86"/>
      <c r="F77" s="431"/>
      <c r="G77" s="1751"/>
      <c r="H77" s="1264" t="s">
        <v>727</v>
      </c>
      <c r="I77" s="1783"/>
      <c r="J77" s="1264" t="s">
        <v>727</v>
      </c>
      <c r="K77" s="1783" t="s">
        <v>2412</v>
      </c>
      <c r="L77" s="1264" t="s">
        <v>727</v>
      </c>
      <c r="M77" s="1783"/>
      <c r="N77" s="1264"/>
      <c r="O77" s="1783"/>
      <c r="P77" s="1264"/>
      <c r="Q77" s="1783"/>
      <c r="R77" s="1264"/>
      <c r="S77" s="1783"/>
      <c r="T77" s="1264"/>
      <c r="U77" s="1783"/>
      <c r="V77" s="1264"/>
      <c r="W77" s="1783"/>
      <c r="X77" s="1264"/>
      <c r="Y77" s="1783"/>
      <c r="Z77" s="1264"/>
      <c r="AA77" s="1783"/>
      <c r="AB77" s="1264"/>
      <c r="AC77" s="1783"/>
    </row>
    <row r="78" spans="1:29">
      <c r="A78" s="1589"/>
      <c r="B78" s="1163"/>
      <c r="C78" s="23"/>
      <c r="D78" s="87"/>
      <c r="E78" s="86"/>
      <c r="F78" s="431"/>
      <c r="G78" s="1751"/>
      <c r="H78" s="1264"/>
      <c r="I78" s="1783"/>
      <c r="J78" s="1264"/>
      <c r="K78" s="1783"/>
      <c r="L78" s="1264"/>
      <c r="M78" s="1783"/>
      <c r="N78" s="1264"/>
      <c r="O78" s="1783"/>
      <c r="P78" s="1264"/>
      <c r="Q78" s="1783"/>
      <c r="R78" s="1264"/>
      <c r="S78" s="1783"/>
      <c r="T78" s="1264"/>
      <c r="U78" s="1783"/>
      <c r="V78" s="1264"/>
      <c r="W78" s="1783"/>
      <c r="X78" s="1264"/>
      <c r="Y78" s="1783"/>
      <c r="Z78" s="1264"/>
      <c r="AA78" s="1783"/>
      <c r="AB78" s="1264"/>
      <c r="AC78" s="1783"/>
    </row>
    <row r="79" spans="1:29" ht="25.5">
      <c r="A79" s="1589"/>
      <c r="B79" s="1163" t="s">
        <v>2413</v>
      </c>
      <c r="C79" s="23"/>
      <c r="D79" s="87"/>
      <c r="E79" s="86"/>
      <c r="F79" s="431"/>
      <c r="G79" s="1751"/>
      <c r="H79" s="1264" t="s">
        <v>730</v>
      </c>
      <c r="I79" s="1783"/>
      <c r="J79" s="1264" t="s">
        <v>730</v>
      </c>
      <c r="K79" s="1783"/>
      <c r="L79" s="1264" t="s">
        <v>730</v>
      </c>
      <c r="M79" s="1783"/>
      <c r="N79" s="1264"/>
      <c r="O79" s="1783"/>
      <c r="P79" s="1264"/>
      <c r="Q79" s="1783"/>
      <c r="R79" s="1264"/>
      <c r="S79" s="1783"/>
      <c r="T79" s="1264"/>
      <c r="U79" s="1783"/>
      <c r="V79" s="1264"/>
      <c r="W79" s="1783"/>
      <c r="X79" s="1264"/>
      <c r="Y79" s="1783"/>
      <c r="Z79" s="1264"/>
      <c r="AA79" s="1783"/>
      <c r="AB79" s="1264"/>
      <c r="AC79" s="1783"/>
    </row>
    <row r="80" spans="1:29">
      <c r="A80" s="1589"/>
      <c r="B80" s="1105" t="s">
        <v>2414</v>
      </c>
      <c r="C80" s="23"/>
      <c r="D80" s="87"/>
      <c r="E80" s="86"/>
      <c r="F80" s="431"/>
      <c r="G80" s="1751"/>
      <c r="H80" s="1264" t="s">
        <v>730</v>
      </c>
      <c r="I80" s="1783" t="s">
        <v>2415</v>
      </c>
      <c r="J80" s="1264" t="s">
        <v>730</v>
      </c>
      <c r="K80" s="1783" t="s">
        <v>2415</v>
      </c>
      <c r="L80" s="1264" t="s">
        <v>730</v>
      </c>
      <c r="M80" s="1783" t="s">
        <v>2415</v>
      </c>
      <c r="N80" s="1264"/>
      <c r="O80" s="1783"/>
      <c r="P80" s="1264"/>
      <c r="Q80" s="1783"/>
      <c r="R80" s="1264"/>
      <c r="S80" s="1783"/>
      <c r="T80" s="1264"/>
      <c r="U80" s="1783"/>
      <c r="V80" s="1264"/>
      <c r="W80" s="1783"/>
      <c r="X80" s="1264"/>
      <c r="Y80" s="1783"/>
      <c r="Z80" s="1264"/>
      <c r="AA80" s="1783"/>
      <c r="AB80" s="1264"/>
      <c r="AC80" s="1783"/>
    </row>
    <row r="81" spans="1:40">
      <c r="A81" s="1589"/>
      <c r="B81" s="1105"/>
      <c r="C81" s="23"/>
      <c r="D81" s="87"/>
      <c r="E81" s="86"/>
      <c r="F81" s="431"/>
      <c r="G81" s="1751"/>
      <c r="H81" s="1264"/>
      <c r="I81" s="1783"/>
      <c r="J81" s="1264"/>
      <c r="K81" s="1783"/>
      <c r="L81" s="1264"/>
      <c r="M81" s="1783"/>
      <c r="N81" s="1264"/>
      <c r="O81" s="1783"/>
      <c r="P81" s="1264"/>
      <c r="Q81" s="1783"/>
      <c r="R81" s="1264"/>
      <c r="S81" s="1783"/>
      <c r="T81" s="1264"/>
      <c r="U81" s="1783"/>
      <c r="V81" s="1264"/>
      <c r="W81" s="1783"/>
      <c r="X81" s="1264"/>
      <c r="Y81" s="1783"/>
      <c r="Z81" s="1264"/>
      <c r="AA81" s="1783"/>
      <c r="AB81" s="1264"/>
      <c r="AC81" s="1783"/>
    </row>
    <row r="82" spans="1:40">
      <c r="A82" s="1589"/>
      <c r="B82" s="1105" t="s">
        <v>2416</v>
      </c>
      <c r="C82" s="23"/>
      <c r="D82" s="87"/>
      <c r="E82" s="86"/>
      <c r="F82" s="431"/>
      <c r="G82" s="1751"/>
      <c r="H82" s="1264"/>
      <c r="I82" s="1950">
        <v>100000</v>
      </c>
      <c r="J82" s="1264"/>
      <c r="K82" s="1950">
        <v>100000</v>
      </c>
      <c r="L82" s="1264"/>
      <c r="M82" s="1950">
        <v>100000</v>
      </c>
      <c r="N82" s="1264"/>
      <c r="O82" s="1950">
        <v>100000</v>
      </c>
      <c r="P82" s="1264"/>
      <c r="Q82" s="1950">
        <v>100000</v>
      </c>
      <c r="R82" s="1264"/>
      <c r="S82" s="1950">
        <v>100000</v>
      </c>
      <c r="T82" s="1264"/>
      <c r="U82" s="1950">
        <v>100000</v>
      </c>
      <c r="V82" s="1264"/>
      <c r="W82" s="1950">
        <v>100000</v>
      </c>
      <c r="X82" s="1264"/>
      <c r="Y82" s="1950">
        <v>100000</v>
      </c>
      <c r="Z82" s="1264"/>
      <c r="AA82" s="1950">
        <v>100000</v>
      </c>
      <c r="AB82" s="1264"/>
      <c r="AC82" s="1950">
        <v>100000</v>
      </c>
    </row>
    <row r="83" spans="1:40" ht="15.75" thickBot="1">
      <c r="A83" s="1589"/>
      <c r="B83" s="1163"/>
      <c r="C83" s="23"/>
      <c r="D83" s="87"/>
      <c r="E83" s="86"/>
      <c r="F83" s="737"/>
      <c r="G83" s="1951"/>
      <c r="H83" s="1387"/>
      <c r="I83" s="1952"/>
      <c r="J83" s="1387"/>
      <c r="K83" s="1952"/>
      <c r="L83" s="1387"/>
      <c r="M83" s="1952"/>
      <c r="N83" s="1387"/>
      <c r="O83" s="1952"/>
      <c r="P83" s="1264"/>
      <c r="Q83" s="1783"/>
      <c r="R83" s="1264"/>
      <c r="S83" s="1783"/>
      <c r="T83" s="1264"/>
      <c r="U83" s="1783"/>
      <c r="V83" s="1264"/>
      <c r="W83" s="1783"/>
      <c r="X83" s="1264"/>
      <c r="Y83" s="1783"/>
      <c r="Z83" s="1264"/>
      <c r="AA83" s="1783"/>
      <c r="AB83" s="1264"/>
      <c r="AC83" s="1783"/>
    </row>
    <row r="84" spans="1:40" ht="15.75" thickTop="1">
      <c r="A84" s="296"/>
      <c r="B84" s="301"/>
      <c r="C84" s="297"/>
      <c r="D84" s="15"/>
      <c r="E84" s="16"/>
      <c r="F84" s="282" t="s">
        <v>753</v>
      </c>
      <c r="G84" s="272"/>
      <c r="H84" s="273"/>
      <c r="I84" s="273">
        <f>SUM(I12:I83)</f>
        <v>10305235</v>
      </c>
      <c r="J84" s="273"/>
      <c r="K84" s="273">
        <f>SUM(K20:K83)</f>
        <v>10628401</v>
      </c>
      <c r="L84" s="273"/>
      <c r="M84" s="273">
        <f>SUM(M13:M83)</f>
        <v>11632480</v>
      </c>
      <c r="N84" s="273"/>
      <c r="O84" s="273">
        <f>SUM(O13:O83)</f>
        <v>100000</v>
      </c>
      <c r="P84" s="273"/>
      <c r="Q84" s="273">
        <f>SUM(Q20:Q83)</f>
        <v>100000</v>
      </c>
      <c r="R84" s="273"/>
      <c r="S84" s="273">
        <f>SUM(S20:S83)</f>
        <v>100000</v>
      </c>
      <c r="T84" s="273"/>
      <c r="U84" s="273">
        <f>SUM(U20:U83)</f>
        <v>100000</v>
      </c>
      <c r="V84" s="273"/>
      <c r="W84" s="273">
        <f>SUM(W20:W83)</f>
        <v>100000</v>
      </c>
      <c r="X84" s="273"/>
      <c r="Y84" s="273">
        <f>SUM(Y20:Y83)</f>
        <v>100000</v>
      </c>
      <c r="Z84" s="273"/>
      <c r="AA84" s="273">
        <f>SUM(AA20:AA83)</f>
        <v>100000</v>
      </c>
      <c r="AB84" s="273"/>
      <c r="AC84" s="273">
        <f>SUM(AC20:AC83)</f>
        <v>100000</v>
      </c>
    </row>
    <row r="85" spans="1:40">
      <c r="A85" s="1114"/>
      <c r="B85" s="1164"/>
      <c r="C85" s="432"/>
      <c r="D85" s="433"/>
      <c r="E85" s="434"/>
      <c r="F85" s="435" t="s">
        <v>754</v>
      </c>
      <c r="G85" s="436"/>
      <c r="H85" s="1165">
        <v>0</v>
      </c>
      <c r="I85" s="1166"/>
      <c r="J85" s="1395">
        <v>5.0000000000000001E-3</v>
      </c>
      <c r="K85" s="1166"/>
      <c r="L85" s="1165">
        <v>0</v>
      </c>
      <c r="M85" s="1166"/>
      <c r="N85" s="1165">
        <v>0</v>
      </c>
      <c r="O85" s="1166"/>
      <c r="P85" s="1165">
        <v>0</v>
      </c>
      <c r="Q85" s="1166"/>
      <c r="R85" s="1165">
        <v>0</v>
      </c>
      <c r="S85" s="1166"/>
      <c r="T85" s="1165">
        <v>0</v>
      </c>
      <c r="U85" s="1166"/>
      <c r="V85" s="1165">
        <v>0</v>
      </c>
      <c r="W85" s="1166"/>
      <c r="X85" s="1165">
        <v>0</v>
      </c>
      <c r="Y85" s="1166"/>
      <c r="Z85" s="1165">
        <v>0</v>
      </c>
      <c r="AA85" s="1166"/>
      <c r="AB85" s="1165">
        <v>0</v>
      </c>
      <c r="AC85" s="1166"/>
    </row>
    <row r="86" spans="1:40">
      <c r="A86" s="1114"/>
      <c r="B86" s="1164"/>
      <c r="C86" s="432"/>
      <c r="D86" s="433"/>
      <c r="E86" s="434"/>
      <c r="F86" s="435" t="s">
        <v>755</v>
      </c>
      <c r="G86" s="436"/>
      <c r="H86" s="1166"/>
      <c r="I86" s="1166">
        <v>0</v>
      </c>
      <c r="J86" s="1166"/>
      <c r="K86" s="1166">
        <f>K84*J85</f>
        <v>53142.005000000005</v>
      </c>
      <c r="L86" s="1166"/>
      <c r="M86" s="1166">
        <f>M84*L85</f>
        <v>0</v>
      </c>
      <c r="N86" s="1166"/>
      <c r="O86" s="1166">
        <v>0</v>
      </c>
      <c r="P86" s="1166"/>
      <c r="Q86" s="1166">
        <v>0</v>
      </c>
      <c r="R86" s="1166"/>
      <c r="S86" s="1166">
        <v>0</v>
      </c>
      <c r="T86" s="1166"/>
      <c r="U86" s="1166">
        <v>0</v>
      </c>
      <c r="V86" s="1166"/>
      <c r="W86" s="1166">
        <v>0</v>
      </c>
      <c r="X86" s="1166"/>
      <c r="Y86" s="1166">
        <v>0</v>
      </c>
      <c r="Z86" s="1166"/>
      <c r="AA86" s="1166">
        <v>0</v>
      </c>
      <c r="AB86" s="1166"/>
      <c r="AC86" s="1166">
        <v>0</v>
      </c>
    </row>
    <row r="87" spans="1:40">
      <c r="A87" s="1114"/>
      <c r="B87" s="1164"/>
      <c r="C87" s="432"/>
      <c r="D87" s="433"/>
      <c r="E87" s="434"/>
      <c r="F87" s="435"/>
      <c r="G87" s="436"/>
      <c r="H87" s="1166"/>
      <c r="I87" s="1166"/>
      <c r="J87" s="1166"/>
      <c r="K87" s="1166"/>
      <c r="L87" s="1166"/>
      <c r="M87" s="1166"/>
      <c r="N87" s="1166"/>
      <c r="O87" s="1166"/>
      <c r="P87" s="1166"/>
      <c r="Q87" s="1166"/>
      <c r="R87" s="1166"/>
      <c r="S87" s="1166"/>
      <c r="T87" s="1166"/>
      <c r="U87" s="1166"/>
      <c r="V87" s="1166"/>
      <c r="W87" s="1166"/>
      <c r="X87" s="1166"/>
      <c r="Y87" s="1166"/>
      <c r="Z87" s="1166"/>
      <c r="AA87" s="1166"/>
      <c r="AB87" s="1166"/>
      <c r="AC87" s="1166"/>
    </row>
    <row r="88" spans="1:40">
      <c r="A88" s="1114"/>
      <c r="B88" s="1164"/>
      <c r="C88" s="432"/>
      <c r="D88" s="433"/>
      <c r="E88" s="434"/>
      <c r="F88" s="435" t="s">
        <v>756</v>
      </c>
      <c r="G88" s="436"/>
      <c r="H88" s="1166"/>
      <c r="I88" s="1166">
        <f>SUM(I84:I87)</f>
        <v>10305235</v>
      </c>
      <c r="J88" s="1166"/>
      <c r="K88" s="1166">
        <f>SUM(K84:K86)</f>
        <v>10681543.005000001</v>
      </c>
      <c r="L88" s="1166"/>
      <c r="M88" s="1166">
        <f>SUM(M84:M87)</f>
        <v>11632480</v>
      </c>
      <c r="N88" s="1166"/>
      <c r="O88" s="1166">
        <f>SUM(O84:O87)</f>
        <v>100000</v>
      </c>
      <c r="P88" s="1166"/>
      <c r="Q88" s="1166">
        <f>SUM(Q84:Q86)</f>
        <v>100000</v>
      </c>
      <c r="R88" s="1166"/>
      <c r="S88" s="1166">
        <f>SUM(S84:S86)</f>
        <v>100000</v>
      </c>
      <c r="T88" s="1166"/>
      <c r="U88" s="1166">
        <f>SUM(U84:U86)</f>
        <v>100000</v>
      </c>
      <c r="V88" s="1166"/>
      <c r="W88" s="1166">
        <f>SUM(W84:W86)</f>
        <v>100000</v>
      </c>
      <c r="X88" s="1166"/>
      <c r="Y88" s="1166">
        <f>SUM(Y84:Y86)</f>
        <v>100000</v>
      </c>
      <c r="Z88" s="1166"/>
      <c r="AA88" s="1166">
        <f>SUM(AA84:AA86)</f>
        <v>100000</v>
      </c>
      <c r="AB88" s="1166"/>
      <c r="AC88" s="1166">
        <f>SUM(AC84:AC86)</f>
        <v>100000</v>
      </c>
    </row>
    <row r="89" spans="1:40">
      <c r="A89" s="1114"/>
      <c r="B89" s="1164"/>
      <c r="C89" s="432"/>
      <c r="D89" s="433"/>
      <c r="E89" s="434"/>
      <c r="F89" s="437" t="s">
        <v>757</v>
      </c>
      <c r="G89" s="438"/>
      <c r="H89" s="1167"/>
      <c r="I89" s="1167">
        <f>I88/'Area Calculations'!$G$4</f>
        <v>17.808698672629838</v>
      </c>
      <c r="J89" s="1167"/>
      <c r="K89" s="1167">
        <f>K88/'Area Calculations'!$G$4</f>
        <v>18.459004645190724</v>
      </c>
      <c r="L89" s="1167"/>
      <c r="M89" s="1167">
        <f>M88/'Area Calculations'!$G$4</f>
        <v>20.102339358141094</v>
      </c>
      <c r="N89" s="1167"/>
      <c r="O89" s="1167">
        <f>O88/'Area Calculations'!$G$4</f>
        <v>0.17281215491572816</v>
      </c>
      <c r="P89" s="1167"/>
      <c r="Q89" s="1167">
        <f>Q88/'Area Calculations'!$G$4</f>
        <v>0.17281215491572816</v>
      </c>
      <c r="R89" s="1167"/>
      <c r="S89" s="1167">
        <f>S88/'Area Calculations'!$G$4</f>
        <v>0.17281215491572816</v>
      </c>
      <c r="T89" s="1167"/>
      <c r="U89" s="1167">
        <f>U88/'Area Calculations'!$G$4</f>
        <v>0.17281215491572816</v>
      </c>
      <c r="V89" s="1167"/>
      <c r="W89" s="1167">
        <f>W88/'Area Calculations'!$G$4</f>
        <v>0.17281215491572816</v>
      </c>
      <c r="X89" s="1167"/>
      <c r="Y89" s="1167">
        <f>Y88/'Area Calculations'!$G$4</f>
        <v>0.17281215491572816</v>
      </c>
      <c r="Z89" s="1167"/>
      <c r="AA89" s="1167">
        <f>AA88/'Area Calculations'!$G$4</f>
        <v>0.17281215491572816</v>
      </c>
      <c r="AB89" s="1167"/>
      <c r="AC89" s="1167">
        <f>AC88/'Area Calculations'!$G$4</f>
        <v>0.17281215491572816</v>
      </c>
    </row>
    <row r="90" spans="1:40">
      <c r="A90" s="1114"/>
      <c r="B90" s="1164"/>
      <c r="C90" s="432"/>
      <c r="D90" s="433"/>
      <c r="E90" s="434"/>
      <c r="F90" s="437" t="s">
        <v>758</v>
      </c>
      <c r="G90" s="438"/>
      <c r="H90" s="1167"/>
      <c r="I90" s="1167">
        <f>I88/'Area Calculations'!$G$9</f>
        <v>96310.607476635516</v>
      </c>
      <c r="J90" s="1167"/>
      <c r="K90" s="1167">
        <f>K88/'Area Calculations'!$G$9</f>
        <v>99827.504719626173</v>
      </c>
      <c r="L90" s="1167"/>
      <c r="M90" s="1167">
        <f>M88/'Area Calculations'!$G$9</f>
        <v>108714.76635514019</v>
      </c>
      <c r="N90" s="1167"/>
      <c r="O90" s="1167">
        <f>O88/'Area Calculations'!$G$9</f>
        <v>934.57943925233644</v>
      </c>
      <c r="P90" s="1167"/>
      <c r="Q90" s="1167">
        <f>Q88/'Area Calculations'!$G$9</f>
        <v>934.57943925233644</v>
      </c>
      <c r="R90" s="1167"/>
      <c r="S90" s="1167">
        <f>S88/'Area Calculations'!$G$9</f>
        <v>934.57943925233644</v>
      </c>
      <c r="T90" s="1167"/>
      <c r="U90" s="1167">
        <f>U88/'Area Calculations'!$G$9</f>
        <v>934.57943925233644</v>
      </c>
      <c r="V90" s="1167"/>
      <c r="W90" s="1167">
        <f>W88/'Area Calculations'!$G$9</f>
        <v>934.57943925233644</v>
      </c>
      <c r="X90" s="1167"/>
      <c r="Y90" s="1167">
        <f>Y88/'Area Calculations'!$G$9</f>
        <v>934.57943925233644</v>
      </c>
      <c r="Z90" s="1167"/>
      <c r="AA90" s="1167">
        <f>AA88/'Area Calculations'!$G$9</f>
        <v>934.57943925233644</v>
      </c>
      <c r="AB90" s="1167"/>
      <c r="AC90" s="1167">
        <f>AC88/'Area Calculations'!$G$9</f>
        <v>934.57943925233644</v>
      </c>
    </row>
    <row r="91" spans="1:40" ht="15.75" thickBot="1">
      <c r="A91" s="1114"/>
      <c r="B91" s="1164"/>
      <c r="C91" s="432"/>
      <c r="D91" s="433"/>
      <c r="E91" s="434"/>
      <c r="F91" s="439"/>
      <c r="G91" s="436"/>
      <c r="H91" s="1168"/>
      <c r="I91" s="1168"/>
      <c r="J91" s="1168"/>
      <c r="K91" s="1168"/>
      <c r="L91" s="1168"/>
      <c r="M91" s="1168"/>
      <c r="N91" s="1168"/>
      <c r="O91" s="1168"/>
      <c r="P91" s="1168"/>
      <c r="Q91" s="1168"/>
      <c r="R91" s="1168"/>
      <c r="S91" s="1168"/>
      <c r="T91" s="1168"/>
      <c r="U91" s="1168"/>
      <c r="V91" s="1168"/>
      <c r="W91" s="1168"/>
      <c r="X91" s="1168"/>
      <c r="Y91" s="1168"/>
      <c r="Z91" s="1168"/>
      <c r="AA91" s="1168"/>
      <c r="AB91" s="1168"/>
      <c r="AC91" s="1168"/>
    </row>
    <row r="92" spans="1:40" ht="16.5" thickTop="1" thickBot="1">
      <c r="A92" s="2331" t="s">
        <v>759</v>
      </c>
      <c r="B92" s="2332"/>
      <c r="C92" s="298"/>
      <c r="D92" s="12"/>
      <c r="E92" s="12"/>
      <c r="F92" s="12"/>
      <c r="G92" s="26"/>
      <c r="H92" s="20"/>
      <c r="I92" s="20"/>
      <c r="J92" s="24"/>
      <c r="K92" s="20"/>
      <c r="L92" s="20"/>
      <c r="M92" s="20"/>
      <c r="N92" s="20"/>
      <c r="O92" s="20"/>
      <c r="P92" s="20"/>
      <c r="Q92" s="20"/>
      <c r="R92" s="20"/>
      <c r="S92" s="20"/>
      <c r="T92" s="20"/>
      <c r="U92" s="20"/>
      <c r="V92" s="20"/>
      <c r="W92" s="20"/>
      <c r="X92" s="20"/>
      <c r="Y92" s="20"/>
      <c r="Z92" s="20"/>
      <c r="AA92" s="20"/>
      <c r="AB92" s="20"/>
      <c r="AC92" s="20"/>
    </row>
    <row r="93" spans="1:40" ht="15.75" thickTop="1">
      <c r="A93" s="1580"/>
      <c r="B93" s="1105"/>
      <c r="C93" s="927"/>
      <c r="D93" s="1740"/>
      <c r="E93" s="1740"/>
      <c r="F93" s="1740"/>
      <c r="G93" s="1722"/>
      <c r="H93" s="1906"/>
      <c r="I93" s="1906"/>
      <c r="J93" s="1775"/>
      <c r="K93" s="1906"/>
      <c r="L93" s="1906"/>
      <c r="M93" s="1906"/>
      <c r="N93" s="1906"/>
      <c r="O93" s="1906"/>
      <c r="P93" s="1906"/>
      <c r="Q93" s="1906"/>
      <c r="R93" s="1906"/>
      <c r="S93" s="1906"/>
      <c r="T93" s="1906"/>
      <c r="U93" s="1906"/>
      <c r="V93" s="1906"/>
      <c r="W93" s="1906"/>
      <c r="X93" s="1906"/>
      <c r="Y93" s="1906"/>
      <c r="Z93" s="1906"/>
      <c r="AA93" s="1906"/>
      <c r="AB93" s="1906"/>
      <c r="AC93" s="1906"/>
    </row>
    <row r="94" spans="1:40">
      <c r="A94" s="1580"/>
      <c r="B94" s="1105"/>
      <c r="C94" s="927"/>
      <c r="D94" s="1740"/>
      <c r="E94" s="1740"/>
      <c r="F94" s="1740"/>
      <c r="G94" s="1722"/>
      <c r="H94" s="1906"/>
      <c r="I94" s="1906"/>
      <c r="J94" s="1775"/>
      <c r="K94" s="1906"/>
      <c r="L94" s="1906"/>
      <c r="M94" s="1906"/>
      <c r="N94" s="1906"/>
      <c r="O94" s="1906"/>
      <c r="P94" s="1906"/>
      <c r="Q94" s="1906"/>
      <c r="R94" s="1906"/>
      <c r="S94" s="1906"/>
      <c r="T94" s="1906"/>
      <c r="U94" s="1906"/>
      <c r="V94" s="1906"/>
      <c r="W94" s="1906"/>
      <c r="X94" s="1906"/>
      <c r="Y94" s="1906"/>
      <c r="Z94" s="1906"/>
      <c r="AA94" s="1906"/>
      <c r="AB94" s="1906"/>
      <c r="AC94" s="1906"/>
    </row>
    <row r="95" spans="1:40" ht="15.75" thickBot="1">
      <c r="A95" s="1580"/>
      <c r="B95" s="1105"/>
      <c r="C95" s="927"/>
      <c r="D95" s="1740"/>
      <c r="E95" s="1740"/>
      <c r="F95" s="1740"/>
      <c r="G95" s="1722"/>
      <c r="H95" s="1906"/>
      <c r="I95" s="1906"/>
      <c r="J95" s="1775"/>
      <c r="K95" s="1906"/>
      <c r="L95" s="1906"/>
      <c r="M95" s="1906"/>
      <c r="N95" s="1906"/>
      <c r="O95" s="1906"/>
      <c r="P95" s="1906"/>
      <c r="Q95" s="1906"/>
      <c r="R95" s="1906"/>
      <c r="S95" s="1906"/>
      <c r="T95" s="1906"/>
      <c r="U95" s="1906"/>
      <c r="V95" s="1906"/>
      <c r="W95" s="1906"/>
      <c r="X95" s="1906"/>
      <c r="Y95" s="1906"/>
      <c r="Z95" s="1906"/>
      <c r="AA95" s="1906"/>
      <c r="AB95" s="1906"/>
      <c r="AC95" s="1906"/>
    </row>
    <row r="96" spans="1:40" s="2" customFormat="1" ht="16.5" thickTop="1" thickBot="1">
      <c r="A96" s="2331" t="s">
        <v>760</v>
      </c>
      <c r="B96" s="2332"/>
      <c r="C96" s="298"/>
      <c r="D96" s="12"/>
      <c r="E96" s="12"/>
      <c r="F96" s="12"/>
      <c r="G96" s="26"/>
      <c r="H96" s="20"/>
      <c r="I96" s="20"/>
      <c r="J96" s="24"/>
      <c r="K96" s="20"/>
      <c r="L96" s="20"/>
      <c r="M96" s="20"/>
      <c r="N96" s="20"/>
      <c r="O96" s="20"/>
      <c r="P96" s="20"/>
      <c r="Q96" s="20"/>
      <c r="R96" s="20"/>
      <c r="S96" s="20"/>
      <c r="T96" s="20"/>
      <c r="U96" s="20"/>
      <c r="V96" s="20"/>
      <c r="W96" s="20"/>
      <c r="X96" s="20"/>
      <c r="Y96" s="20"/>
      <c r="Z96" s="20"/>
      <c r="AA96" s="20"/>
      <c r="AB96" s="20"/>
      <c r="AC96" s="20"/>
      <c r="AD96"/>
      <c r="AE96"/>
      <c r="AF96"/>
      <c r="AG96"/>
      <c r="AH96"/>
      <c r="AI96"/>
      <c r="AJ96"/>
      <c r="AK96"/>
      <c r="AL96"/>
      <c r="AM96"/>
      <c r="AN96"/>
    </row>
    <row r="97" spans="1:40" s="2" customFormat="1" ht="15.75" thickTop="1">
      <c r="A97" s="1580"/>
      <c r="B97" s="1105"/>
      <c r="C97" s="927"/>
      <c r="D97" s="1740"/>
      <c r="E97" s="1740"/>
      <c r="F97" s="1740"/>
      <c r="G97" s="1722"/>
      <c r="H97" s="1906"/>
      <c r="I97" s="1906"/>
      <c r="J97" s="1775"/>
      <c r="K97" s="1906"/>
      <c r="L97" s="1906"/>
      <c r="M97" s="1906"/>
      <c r="N97" s="1906"/>
      <c r="O97" s="1906"/>
      <c r="P97" s="1906"/>
      <c r="Q97" s="1906"/>
      <c r="R97" s="1906"/>
      <c r="S97" s="1906"/>
      <c r="T97" s="1906"/>
      <c r="U97" s="1906"/>
      <c r="V97" s="1906"/>
      <c r="W97" s="1906"/>
      <c r="X97" s="1906"/>
      <c r="Y97" s="1906"/>
      <c r="Z97" s="1906"/>
      <c r="AA97" s="1906"/>
      <c r="AB97" s="1906"/>
      <c r="AC97" s="1906"/>
      <c r="AD97"/>
      <c r="AE97"/>
      <c r="AF97"/>
      <c r="AG97"/>
      <c r="AH97"/>
      <c r="AI97"/>
      <c r="AJ97"/>
      <c r="AK97"/>
      <c r="AL97"/>
      <c r="AM97"/>
      <c r="AN97"/>
    </row>
    <row r="98" spans="1:40" s="2" customFormat="1">
      <c r="A98" s="1580"/>
      <c r="B98" s="1105"/>
      <c r="C98" s="927"/>
      <c r="D98" s="1740"/>
      <c r="E98" s="1740"/>
      <c r="F98" s="1740"/>
      <c r="G98" s="1722"/>
      <c r="H98" s="1906"/>
      <c r="I98" s="1906"/>
      <c r="J98" s="1775"/>
      <c r="K98" s="1906"/>
      <c r="L98" s="1906"/>
      <c r="M98" s="1906"/>
      <c r="N98" s="1906"/>
      <c r="O98" s="1906"/>
      <c r="P98" s="1906"/>
      <c r="Q98" s="1906"/>
      <c r="R98" s="1906"/>
      <c r="S98" s="1906"/>
      <c r="T98" s="1906"/>
      <c r="U98" s="1906"/>
      <c r="V98" s="1906"/>
      <c r="W98" s="1906"/>
      <c r="X98" s="1906"/>
      <c r="Y98" s="1906"/>
      <c r="Z98" s="1906"/>
      <c r="AA98" s="1906"/>
      <c r="AB98" s="1906"/>
      <c r="AC98" s="1906"/>
      <c r="AD98"/>
      <c r="AE98"/>
      <c r="AF98"/>
      <c r="AG98"/>
      <c r="AH98"/>
      <c r="AI98"/>
      <c r="AJ98"/>
      <c r="AK98"/>
      <c r="AL98"/>
      <c r="AM98"/>
      <c r="AN98"/>
    </row>
    <row r="99" spans="1:40" ht="15.75" thickBot="1">
      <c r="A99" s="1580"/>
      <c r="B99" s="1105"/>
      <c r="C99" s="927"/>
      <c r="D99" s="1740"/>
      <c r="E99" s="1740"/>
      <c r="F99" s="1740"/>
      <c r="G99" s="1722"/>
      <c r="H99" s="1906"/>
      <c r="I99" s="1906"/>
      <c r="J99" s="1775"/>
      <c r="K99" s="1906"/>
      <c r="L99" s="1906"/>
      <c r="M99" s="1906"/>
      <c r="N99" s="1906"/>
      <c r="O99" s="1906"/>
      <c r="P99" s="1906"/>
      <c r="Q99" s="1906"/>
      <c r="R99" s="1906"/>
      <c r="S99" s="1906"/>
      <c r="T99" s="1906"/>
      <c r="U99" s="1906"/>
      <c r="V99" s="1906"/>
      <c r="W99" s="1906"/>
      <c r="X99" s="1906"/>
      <c r="Y99" s="1906"/>
      <c r="Z99" s="1906"/>
      <c r="AA99" s="1906"/>
      <c r="AB99" s="1906"/>
      <c r="AC99" s="1906"/>
    </row>
    <row r="100" spans="1:40" s="2" customFormat="1" ht="16.5" thickTop="1" thickBot="1">
      <c r="A100" s="2331" t="s">
        <v>761</v>
      </c>
      <c r="B100" s="2332"/>
      <c r="C100" s="298"/>
      <c r="D100" s="12"/>
      <c r="E100" s="12"/>
      <c r="F100" s="12"/>
      <c r="G100" s="26"/>
      <c r="H100" s="20"/>
      <c r="I100" s="20"/>
      <c r="J100" s="24"/>
      <c r="K100" s="20"/>
      <c r="L100" s="20"/>
      <c r="M100" s="20"/>
      <c r="N100" s="20"/>
      <c r="O100" s="20"/>
      <c r="P100" s="20"/>
      <c r="Q100" s="20"/>
      <c r="R100" s="20"/>
      <c r="S100" s="20"/>
      <c r="T100" s="20"/>
      <c r="U100" s="20"/>
      <c r="V100" s="20"/>
      <c r="W100" s="20"/>
      <c r="X100" s="20"/>
      <c r="Y100" s="20"/>
      <c r="Z100" s="20"/>
      <c r="AA100" s="20"/>
      <c r="AB100" s="20"/>
      <c r="AC100" s="20"/>
      <c r="AD100"/>
      <c r="AE100"/>
      <c r="AF100"/>
      <c r="AG100"/>
      <c r="AH100"/>
      <c r="AI100"/>
      <c r="AJ100"/>
      <c r="AK100"/>
      <c r="AL100"/>
      <c r="AM100"/>
      <c r="AN100"/>
    </row>
    <row r="101" spans="1:40" s="2" customFormat="1" ht="15.75" thickTop="1">
      <c r="A101" s="1580"/>
      <c r="B101" s="1105" t="s">
        <v>2417</v>
      </c>
      <c r="C101" s="927"/>
      <c r="D101" s="1740"/>
      <c r="E101" s="1740"/>
      <c r="F101" s="1740"/>
      <c r="G101" s="1722"/>
      <c r="H101" s="1906"/>
      <c r="I101" s="1906"/>
      <c r="J101" s="1264" t="s">
        <v>727</v>
      </c>
      <c r="K101" s="1906">
        <v>82790</v>
      </c>
      <c r="L101" s="1264" t="s">
        <v>727</v>
      </c>
      <c r="M101" s="1906"/>
      <c r="N101" s="1906"/>
      <c r="O101" s="1906"/>
      <c r="P101" s="1906"/>
      <c r="Q101" s="1906"/>
      <c r="R101" s="1906"/>
      <c r="S101" s="1906"/>
      <c r="T101" s="1906"/>
      <c r="U101" s="1906"/>
      <c r="V101" s="1906"/>
      <c r="W101" s="1906"/>
      <c r="X101" s="1906"/>
      <c r="Y101" s="1906"/>
      <c r="Z101" s="1906"/>
      <c r="AA101" s="1906"/>
      <c r="AB101" s="1906"/>
      <c r="AC101" s="1906"/>
      <c r="AD101"/>
      <c r="AE101"/>
      <c r="AF101"/>
      <c r="AG101"/>
      <c r="AH101"/>
      <c r="AI101"/>
      <c r="AJ101"/>
      <c r="AK101"/>
      <c r="AL101"/>
      <c r="AM101"/>
      <c r="AN101"/>
    </row>
    <row r="102" spans="1:40" s="2" customFormat="1">
      <c r="A102" s="1124"/>
      <c r="B102" s="1105" t="s">
        <v>2414</v>
      </c>
      <c r="C102" s="415"/>
      <c r="D102" s="422"/>
      <c r="E102" s="422"/>
      <c r="F102" s="422"/>
      <c r="G102" s="831"/>
      <c r="H102" s="1173"/>
      <c r="I102" s="1173"/>
      <c r="J102" s="1264" t="s">
        <v>727</v>
      </c>
      <c r="K102" s="1173">
        <v>406520</v>
      </c>
      <c r="L102" s="1264" t="s">
        <v>727</v>
      </c>
      <c r="M102" s="1173">
        <v>390520</v>
      </c>
      <c r="N102" s="1173"/>
      <c r="O102" s="1173"/>
      <c r="P102" s="1173"/>
      <c r="Q102" s="1173"/>
      <c r="R102" s="1173"/>
      <c r="S102" s="1173"/>
      <c r="T102" s="1173"/>
      <c r="U102" s="1173"/>
      <c r="V102" s="1173"/>
      <c r="W102" s="1173"/>
      <c r="X102" s="1173"/>
      <c r="Y102" s="1173"/>
      <c r="Z102" s="1173"/>
      <c r="AA102" s="1173"/>
      <c r="AB102" s="1173"/>
      <c r="AC102" s="1173"/>
      <c r="AD102"/>
      <c r="AE102"/>
      <c r="AF102"/>
      <c r="AG102"/>
      <c r="AH102"/>
      <c r="AI102"/>
      <c r="AJ102"/>
      <c r="AK102"/>
      <c r="AL102"/>
      <c r="AM102"/>
      <c r="AN102"/>
    </row>
    <row r="103" spans="1:40" s="2" customFormat="1" ht="15.75" thickBot="1">
      <c r="A103" s="1126"/>
      <c r="B103" s="1174"/>
      <c r="C103" s="415"/>
      <c r="D103" s="422"/>
      <c r="E103" s="422"/>
      <c r="F103" s="422"/>
      <c r="G103" s="831"/>
      <c r="H103" s="1175"/>
      <c r="I103" s="1175"/>
      <c r="J103" s="441"/>
      <c r="K103" s="1175"/>
      <c r="L103" s="1175"/>
      <c r="M103" s="1175"/>
      <c r="N103" s="1175"/>
      <c r="O103" s="1175"/>
      <c r="P103" s="1175"/>
      <c r="Q103" s="1175"/>
      <c r="R103" s="1175"/>
      <c r="S103" s="1175"/>
      <c r="T103" s="1175"/>
      <c r="U103" s="1175"/>
      <c r="V103" s="1175"/>
      <c r="W103" s="1175"/>
      <c r="X103" s="1175"/>
      <c r="Y103" s="1175"/>
      <c r="Z103" s="1175"/>
      <c r="AA103" s="1175"/>
      <c r="AB103" s="1175"/>
      <c r="AC103" s="1175"/>
    </row>
    <row r="104" spans="1:40" s="2" customFormat="1" ht="16.5" thickTop="1" thickBot="1">
      <c r="A104" s="2331" t="s">
        <v>762</v>
      </c>
      <c r="B104" s="2332"/>
      <c r="C104" s="298"/>
      <c r="D104" s="12"/>
      <c r="E104" s="12"/>
      <c r="F104" s="12"/>
      <c r="G104" s="26"/>
      <c r="H104" s="20"/>
      <c r="I104" s="20"/>
      <c r="J104" s="24"/>
      <c r="K104" s="20"/>
      <c r="L104" s="20"/>
      <c r="M104" s="20"/>
      <c r="N104" s="20"/>
      <c r="O104" s="20"/>
      <c r="P104" s="20"/>
      <c r="Q104" s="20"/>
      <c r="R104" s="20"/>
      <c r="S104" s="20"/>
      <c r="T104" s="20"/>
      <c r="U104" s="20"/>
      <c r="V104" s="20"/>
      <c r="W104" s="20"/>
      <c r="X104" s="20"/>
      <c r="Y104" s="20"/>
      <c r="Z104" s="20"/>
      <c r="AA104" s="20"/>
      <c r="AB104" s="20"/>
      <c r="AC104" s="20"/>
      <c r="AD104"/>
      <c r="AE104"/>
      <c r="AF104"/>
      <c r="AG104"/>
      <c r="AH104"/>
      <c r="AI104"/>
      <c r="AJ104"/>
      <c r="AK104"/>
      <c r="AL104"/>
      <c r="AM104"/>
      <c r="AN104"/>
    </row>
    <row r="105" spans="1:40" ht="15.75" thickTop="1">
      <c r="A105" s="1585"/>
      <c r="B105" s="1912" t="s">
        <v>2418</v>
      </c>
      <c r="C105" s="927"/>
      <c r="D105" s="1740"/>
      <c r="E105" s="1740"/>
      <c r="F105" s="1740"/>
      <c r="G105" s="1722"/>
      <c r="H105" s="1906"/>
      <c r="I105" s="1906"/>
      <c r="J105" s="1775"/>
      <c r="K105" s="1906"/>
      <c r="L105" s="1906"/>
      <c r="M105" s="1906"/>
      <c r="N105" s="1906"/>
      <c r="O105" s="1906"/>
      <c r="P105" s="1906"/>
      <c r="Q105" s="1906"/>
      <c r="R105" s="1906"/>
      <c r="S105" s="1906"/>
      <c r="T105" s="1906"/>
      <c r="U105" s="1906"/>
      <c r="V105" s="1906"/>
      <c r="W105" s="1906"/>
      <c r="X105" s="1906"/>
      <c r="Y105" s="1906"/>
      <c r="Z105" s="1906"/>
      <c r="AA105" s="1906"/>
      <c r="AB105" s="1906"/>
      <c r="AC105" s="1906"/>
      <c r="AD105" s="2"/>
      <c r="AE105" s="2"/>
      <c r="AF105" s="2"/>
      <c r="AG105" s="2"/>
      <c r="AH105" s="2"/>
      <c r="AI105" s="2"/>
      <c r="AJ105" s="2"/>
      <c r="AK105" s="2"/>
      <c r="AL105" s="2"/>
      <c r="AM105" s="2"/>
      <c r="AN105" s="2"/>
    </row>
    <row r="106" spans="1:40">
      <c r="A106" s="1126"/>
      <c r="B106" s="1174" t="s">
        <v>2419</v>
      </c>
      <c r="C106" s="415"/>
      <c r="D106" s="422"/>
      <c r="E106" s="422"/>
      <c r="F106" s="422"/>
      <c r="G106" s="831"/>
      <c r="H106" s="1178"/>
      <c r="I106" s="1178"/>
      <c r="J106" s="442"/>
      <c r="K106" s="1178"/>
      <c r="L106" s="1178"/>
      <c r="M106" s="1178"/>
      <c r="N106" s="1178"/>
      <c r="O106" s="1178"/>
      <c r="P106" s="1178"/>
      <c r="Q106" s="1178"/>
      <c r="R106" s="1178"/>
      <c r="S106" s="1178"/>
      <c r="T106" s="1178"/>
      <c r="U106" s="1178"/>
      <c r="V106" s="1178"/>
      <c r="W106" s="1178"/>
      <c r="X106" s="1178"/>
      <c r="Y106" s="1178"/>
      <c r="Z106" s="1178"/>
      <c r="AA106" s="1178"/>
      <c r="AB106" s="1178"/>
      <c r="AC106" s="1178"/>
      <c r="AD106" s="2"/>
      <c r="AE106" s="2"/>
      <c r="AF106" s="2"/>
      <c r="AG106" s="2"/>
      <c r="AH106" s="2"/>
      <c r="AI106" s="2"/>
      <c r="AJ106" s="2"/>
      <c r="AK106" s="2"/>
      <c r="AL106" s="2"/>
      <c r="AM106" s="2"/>
      <c r="AN106" s="2"/>
    </row>
    <row r="107" spans="1:40" ht="15.75" thickBot="1">
      <c r="A107" s="1126"/>
      <c r="B107" s="1174"/>
      <c r="C107" s="415"/>
      <c r="D107" s="422"/>
      <c r="E107" s="422"/>
      <c r="F107" s="422"/>
      <c r="G107" s="831"/>
      <c r="H107" s="1178"/>
      <c r="I107" s="1178"/>
      <c r="J107" s="442"/>
      <c r="K107" s="1178"/>
      <c r="L107" s="1178"/>
      <c r="M107" s="1178"/>
      <c r="N107" s="1178"/>
      <c r="O107" s="1178"/>
      <c r="P107" s="1178"/>
      <c r="Q107" s="1178"/>
      <c r="R107" s="1178"/>
      <c r="S107" s="1178"/>
      <c r="T107" s="1178"/>
      <c r="U107" s="1178"/>
      <c r="V107" s="1178"/>
      <c r="W107" s="1178"/>
      <c r="X107" s="1178"/>
      <c r="Y107" s="1178"/>
      <c r="Z107" s="1178"/>
      <c r="AA107" s="1178"/>
      <c r="AB107" s="1178"/>
      <c r="AC107" s="1178"/>
      <c r="AD107" s="2"/>
      <c r="AE107" s="2"/>
      <c r="AF107" s="2"/>
      <c r="AG107" s="2"/>
      <c r="AH107" s="2"/>
      <c r="AI107" s="2"/>
      <c r="AJ107" s="2"/>
      <c r="AK107" s="2"/>
      <c r="AL107" s="2"/>
      <c r="AM107" s="2"/>
      <c r="AN107" s="2"/>
    </row>
    <row r="108" spans="1:40" ht="16.5" thickTop="1" thickBot="1">
      <c r="A108" s="2331" t="s">
        <v>763</v>
      </c>
      <c r="B108" s="2332"/>
      <c r="C108" s="298"/>
      <c r="D108" s="12"/>
      <c r="E108" s="12"/>
      <c r="F108" s="12"/>
      <c r="G108" s="26"/>
      <c r="H108" s="20"/>
      <c r="I108" s="20"/>
      <c r="J108" s="24"/>
      <c r="K108" s="20"/>
      <c r="L108" s="20"/>
      <c r="M108" s="20"/>
      <c r="N108" s="20"/>
      <c r="O108" s="20"/>
      <c r="P108" s="20"/>
      <c r="Q108" s="20"/>
      <c r="R108" s="20"/>
      <c r="S108" s="20"/>
      <c r="T108" s="20"/>
      <c r="U108" s="20"/>
      <c r="V108" s="20"/>
      <c r="W108" s="20"/>
      <c r="X108" s="20"/>
      <c r="Y108" s="20"/>
      <c r="Z108" s="20"/>
      <c r="AA108" s="20"/>
      <c r="AB108" s="20"/>
      <c r="AC108" s="20"/>
    </row>
    <row r="109" spans="1:40" ht="15.75" thickTop="1">
      <c r="A109" s="1124"/>
      <c r="B109" s="1105" t="s">
        <v>764</v>
      </c>
      <c r="C109" s="415"/>
      <c r="D109" s="422"/>
      <c r="E109" s="422"/>
      <c r="F109" s="422"/>
      <c r="G109" s="831"/>
      <c r="H109" s="1178"/>
      <c r="I109" s="1178"/>
      <c r="J109" s="442"/>
      <c r="K109" s="1178"/>
      <c r="L109" s="1178"/>
      <c r="M109" s="1178"/>
      <c r="N109" s="1178"/>
      <c r="O109" s="1178"/>
      <c r="P109" s="1178"/>
      <c r="Q109" s="1178"/>
      <c r="R109" s="1178"/>
      <c r="S109" s="1178"/>
      <c r="T109" s="1178"/>
      <c r="U109" s="1178"/>
      <c r="V109" s="1178"/>
      <c r="W109" s="1178"/>
      <c r="X109" s="1178"/>
      <c r="Y109" s="1178"/>
      <c r="Z109" s="1178"/>
      <c r="AA109" s="1178"/>
      <c r="AB109" s="1178"/>
      <c r="AC109" s="1178"/>
    </row>
    <row r="110" spans="1:40">
      <c r="A110" s="1124"/>
      <c r="B110" s="1105" t="s">
        <v>765</v>
      </c>
      <c r="C110" s="415"/>
      <c r="D110" s="422"/>
      <c r="E110" s="422"/>
      <c r="F110" s="422"/>
      <c r="G110" s="831"/>
      <c r="H110" s="1178"/>
      <c r="I110" s="1178"/>
      <c r="J110" s="442"/>
      <c r="K110" s="1178"/>
      <c r="L110" s="1178"/>
      <c r="M110" s="1178"/>
      <c r="N110" s="1178"/>
      <c r="O110" s="1178"/>
      <c r="P110" s="1178"/>
      <c r="Q110" s="1178"/>
      <c r="R110" s="1178"/>
      <c r="S110" s="1178"/>
      <c r="T110" s="1178"/>
      <c r="U110" s="1178"/>
      <c r="V110" s="1178"/>
      <c r="W110" s="1178"/>
      <c r="X110" s="1178"/>
      <c r="Y110" s="1178"/>
      <c r="Z110" s="1178"/>
      <c r="AA110" s="1178"/>
      <c r="AB110" s="1178"/>
      <c r="AC110" s="1178"/>
    </row>
    <row r="111" spans="1:40">
      <c r="A111" s="1124"/>
      <c r="B111" s="1105" t="s">
        <v>766</v>
      </c>
      <c r="C111" s="415"/>
      <c r="D111" s="422"/>
      <c r="E111" s="422"/>
      <c r="F111" s="422"/>
      <c r="G111" s="831"/>
      <c r="H111" s="1178"/>
      <c r="I111" s="1178"/>
      <c r="J111" s="442"/>
      <c r="K111" s="1178"/>
      <c r="L111" s="1178"/>
      <c r="M111" s="1178"/>
      <c r="N111" s="1178"/>
      <c r="O111" s="1178"/>
      <c r="P111" s="1178"/>
      <c r="Q111" s="1178"/>
      <c r="R111" s="1178"/>
      <c r="S111" s="1178"/>
      <c r="T111" s="1178"/>
      <c r="U111" s="1178"/>
      <c r="V111" s="1178"/>
      <c r="W111" s="1178"/>
      <c r="X111" s="1178"/>
      <c r="Y111" s="1178"/>
      <c r="Z111" s="1178"/>
      <c r="AA111" s="1178"/>
      <c r="AB111" s="1178"/>
      <c r="AC111" s="1178"/>
    </row>
    <row r="112" spans="1:40">
      <c r="A112" s="1124"/>
      <c r="B112" s="1105" t="s">
        <v>767</v>
      </c>
      <c r="C112" s="415"/>
      <c r="D112" s="422"/>
      <c r="E112" s="422"/>
      <c r="F112" s="422"/>
      <c r="G112" s="831"/>
      <c r="H112" s="1178"/>
      <c r="I112" s="1178"/>
      <c r="J112" s="442"/>
      <c r="K112" s="1178"/>
      <c r="L112" s="1178"/>
      <c r="M112" s="1178"/>
      <c r="N112" s="1178"/>
      <c r="O112" s="1178"/>
      <c r="P112" s="1178"/>
      <c r="Q112" s="1178"/>
      <c r="R112" s="1178"/>
      <c r="S112" s="1178"/>
      <c r="T112" s="1178"/>
      <c r="U112" s="1178"/>
      <c r="V112" s="1178"/>
      <c r="W112" s="1178"/>
      <c r="X112" s="1178"/>
      <c r="Y112" s="1178"/>
      <c r="Z112" s="1178"/>
      <c r="AA112" s="1178"/>
      <c r="AB112" s="1178"/>
      <c r="AC112" s="1178"/>
    </row>
    <row r="113" spans="1:29" ht="15.75" thickBot="1">
      <c r="A113" s="443"/>
      <c r="B113" s="421"/>
      <c r="C113" s="23"/>
      <c r="D113" s="86"/>
      <c r="E113" s="86"/>
      <c r="F113" s="86"/>
      <c r="G113" s="27"/>
      <c r="H113" s="444"/>
      <c r="I113" s="444"/>
      <c r="J113" s="25"/>
      <c r="K113" s="444"/>
      <c r="L113" s="444"/>
      <c r="M113" s="444"/>
      <c r="N113" s="444"/>
      <c r="O113" s="444"/>
      <c r="P113" s="444"/>
      <c r="Q113" s="444"/>
      <c r="R113" s="444"/>
      <c r="S113" s="444"/>
      <c r="T113" s="444"/>
      <c r="U113" s="444"/>
      <c r="V113" s="444"/>
      <c r="W113" s="444"/>
      <c r="X113" s="444"/>
      <c r="Y113" s="444"/>
      <c r="Z113" s="444"/>
      <c r="AA113" s="444"/>
      <c r="AB113" s="444"/>
      <c r="AC113" s="444"/>
    </row>
    <row r="114" spans="1:29" ht="16.5" thickTop="1" thickBot="1">
      <c r="A114" s="72" t="s">
        <v>768</v>
      </c>
      <c r="B114" s="73"/>
      <c r="C114" s="298"/>
      <c r="D114" s="12"/>
      <c r="E114" s="12"/>
      <c r="F114" s="12"/>
      <c r="G114" s="26"/>
      <c r="H114" s="20"/>
      <c r="I114" s="20"/>
      <c r="J114" s="24"/>
      <c r="K114" s="20"/>
      <c r="L114" s="20"/>
      <c r="M114" s="20"/>
      <c r="N114" s="20"/>
      <c r="O114" s="20"/>
      <c r="P114" s="20"/>
      <c r="Q114" s="20"/>
      <c r="R114" s="20"/>
      <c r="S114" s="20"/>
      <c r="T114" s="20"/>
      <c r="U114" s="20"/>
      <c r="V114" s="20"/>
      <c r="W114" s="20"/>
      <c r="X114" s="20"/>
      <c r="Y114" s="20"/>
      <c r="Z114" s="20"/>
      <c r="AA114" s="20"/>
      <c r="AB114" s="20"/>
      <c r="AC114" s="20"/>
    </row>
    <row r="115" spans="1:29" ht="15.75" thickTop="1">
      <c r="A115" s="1580"/>
      <c r="B115" s="1914" t="s">
        <v>769</v>
      </c>
      <c r="C115" s="927"/>
      <c r="D115" s="1740"/>
      <c r="E115" s="1740"/>
      <c r="F115" s="1740"/>
      <c r="G115" s="1722"/>
      <c r="H115" s="1916"/>
      <c r="I115" s="1916"/>
      <c r="J115" s="1792"/>
      <c r="K115" s="1916"/>
      <c r="L115" s="1916"/>
      <c r="M115" s="1916"/>
      <c r="N115" s="1916"/>
      <c r="O115" s="1916"/>
      <c r="P115" s="1916"/>
      <c r="Q115" s="1916"/>
      <c r="R115" s="1916"/>
      <c r="S115" s="1916"/>
      <c r="T115" s="1916"/>
      <c r="U115" s="1916"/>
      <c r="V115" s="1916"/>
      <c r="W115" s="1916"/>
      <c r="X115" s="1916"/>
      <c r="Y115" s="1916"/>
      <c r="Z115" s="1916"/>
      <c r="AA115" s="1916"/>
      <c r="AB115" s="1916"/>
      <c r="AC115" s="1916"/>
    </row>
    <row r="116" spans="1:29">
      <c r="A116" s="1124"/>
      <c r="B116" s="1105" t="s">
        <v>770</v>
      </c>
      <c r="C116" s="415"/>
      <c r="D116" s="422"/>
      <c r="E116" s="422"/>
      <c r="F116" s="422"/>
      <c r="G116" s="831"/>
      <c r="H116" s="1182"/>
      <c r="I116" s="1182"/>
      <c r="J116" s="445"/>
      <c r="K116" s="1182"/>
      <c r="L116" s="1182"/>
      <c r="M116" s="1182"/>
      <c r="N116" s="1182"/>
      <c r="O116" s="1182"/>
      <c r="P116" s="1182"/>
      <c r="Q116" s="1182"/>
      <c r="R116" s="1182"/>
      <c r="S116" s="1182"/>
      <c r="T116" s="1182"/>
      <c r="U116" s="1182"/>
      <c r="V116" s="1182"/>
      <c r="W116" s="1182"/>
      <c r="X116" s="1182"/>
      <c r="Y116" s="1182"/>
      <c r="Z116" s="1182"/>
      <c r="AA116" s="1182"/>
      <c r="AB116" s="1182"/>
      <c r="AC116" s="1182"/>
    </row>
    <row r="117" spans="1:29" ht="15.75" thickBot="1">
      <c r="A117" s="1308"/>
      <c r="B117" s="1136" t="s">
        <v>771</v>
      </c>
      <c r="C117" s="935"/>
      <c r="D117" s="938"/>
      <c r="E117" s="938"/>
      <c r="F117" s="938"/>
      <c r="G117" s="939"/>
      <c r="H117" s="1140"/>
      <c r="I117" s="1140"/>
      <c r="J117" s="940"/>
      <c r="K117" s="1140"/>
      <c r="L117" s="1140"/>
      <c r="M117" s="1140"/>
      <c r="N117" s="1140"/>
      <c r="O117" s="1140"/>
      <c r="P117" s="1140"/>
      <c r="Q117" s="1140"/>
      <c r="R117" s="1140"/>
      <c r="S117" s="1140"/>
      <c r="T117" s="1140"/>
      <c r="U117" s="1140"/>
      <c r="V117" s="1140"/>
      <c r="W117" s="1140"/>
      <c r="X117" s="1140"/>
      <c r="Y117" s="1140"/>
      <c r="Z117" s="1140"/>
      <c r="AA117" s="1140"/>
      <c r="AB117" s="1140"/>
      <c r="AC117" s="1140"/>
    </row>
    <row r="118" spans="1:29" ht="16.5" thickTop="1" thickBot="1">
      <c r="F118" s="2"/>
      <c r="G118" s="2"/>
      <c r="H118" s="2"/>
      <c r="I118" s="2"/>
      <c r="J118" s="2"/>
      <c r="K118" s="2"/>
      <c r="L118" s="2"/>
      <c r="M118" s="2"/>
      <c r="N118" s="2"/>
      <c r="O118" s="2"/>
      <c r="P118" s="2"/>
      <c r="Q118" s="2"/>
      <c r="R118" s="2"/>
      <c r="S118" s="2"/>
      <c r="T118" s="2"/>
      <c r="U118" s="2"/>
      <c r="V118" s="2"/>
      <c r="W118" s="2"/>
      <c r="X118" s="2"/>
      <c r="Y118" s="2"/>
      <c r="Z118" s="2"/>
      <c r="AA118" s="2"/>
    </row>
    <row r="119" spans="1:29" ht="16.5" thickTop="1" thickBot="1">
      <c r="A119" s="37" t="s">
        <v>772</v>
      </c>
      <c r="B119" s="39"/>
      <c r="F119" s="2"/>
      <c r="G119" s="2"/>
      <c r="H119" s="2"/>
      <c r="I119" s="2"/>
      <c r="J119" s="2"/>
      <c r="K119" s="2"/>
      <c r="L119" s="2"/>
      <c r="M119" s="2"/>
      <c r="N119" s="2"/>
      <c r="O119" s="2"/>
      <c r="P119" s="2"/>
      <c r="Q119" s="2"/>
      <c r="R119" s="2"/>
      <c r="S119" s="2"/>
      <c r="T119" s="2"/>
      <c r="U119" s="2"/>
      <c r="V119" s="2"/>
      <c r="W119" s="2"/>
      <c r="X119" s="2"/>
      <c r="Y119" s="2"/>
      <c r="Z119" s="2"/>
      <c r="AA119" s="2"/>
    </row>
    <row r="120" spans="1:29" ht="15.75" thickTop="1">
      <c r="A120" s="38" t="s">
        <v>693</v>
      </c>
      <c r="B120" s="941" t="str">
        <f>H5</f>
        <v>Energy Air, Inc.</v>
      </c>
      <c r="F120" s="2"/>
      <c r="G120" s="2"/>
      <c r="H120" s="2"/>
      <c r="I120" s="2"/>
      <c r="J120" s="2"/>
      <c r="K120" s="2"/>
      <c r="L120" s="2"/>
      <c r="M120" s="2"/>
      <c r="N120" s="2"/>
      <c r="O120" s="2"/>
      <c r="P120" s="2"/>
      <c r="Q120" s="2"/>
      <c r="R120" s="2"/>
      <c r="S120" s="2"/>
      <c r="T120" s="2"/>
      <c r="U120" s="2"/>
      <c r="V120" s="2"/>
      <c r="W120" s="2"/>
      <c r="X120" s="2"/>
      <c r="Y120" s="2"/>
      <c r="Z120" s="2"/>
      <c r="AA120" s="2"/>
    </row>
    <row r="121" spans="1:29">
      <c r="A121" s="1142" t="s">
        <v>702</v>
      </c>
      <c r="B121" s="941" t="str">
        <f>H6</f>
        <v>Brandon Ulmer</v>
      </c>
      <c r="F121" s="2"/>
      <c r="G121" s="2"/>
      <c r="H121" s="2"/>
      <c r="I121" s="2"/>
      <c r="J121" s="2"/>
      <c r="K121" s="2"/>
      <c r="L121" s="2"/>
      <c r="M121" s="2"/>
      <c r="N121" s="2"/>
      <c r="O121" s="2"/>
      <c r="P121" s="2"/>
      <c r="Q121" s="2"/>
      <c r="R121" s="2"/>
      <c r="S121" s="2"/>
      <c r="T121" s="2"/>
      <c r="U121" s="2"/>
      <c r="V121" s="2"/>
      <c r="W121" s="2"/>
      <c r="X121" s="2"/>
      <c r="Y121" s="2"/>
      <c r="Z121" s="2"/>
      <c r="AA121" s="2"/>
    </row>
    <row r="122" spans="1:29">
      <c r="A122" s="942" t="s">
        <v>708</v>
      </c>
      <c r="B122" s="1143" t="str">
        <f>H7</f>
        <v>407-781-1779</v>
      </c>
      <c r="F122" s="2"/>
      <c r="G122" s="2"/>
      <c r="H122" s="2"/>
      <c r="I122" s="2"/>
      <c r="J122" s="2"/>
      <c r="K122" s="2"/>
      <c r="L122" s="2"/>
      <c r="M122" s="2"/>
      <c r="N122" s="2"/>
      <c r="O122" s="2"/>
      <c r="P122" s="2"/>
      <c r="Q122" s="2"/>
      <c r="R122" s="2"/>
      <c r="S122" s="2"/>
      <c r="T122" s="2"/>
      <c r="U122" s="2"/>
      <c r="V122" s="2"/>
      <c r="W122" s="2"/>
      <c r="X122" s="2"/>
      <c r="Y122" s="2"/>
      <c r="Z122" s="2"/>
      <c r="AA122" s="2"/>
    </row>
    <row r="123" spans="1:29">
      <c r="A123" s="942" t="s">
        <v>713</v>
      </c>
      <c r="B123" s="1144" t="str">
        <f>H8</f>
        <v>bulmer@energyair.com</v>
      </c>
      <c r="F123" s="2"/>
      <c r="G123" s="2"/>
      <c r="H123" s="2"/>
      <c r="I123" s="2"/>
      <c r="J123" s="2"/>
      <c r="K123" s="2"/>
      <c r="L123" s="2"/>
      <c r="M123" s="2"/>
      <c r="N123" s="2"/>
      <c r="O123" s="2"/>
      <c r="P123" s="2"/>
      <c r="Q123" s="2"/>
      <c r="R123" s="2"/>
      <c r="S123" s="2"/>
      <c r="T123" s="2"/>
      <c r="U123" s="2"/>
      <c r="V123" s="2"/>
      <c r="W123" s="2"/>
      <c r="X123" s="2"/>
      <c r="Y123" s="2"/>
      <c r="Z123" s="2"/>
      <c r="AA123" s="2"/>
    </row>
    <row r="124" spans="1:29" ht="15.75" thickBot="1">
      <c r="A124" s="1145" t="s">
        <v>69</v>
      </c>
      <c r="B124" s="1146">
        <f>H9</f>
        <v>10305235</v>
      </c>
      <c r="F124" s="2"/>
      <c r="G124" s="2"/>
      <c r="H124" s="2"/>
      <c r="I124" s="2"/>
      <c r="J124" s="2"/>
      <c r="K124" s="2"/>
      <c r="L124" s="2"/>
      <c r="M124" s="2"/>
      <c r="N124" s="2"/>
      <c r="O124" s="2"/>
      <c r="P124" s="2"/>
      <c r="Q124" s="2"/>
      <c r="R124" s="2"/>
      <c r="S124" s="2"/>
      <c r="T124" s="2"/>
      <c r="U124" s="2"/>
      <c r="V124" s="2"/>
      <c r="W124" s="2"/>
      <c r="X124" s="2"/>
      <c r="Y124" s="2"/>
      <c r="Z124" s="2"/>
      <c r="AA124" s="2"/>
    </row>
    <row r="125" spans="1:29" ht="15.75" thickTop="1">
      <c r="Z125" s="270"/>
      <c r="AA125" s="270"/>
    </row>
  </sheetData>
  <mergeCells count="74">
    <mergeCell ref="AB9:AC9"/>
    <mergeCell ref="H3:I3"/>
    <mergeCell ref="AB5:AC5"/>
    <mergeCell ref="AB8:AC8"/>
    <mergeCell ref="AB4:AC4"/>
    <mergeCell ref="AB6:AC6"/>
    <mergeCell ref="AB7:AC7"/>
    <mergeCell ref="Z9:AA9"/>
    <mergeCell ref="Z4:AA4"/>
    <mergeCell ref="Z5:AA5"/>
    <mergeCell ref="Z6:AA6"/>
    <mergeCell ref="Z7:AA7"/>
    <mergeCell ref="Z8:AA8"/>
    <mergeCell ref="V9:W9"/>
    <mergeCell ref="X4:Y4"/>
    <mergeCell ref="X5:Y5"/>
    <mergeCell ref="X6:Y6"/>
    <mergeCell ref="X7:Y7"/>
    <mergeCell ref="X8:Y8"/>
    <mergeCell ref="X9:Y9"/>
    <mergeCell ref="V4:W4"/>
    <mergeCell ref="V5:W5"/>
    <mergeCell ref="V6:W6"/>
    <mergeCell ref="V7:W7"/>
    <mergeCell ref="V8:W8"/>
    <mergeCell ref="T9:U9"/>
    <mergeCell ref="R4:S4"/>
    <mergeCell ref="R5:S5"/>
    <mergeCell ref="R6:S6"/>
    <mergeCell ref="R7:S7"/>
    <mergeCell ref="R8:S8"/>
    <mergeCell ref="T4:U4"/>
    <mergeCell ref="T5:U5"/>
    <mergeCell ref="T6:U6"/>
    <mergeCell ref="T7:U7"/>
    <mergeCell ref="T8:U8"/>
    <mergeCell ref="A96:B96"/>
    <mergeCell ref="A100:B100"/>
    <mergeCell ref="A104:B104"/>
    <mergeCell ref="A108:B108"/>
    <mergeCell ref="R9:S9"/>
    <mergeCell ref="P9:Q9"/>
    <mergeCell ref="L4:M4"/>
    <mergeCell ref="P4:Q4"/>
    <mergeCell ref="H4:I4"/>
    <mergeCell ref="N4:O4"/>
    <mergeCell ref="A92:B92"/>
    <mergeCell ref="L8:M8"/>
    <mergeCell ref="L9:M9"/>
    <mergeCell ref="H9:I9"/>
    <mergeCell ref="H5:I5"/>
    <mergeCell ref="H6:I6"/>
    <mergeCell ref="H7:I7"/>
    <mergeCell ref="H8:I8"/>
    <mergeCell ref="P5:Q5"/>
    <mergeCell ref="P6:Q6"/>
    <mergeCell ref="P7:Q7"/>
    <mergeCell ref="P8:Q8"/>
    <mergeCell ref="J3:K3"/>
    <mergeCell ref="N3:O3"/>
    <mergeCell ref="J8:K8"/>
    <mergeCell ref="J9:K9"/>
    <mergeCell ref="J4:K4"/>
    <mergeCell ref="J5:K5"/>
    <mergeCell ref="J6:K6"/>
    <mergeCell ref="J7:K7"/>
    <mergeCell ref="N5:O5"/>
    <mergeCell ref="N6:O6"/>
    <mergeCell ref="N7:O7"/>
    <mergeCell ref="N8:O8"/>
    <mergeCell ref="N9:O9"/>
    <mergeCell ref="L5:M5"/>
    <mergeCell ref="L6:M6"/>
    <mergeCell ref="L7:M7"/>
  </mergeCells>
  <conditionalFormatting sqref="H11:H19 J11:J19 L11:L19 N11:N19 P11:P19 H21:H83 J21:J83 L21:L83 N21:N83 P21:P83 R21:R83 T21:T83 V21:V83 X21:X83 Z21:Z83 AB21:AB83">
    <cfRule type="cellIs" dxfId="167" priority="29" operator="equal">
      <formula>"X"</formula>
    </cfRule>
    <cfRule type="cellIs" dxfId="166" priority="30" operator="equal">
      <formula>"I"</formula>
    </cfRule>
  </conditionalFormatting>
  <conditionalFormatting sqref="J101:J102">
    <cfRule type="cellIs" dxfId="165" priority="3" operator="equal">
      <formula>"X"</formula>
    </cfRule>
    <cfRule type="cellIs" dxfId="164" priority="4" operator="equal">
      <formula>"I"</formula>
    </cfRule>
  </conditionalFormatting>
  <conditionalFormatting sqref="L101:L102">
    <cfRule type="cellIs" dxfId="163" priority="1" operator="equal">
      <formula>"X"</formula>
    </cfRule>
    <cfRule type="cellIs" dxfId="162" priority="2" operator="equal">
      <formula>"I"</formula>
    </cfRule>
  </conditionalFormatting>
  <conditionalFormatting sqref="R11:R19">
    <cfRule type="cellIs" dxfId="161" priority="15" operator="equal">
      <formula>"X"</formula>
    </cfRule>
    <cfRule type="cellIs" dxfId="160" priority="16" operator="equal">
      <formula>"I"</formula>
    </cfRule>
  </conditionalFormatting>
  <conditionalFormatting sqref="T11:T19">
    <cfRule type="cellIs" dxfId="159" priority="13" operator="equal">
      <formula>"X"</formula>
    </cfRule>
    <cfRule type="cellIs" dxfId="158" priority="14" operator="equal">
      <formula>"I"</formula>
    </cfRule>
  </conditionalFormatting>
  <conditionalFormatting sqref="V11:V19">
    <cfRule type="cellIs" dxfId="157" priority="11" operator="equal">
      <formula>"X"</formula>
    </cfRule>
    <cfRule type="cellIs" dxfId="156" priority="12" operator="equal">
      <formula>"I"</formula>
    </cfRule>
  </conditionalFormatting>
  <conditionalFormatting sqref="X11:X19">
    <cfRule type="cellIs" dxfId="155" priority="9" operator="equal">
      <formula>"X"</formula>
    </cfRule>
    <cfRule type="cellIs" dxfId="154" priority="10" operator="equal">
      <formula>"I"</formula>
    </cfRule>
  </conditionalFormatting>
  <conditionalFormatting sqref="Z11:Z19">
    <cfRule type="cellIs" dxfId="153" priority="7" operator="equal">
      <formula>"X"</formula>
    </cfRule>
    <cfRule type="cellIs" dxfId="152" priority="8" operator="equal">
      <formula>"I"</formula>
    </cfRule>
  </conditionalFormatting>
  <conditionalFormatting sqref="AB11:AB19">
    <cfRule type="cellIs" dxfId="151" priority="5" operator="equal">
      <formula>"X"</formula>
    </cfRule>
    <cfRule type="cellIs" dxfId="150" priority="6" operator="equal">
      <formula>"I"</formula>
    </cfRule>
  </conditionalFormatting>
  <hyperlinks>
    <hyperlink ref="B4" location="'Cost Summary'!A1" display="BACK TO SUMMARY SHEET" xr:uid="{E4DB86A9-F814-42BE-B9C7-10010718EB0B}"/>
    <hyperlink ref="H8:I8" r:id="rId1" display="bulmer@energyair.com" xr:uid="{6624C34D-2FE7-414E-8A9B-A8586A1FC314}"/>
    <hyperlink ref="N8:O8" r:id="rId2" display="bdavis@hillyork.com" xr:uid="{BB31EB62-4D0A-46DD-8810-7989EB1A65B9}"/>
    <hyperlink ref="P8:Q8" r:id="rId3" display="mgomez@jrhobbs.com" xr:uid="{0A3D4A53-333C-4036-97B8-B1238614CA62}"/>
    <hyperlink ref="R8:S8" r:id="rId4" display="dcbids@mccloskeymechanical.com" xr:uid="{52BDD0D2-3186-4D2F-AF7A-4F6942FB1FCF}"/>
    <hyperlink ref="T8:U8" r:id="rId5" display="shadrek@mcdonaldair.com" xr:uid="{CCEF7E33-F318-4B00-887E-401F5511C1D1}"/>
    <hyperlink ref="X8:Y8" r:id="rId6" display="cjanssen@medicairsystems.com" xr:uid="{9CBC3082-EE43-4A7C-BC64-5D87045BEACD}"/>
    <hyperlink ref="V8:W8" r:id="rId7" display="swallick@meridianmechanical.com" xr:uid="{F40202C1-628B-4A16-B090-B6D52507FB24}"/>
    <hyperlink ref="Z8:AA8" r:id="rId8" display="baung@wrightbrotherscs.com" xr:uid="{8D204ABC-8C3D-4CC0-A0D6-1A1E5D2486D5}"/>
    <hyperlink ref="AB8:AC8" r:id="rId9" display="andersonvergara@triadmechanical.com" xr:uid="{472ED207-7F46-4FE4-A210-B5C9CB6430CF}"/>
    <hyperlink ref="J8:K8" r:id="rId10" display="pparker@ferran-services.com" xr:uid="{43BEB82E-6A38-4630-A560-7380C92C3FD2}"/>
    <hyperlink ref="L8:M8" r:id="rId11" display="cjanssen@medicairsystems.com" xr:uid="{C9585F70-096A-4B17-8F61-F1E21EA3A9BC}"/>
  </hyperlinks>
  <pageMargins left="0.7" right="0.7" top="0.75" bottom="0.75" header="0.3" footer="0.3"/>
  <pageSetup paperSize="3" scale="52" orientation="portrait" horizontalDpi="1200" verticalDpi="1200" r:id="rId12"/>
  <legacyDrawing r:id="rId1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1817-CF9C-4828-ABD2-1020E0A36F75}">
  <sheetPr>
    <tabColor theme="5" tint="0.39997558519241921"/>
    <pageSetUpPr fitToPage="1"/>
  </sheetPr>
  <dimension ref="A1:AQ148"/>
  <sheetViews>
    <sheetView zoomScaleNormal="100" workbookViewId="0">
      <pane xSplit="2" ySplit="10" topLeftCell="G69" activePane="bottomRight" state="frozen"/>
      <selection pane="topRight" activeCell="C1" sqref="C1"/>
      <selection pane="bottomLeft" activeCell="A10" sqref="A10"/>
      <selection pane="bottomRight" activeCell="H5" sqref="H5:I9"/>
    </sheetView>
  </sheetViews>
  <sheetFormatPr defaultRowHeight="15"/>
  <cols>
    <col min="1" max="1" width="11" customWidth="1"/>
    <col min="2" max="2" width="78"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 min="20" max="20" width="7.7109375" style="270" customWidth="1"/>
    <col min="21" max="21" width="15.7109375" style="270" customWidth="1"/>
  </cols>
  <sheetData>
    <row r="1" spans="1:26">
      <c r="A1" t="s">
        <v>2420</v>
      </c>
      <c r="D1" s="260"/>
      <c r="E1" s="68"/>
      <c r="F1" s="275"/>
      <c r="G1" s="269" t="s">
        <v>679</v>
      </c>
      <c r="Z1" s="261"/>
    </row>
    <row r="2" spans="1:26">
      <c r="D2" s="260"/>
      <c r="E2" s="68"/>
      <c r="F2" s="276" t="s">
        <v>680</v>
      </c>
      <c r="G2" s="269" t="s">
        <v>681</v>
      </c>
      <c r="Z2" s="261"/>
    </row>
    <row r="3" spans="1:26" ht="15.75" thickBot="1">
      <c r="D3" s="260"/>
      <c r="E3" s="68"/>
      <c r="F3" s="277" t="s">
        <v>682</v>
      </c>
      <c r="G3" s="269" t="s">
        <v>683</v>
      </c>
      <c r="S3" s="270">
        <f>R9-J9</f>
        <v>-1643729</v>
      </c>
      <c r="Z3" s="261"/>
    </row>
    <row r="4" spans="1:26" ht="15.75" thickBot="1">
      <c r="B4" s="262" t="s">
        <v>684</v>
      </c>
      <c r="D4" s="260"/>
      <c r="E4" s="68"/>
      <c r="F4" s="278"/>
      <c r="G4" s="270" t="s">
        <v>685</v>
      </c>
      <c r="H4" s="2410" t="s">
        <v>912</v>
      </c>
      <c r="I4" s="2411"/>
      <c r="J4" s="2323" t="s">
        <v>807</v>
      </c>
      <c r="K4" s="2324"/>
      <c r="L4" s="2319" t="s">
        <v>687</v>
      </c>
      <c r="M4" s="2320"/>
      <c r="N4" s="2319" t="s">
        <v>688</v>
      </c>
      <c r="O4" s="2320"/>
      <c r="P4" s="2319" t="s">
        <v>690</v>
      </c>
      <c r="Q4" s="2320"/>
      <c r="R4" s="2319" t="s">
        <v>691</v>
      </c>
      <c r="S4" s="2320"/>
      <c r="T4" s="2319"/>
      <c r="U4" s="2320"/>
      <c r="Z4" s="261"/>
    </row>
    <row r="5" spans="1:26" ht="15.75" thickTop="1">
      <c r="A5" s="292" t="s">
        <v>692</v>
      </c>
      <c r="B5" s="299" t="str">
        <f>'Area Calculations'!B4</f>
        <v>ERAU Residential Hall &amp; Garage Building</v>
      </c>
      <c r="C5" s="294"/>
      <c r="D5" s="263"/>
      <c r="E5" s="264"/>
      <c r="F5" s="279"/>
      <c r="G5" s="271" t="s">
        <v>693</v>
      </c>
      <c r="H5" s="2400" t="s">
        <v>2421</v>
      </c>
      <c r="I5" s="2401"/>
      <c r="J5" s="2400" t="s">
        <v>2422</v>
      </c>
      <c r="K5" s="2401"/>
      <c r="L5" s="2333" t="s">
        <v>2423</v>
      </c>
      <c r="M5" s="2334"/>
      <c r="N5" s="2333" t="s">
        <v>2424</v>
      </c>
      <c r="O5" s="2334"/>
      <c r="P5" s="2333" t="s">
        <v>2425</v>
      </c>
      <c r="Q5" s="2334"/>
      <c r="R5" s="2333" t="s">
        <v>251</v>
      </c>
      <c r="S5" s="2334"/>
      <c r="T5" s="2333" t="s">
        <v>2426</v>
      </c>
      <c r="U5" s="2334"/>
      <c r="Z5" s="261"/>
    </row>
    <row r="6" spans="1:26">
      <c r="A6" s="1082" t="s">
        <v>700</v>
      </c>
      <c r="B6" s="1083" t="s">
        <v>140</v>
      </c>
      <c r="C6" s="415"/>
      <c r="D6" s="416"/>
      <c r="E6" s="417"/>
      <c r="F6" s="418"/>
      <c r="G6" s="419" t="s">
        <v>702</v>
      </c>
      <c r="H6" s="2313" t="s">
        <v>2427</v>
      </c>
      <c r="I6" s="2314"/>
      <c r="J6" s="2313" t="s">
        <v>2428</v>
      </c>
      <c r="K6" s="2314"/>
      <c r="L6" s="2313" t="s">
        <v>2429</v>
      </c>
      <c r="M6" s="2314"/>
      <c r="N6" s="2313" t="s">
        <v>2430</v>
      </c>
      <c r="O6" s="2314"/>
      <c r="P6" s="2313" t="s">
        <v>2431</v>
      </c>
      <c r="Q6" s="2314"/>
      <c r="R6" s="2313" t="s">
        <v>2432</v>
      </c>
      <c r="S6" s="2314"/>
      <c r="T6" s="2313"/>
      <c r="U6" s="2314"/>
      <c r="Z6" s="261"/>
    </row>
    <row r="7" spans="1:26">
      <c r="A7" s="1082" t="s">
        <v>706</v>
      </c>
      <c r="B7" s="1084" t="s">
        <v>360</v>
      </c>
      <c r="C7" s="415"/>
      <c r="D7" s="416"/>
      <c r="E7" s="417"/>
      <c r="F7" s="418"/>
      <c r="G7" s="829" t="s">
        <v>708</v>
      </c>
      <c r="H7" s="2398">
        <v>4072729146</v>
      </c>
      <c r="I7" s="2399"/>
      <c r="J7" s="2398">
        <v>3217273887</v>
      </c>
      <c r="K7" s="2399"/>
      <c r="L7" s="2398"/>
      <c r="M7" s="2399"/>
      <c r="N7" s="2398">
        <v>3212691124</v>
      </c>
      <c r="O7" s="2399"/>
      <c r="P7" s="2398">
        <v>3865660829</v>
      </c>
      <c r="Q7" s="2399"/>
      <c r="R7" s="2398"/>
      <c r="S7" s="2399"/>
      <c r="T7" s="2313"/>
      <c r="U7" s="2314"/>
      <c r="Z7" s="261"/>
    </row>
    <row r="8" spans="1:26">
      <c r="A8" s="1082" t="s">
        <v>712</v>
      </c>
      <c r="B8" s="1085"/>
      <c r="C8" s="415"/>
      <c r="D8" s="416"/>
      <c r="E8" s="417"/>
      <c r="F8" s="418"/>
      <c r="G8" s="829" t="s">
        <v>713</v>
      </c>
      <c r="H8" s="2407" t="s">
        <v>2433</v>
      </c>
      <c r="I8" s="2408"/>
      <c r="J8" s="2409" t="s">
        <v>2434</v>
      </c>
      <c r="K8" s="2408"/>
      <c r="L8" s="2409" t="s">
        <v>2435</v>
      </c>
      <c r="M8" s="2412"/>
      <c r="N8" s="2409" t="s">
        <v>2436</v>
      </c>
      <c r="O8" s="2408"/>
      <c r="P8" s="2409" t="s">
        <v>2437</v>
      </c>
      <c r="Q8" s="2408"/>
      <c r="R8" s="2407"/>
      <c r="S8" s="2408"/>
      <c r="T8" s="2315"/>
      <c r="U8" s="2316"/>
      <c r="Z8" s="261"/>
    </row>
    <row r="9" spans="1:26" ht="15.75" thickBot="1">
      <c r="A9" s="420"/>
      <c r="B9" s="421"/>
      <c r="C9" s="23"/>
      <c r="D9" s="265"/>
      <c r="E9" s="266"/>
      <c r="F9" s="283"/>
      <c r="G9" s="284" t="s">
        <v>717</v>
      </c>
      <c r="H9" s="2405">
        <f>I111</f>
        <v>9877140</v>
      </c>
      <c r="I9" s="2406"/>
      <c r="J9" s="2405">
        <f>K111</f>
        <v>13790000</v>
      </c>
      <c r="K9" s="2406"/>
      <c r="L9" s="2405">
        <f>M111</f>
        <v>14771471</v>
      </c>
      <c r="M9" s="2406"/>
      <c r="N9" s="2405">
        <f>O111</f>
        <v>15357917</v>
      </c>
      <c r="O9" s="2406"/>
      <c r="P9" s="2405">
        <f>Q111</f>
        <v>18180000</v>
      </c>
      <c r="Q9" s="2406"/>
      <c r="R9" s="2317">
        <f>S111</f>
        <v>12146271</v>
      </c>
      <c r="S9" s="2318"/>
      <c r="T9" s="2317">
        <f>U111</f>
        <v>8896563.4199999999</v>
      </c>
      <c r="U9" s="2318"/>
      <c r="Z9" s="261"/>
    </row>
    <row r="10" spans="1:26"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0" t="s">
        <v>724</v>
      </c>
      <c r="T10" s="290"/>
      <c r="U10" s="291"/>
      <c r="Z10" s="268"/>
    </row>
    <row r="11" spans="1:26" ht="15.75">
      <c r="A11" s="1589"/>
      <c r="B11" s="1921" t="s">
        <v>725</v>
      </c>
      <c r="C11" s="928"/>
      <c r="D11" s="1740"/>
      <c r="E11" s="1740"/>
      <c r="F11" s="1744"/>
      <c r="G11" s="1781"/>
      <c r="H11" s="1922"/>
      <c r="I11" s="1782"/>
      <c r="J11" s="1922"/>
      <c r="K11" s="1782"/>
      <c r="L11" s="1922"/>
      <c r="M11" s="285"/>
      <c r="N11" s="1922"/>
      <c r="O11" s="1783"/>
      <c r="P11" s="1922"/>
      <c r="Q11" s="1783"/>
      <c r="R11" s="1922"/>
      <c r="S11" s="1783"/>
      <c r="T11" s="1922"/>
      <c r="U11" s="1783"/>
    </row>
    <row r="12" spans="1:26">
      <c r="A12" s="1589"/>
      <c r="B12" s="1151" t="s">
        <v>726</v>
      </c>
      <c r="C12" s="446"/>
      <c r="D12" s="422"/>
      <c r="E12" s="422"/>
      <c r="F12" s="418"/>
      <c r="G12" s="423"/>
      <c r="H12" s="1152" t="s">
        <v>727</v>
      </c>
      <c r="I12" s="1782"/>
      <c r="J12" s="1152" t="s">
        <v>727</v>
      </c>
      <c r="K12" s="1782"/>
      <c r="L12" s="1152"/>
      <c r="M12" s="1783"/>
      <c r="N12" s="1152"/>
      <c r="O12" s="1783"/>
      <c r="P12" s="1152"/>
      <c r="Q12" s="1783"/>
      <c r="R12" s="1152"/>
      <c r="S12" s="1783"/>
      <c r="T12" s="1152"/>
      <c r="U12" s="1783"/>
    </row>
    <row r="13" spans="1:26">
      <c r="A13" s="1097"/>
      <c r="B13" s="1151" t="s">
        <v>728</v>
      </c>
      <c r="C13" s="446"/>
      <c r="D13" s="422"/>
      <c r="E13" s="422"/>
      <c r="F13" s="418"/>
      <c r="G13" s="423"/>
      <c r="H13" s="1152" t="s">
        <v>727</v>
      </c>
      <c r="I13" s="1782"/>
      <c r="J13" s="1152" t="s">
        <v>727</v>
      </c>
      <c r="K13" s="1782"/>
      <c r="L13" s="1152"/>
      <c r="M13" s="1783"/>
      <c r="N13" s="1152"/>
      <c r="O13" s="1783"/>
      <c r="P13" s="1152"/>
      <c r="Q13" s="1783"/>
      <c r="R13" s="1152"/>
      <c r="S13" s="1783"/>
      <c r="T13" s="1152"/>
      <c r="U13" s="1783"/>
    </row>
    <row r="14" spans="1:26">
      <c r="A14" s="1589"/>
      <c r="B14" s="1153" t="s">
        <v>729</v>
      </c>
      <c r="C14" s="446"/>
      <c r="D14" s="422"/>
      <c r="E14" s="422"/>
      <c r="F14" s="418"/>
      <c r="G14" s="423"/>
      <c r="H14" s="1152" t="s">
        <v>730</v>
      </c>
      <c r="I14" s="1784" t="s">
        <v>837</v>
      </c>
      <c r="J14" s="1152" t="s">
        <v>730</v>
      </c>
      <c r="K14" s="1782"/>
      <c r="L14" s="1152"/>
      <c r="M14" s="1783"/>
      <c r="N14" s="1152"/>
      <c r="O14" s="1783"/>
      <c r="P14" s="1152"/>
      <c r="Q14" s="1783"/>
      <c r="R14" s="1152"/>
      <c r="S14" s="1783"/>
      <c r="T14" s="1152"/>
      <c r="U14" s="1783"/>
    </row>
    <row r="15" spans="1:26">
      <c r="A15" s="1097"/>
      <c r="B15" s="1153" t="s">
        <v>731</v>
      </c>
      <c r="C15" s="446"/>
      <c r="D15" s="422"/>
      <c r="E15" s="422"/>
      <c r="F15" s="418"/>
      <c r="G15" s="423"/>
      <c r="H15" s="1152" t="s">
        <v>727</v>
      </c>
      <c r="I15" s="1782"/>
      <c r="J15" s="1152" t="s">
        <v>727</v>
      </c>
      <c r="K15" s="1782"/>
      <c r="L15" s="1152"/>
      <c r="M15" s="1782"/>
      <c r="N15" s="1152"/>
      <c r="O15" s="1782"/>
      <c r="P15" s="1152"/>
      <c r="Q15" s="1782"/>
      <c r="R15" s="1152"/>
      <c r="S15" s="1782"/>
      <c r="T15" s="1152"/>
      <c r="U15" s="1782"/>
    </row>
    <row r="16" spans="1:26">
      <c r="A16" s="1589"/>
      <c r="B16" s="1153" t="s">
        <v>732</v>
      </c>
      <c r="C16" s="446"/>
      <c r="D16" s="422"/>
      <c r="E16" s="422"/>
      <c r="F16" s="418"/>
      <c r="G16" s="423"/>
      <c r="H16" s="1152" t="s">
        <v>727</v>
      </c>
      <c r="I16" s="1782"/>
      <c r="J16" s="1152" t="s">
        <v>727</v>
      </c>
      <c r="K16" s="1782"/>
      <c r="L16" s="1152"/>
      <c r="M16" s="1783"/>
      <c r="N16" s="1152"/>
      <c r="O16" s="1783"/>
      <c r="P16" s="1152"/>
      <c r="Q16" s="1783"/>
      <c r="R16" s="1152"/>
      <c r="S16" s="1783">
        <v>46000</v>
      </c>
      <c r="T16" s="1152"/>
      <c r="U16" s="1783"/>
    </row>
    <row r="17" spans="1:43">
      <c r="A17" s="1097"/>
      <c r="B17" s="1153" t="s">
        <v>733</v>
      </c>
      <c r="C17" s="446"/>
      <c r="D17" s="422"/>
      <c r="E17" s="422"/>
      <c r="F17" s="418"/>
      <c r="G17" s="423"/>
      <c r="H17" s="1152" t="s">
        <v>727</v>
      </c>
      <c r="I17" s="1782"/>
      <c r="J17" s="1152" t="s">
        <v>727</v>
      </c>
      <c r="K17" s="1782"/>
      <c r="L17" s="1152"/>
      <c r="M17" s="1783"/>
      <c r="N17" s="1152"/>
      <c r="O17" s="1783"/>
      <c r="P17" s="1152"/>
      <c r="Q17" s="1783"/>
      <c r="R17" s="1152"/>
      <c r="S17" s="1783"/>
      <c r="T17" s="1152"/>
      <c r="U17" s="1783"/>
    </row>
    <row r="18" spans="1:43">
      <c r="A18" s="1589"/>
      <c r="B18" s="534" t="s">
        <v>734</v>
      </c>
      <c r="C18" s="446"/>
      <c r="D18" s="422"/>
      <c r="E18" s="422"/>
      <c r="F18" s="418"/>
      <c r="G18" s="423"/>
      <c r="H18" s="1152" t="s">
        <v>730</v>
      </c>
      <c r="I18" s="1782"/>
      <c r="J18" s="1152" t="s">
        <v>727</v>
      </c>
      <c r="K18" s="1782" t="s">
        <v>2438</v>
      </c>
      <c r="L18" s="1152"/>
      <c r="M18" s="1783"/>
      <c r="N18" s="1152"/>
      <c r="O18" s="1783"/>
      <c r="P18" s="1152"/>
      <c r="Q18" s="1783"/>
      <c r="R18" s="1152"/>
      <c r="S18" s="1783"/>
      <c r="T18" s="1152"/>
      <c r="U18" s="1783"/>
    </row>
    <row r="19" spans="1:43">
      <c r="A19" s="1589"/>
      <c r="B19" s="1154" t="s">
        <v>736</v>
      </c>
      <c r="C19" s="446"/>
      <c r="D19" s="422"/>
      <c r="E19" s="422"/>
      <c r="F19" s="418"/>
      <c r="G19" s="423"/>
      <c r="H19" s="1152"/>
      <c r="I19" s="1782"/>
      <c r="J19" s="1152"/>
      <c r="K19" s="1782"/>
      <c r="L19" s="1152"/>
      <c r="M19" s="1783"/>
      <c r="N19" s="1152"/>
      <c r="O19" s="1783"/>
      <c r="P19" s="1152"/>
      <c r="Q19" s="1783"/>
      <c r="R19" s="1152"/>
      <c r="S19" s="1783"/>
      <c r="T19" s="1152"/>
      <c r="U19" s="1783"/>
    </row>
    <row r="20" spans="1:43">
      <c r="A20" s="1097"/>
      <c r="B20" s="1853" t="s">
        <v>737</v>
      </c>
      <c r="C20" s="447"/>
      <c r="D20" s="425"/>
      <c r="E20" s="425"/>
      <c r="F20" s="426"/>
      <c r="G20" s="427"/>
      <c r="H20" s="1156"/>
      <c r="I20" s="1786">
        <v>9498000</v>
      </c>
      <c r="J20" s="1156"/>
      <c r="K20" s="1786">
        <v>13510000</v>
      </c>
      <c r="L20" s="1156"/>
      <c r="M20" s="1787">
        <f>9550000+1200000</f>
        <v>10750000</v>
      </c>
      <c r="N20" s="1156"/>
      <c r="O20" s="1787">
        <v>10474293</v>
      </c>
      <c r="P20" s="1156"/>
      <c r="Q20" s="1787">
        <v>17650000</v>
      </c>
      <c r="R20" s="1156"/>
      <c r="S20" s="1787">
        <v>8145800</v>
      </c>
      <c r="T20" s="1156"/>
      <c r="U20" s="1787">
        <v>8442121</v>
      </c>
    </row>
    <row r="21" spans="1:43">
      <c r="A21" s="1589"/>
      <c r="B21" s="1104"/>
      <c r="C21" s="70"/>
      <c r="D21" s="86"/>
      <c r="E21" s="86"/>
      <c r="F21" s="280"/>
      <c r="G21" s="274"/>
      <c r="H21" s="1152"/>
      <c r="I21" s="428"/>
      <c r="J21" s="1152"/>
      <c r="K21" s="428"/>
      <c r="L21" s="1152"/>
      <c r="M21" s="428"/>
      <c r="N21" s="1152"/>
      <c r="O21" s="428"/>
      <c r="P21" s="1152"/>
      <c r="Q21" s="428"/>
      <c r="R21" s="1152"/>
      <c r="S21" s="428"/>
      <c r="T21" s="1152"/>
      <c r="U21" s="428"/>
    </row>
    <row r="22" spans="1:43">
      <c r="A22" s="1589"/>
      <c r="B22" s="342" t="s">
        <v>2439</v>
      </c>
      <c r="C22" s="70"/>
      <c r="D22" s="86"/>
      <c r="E22" s="86"/>
      <c r="F22" s="280"/>
      <c r="G22" s="274"/>
      <c r="H22" s="1152"/>
      <c r="I22" s="461"/>
      <c r="J22" s="1152"/>
      <c r="K22" s="461"/>
      <c r="L22" s="1152"/>
      <c r="N22" s="1152"/>
      <c r="O22" s="428">
        <v>2786471</v>
      </c>
      <c r="P22" s="1152"/>
      <c r="Q22" s="461"/>
      <c r="R22" s="1152" t="s">
        <v>727</v>
      </c>
      <c r="S22" s="461"/>
      <c r="T22" s="1152"/>
      <c r="U22" s="428"/>
    </row>
    <row r="23" spans="1:43" ht="25.5">
      <c r="A23" s="1589"/>
      <c r="B23" s="341" t="s">
        <v>2440</v>
      </c>
      <c r="C23" s="671" t="s">
        <v>2441</v>
      </c>
      <c r="D23" s="86"/>
      <c r="E23" s="86"/>
      <c r="F23" s="280"/>
      <c r="G23" s="274"/>
      <c r="H23" s="1301" t="s">
        <v>727</v>
      </c>
      <c r="I23" s="461"/>
      <c r="J23" s="1301" t="s">
        <v>727</v>
      </c>
      <c r="K23" s="461"/>
      <c r="L23" s="1301" t="s">
        <v>1035</v>
      </c>
      <c r="M23" s="428"/>
      <c r="N23" s="1301" t="s">
        <v>727</v>
      </c>
      <c r="O23" s="428"/>
      <c r="P23" s="1301" t="s">
        <v>727</v>
      </c>
      <c r="Q23" s="461">
        <v>250000</v>
      </c>
      <c r="R23" s="1301" t="s">
        <v>727</v>
      </c>
      <c r="S23" s="461"/>
      <c r="T23" s="1152"/>
      <c r="U23" s="428"/>
    </row>
    <row r="24" spans="1:43">
      <c r="A24" s="1589"/>
      <c r="B24" s="1924" t="s">
        <v>2442</v>
      </c>
      <c r="C24" s="671"/>
      <c r="D24" s="86"/>
      <c r="E24" s="86"/>
      <c r="F24" s="280"/>
      <c r="G24" s="274"/>
      <c r="H24" s="1152" t="s">
        <v>727</v>
      </c>
      <c r="I24" s="461"/>
      <c r="J24" s="1152" t="s">
        <v>727</v>
      </c>
      <c r="K24" s="461"/>
      <c r="L24" s="1301" t="s">
        <v>1035</v>
      </c>
      <c r="M24" s="689">
        <f>S24</f>
        <v>2786471</v>
      </c>
      <c r="N24" s="1152" t="s">
        <v>727</v>
      </c>
      <c r="O24" s="428"/>
      <c r="P24" s="1152" t="s">
        <v>727</v>
      </c>
      <c r="Q24" s="461"/>
      <c r="R24" s="1152" t="s">
        <v>727</v>
      </c>
      <c r="S24" s="461">
        <f>O22</f>
        <v>2786471</v>
      </c>
      <c r="T24" s="1152"/>
      <c r="U24" s="811" t="s">
        <v>2443</v>
      </c>
    </row>
    <row r="25" spans="1:43">
      <c r="A25" s="1589"/>
      <c r="B25" s="1953" t="s">
        <v>2444</v>
      </c>
      <c r="C25" s="671"/>
      <c r="D25" s="86"/>
      <c r="E25" s="86"/>
      <c r="F25" s="280"/>
      <c r="G25" s="274"/>
      <c r="H25" s="1152" t="s">
        <v>727</v>
      </c>
      <c r="I25" s="461"/>
      <c r="J25" s="1152" t="s">
        <v>727</v>
      </c>
      <c r="K25" s="461"/>
      <c r="L25" s="1301" t="s">
        <v>1035</v>
      </c>
      <c r="M25" s="391">
        <v>950000</v>
      </c>
      <c r="N25" s="1152" t="s">
        <v>727</v>
      </c>
      <c r="O25" s="428"/>
      <c r="P25" s="1152" t="s">
        <v>727</v>
      </c>
      <c r="Q25" s="461"/>
      <c r="R25" s="1152" t="s">
        <v>727</v>
      </c>
      <c r="S25" s="1152"/>
      <c r="T25" s="1152"/>
      <c r="U25" s="428"/>
    </row>
    <row r="26" spans="1:43" ht="38.25">
      <c r="A26" s="1589"/>
      <c r="B26" s="1299" t="s">
        <v>2445</v>
      </c>
      <c r="C26" s="23" t="s">
        <v>2446</v>
      </c>
      <c r="D26" s="87"/>
      <c r="E26" s="86"/>
      <c r="F26" s="431"/>
      <c r="G26" s="1751"/>
      <c r="H26" s="1152" t="s">
        <v>727</v>
      </c>
      <c r="I26" s="461"/>
      <c r="J26" s="1152" t="s">
        <v>727</v>
      </c>
      <c r="K26" s="461"/>
      <c r="L26" s="1301" t="s">
        <v>1035</v>
      </c>
      <c r="M26" s="391"/>
      <c r="N26" s="1152" t="s">
        <v>727</v>
      </c>
      <c r="O26" s="428"/>
      <c r="P26" s="1152" t="s">
        <v>727</v>
      </c>
      <c r="Q26" s="461"/>
      <c r="R26" s="1152" t="s">
        <v>727</v>
      </c>
      <c r="S26" s="1152"/>
      <c r="T26" s="1152"/>
      <c r="U26" s="1783"/>
    </row>
    <row r="27" spans="1:43" s="69" customFormat="1">
      <c r="A27" s="1097"/>
      <c r="B27" s="1307" t="s">
        <v>2447</v>
      </c>
      <c r="C27" s="415" t="s">
        <v>2448</v>
      </c>
      <c r="D27" s="422"/>
      <c r="E27" s="422"/>
      <c r="F27" s="429"/>
      <c r="G27" s="423"/>
      <c r="H27" s="1152" t="s">
        <v>727</v>
      </c>
      <c r="I27" s="1107"/>
      <c r="J27" s="1152" t="s">
        <v>727</v>
      </c>
      <c r="K27" s="1107"/>
      <c r="L27" s="1301" t="s">
        <v>1035</v>
      </c>
      <c r="M27" s="1954"/>
      <c r="N27" s="1152" t="s">
        <v>727</v>
      </c>
      <c r="O27" s="1954"/>
      <c r="P27" s="1152" t="s">
        <v>727</v>
      </c>
      <c r="Q27" s="1107"/>
      <c r="R27" s="1152" t="s">
        <v>727</v>
      </c>
      <c r="S27" s="1152"/>
      <c r="T27" s="1152"/>
      <c r="U27" s="1954"/>
      <c r="V27"/>
      <c r="W27"/>
      <c r="X27"/>
      <c r="Y27"/>
      <c r="Z27"/>
      <c r="AA27"/>
      <c r="AB27"/>
      <c r="AC27"/>
      <c r="AD27"/>
      <c r="AE27"/>
      <c r="AF27"/>
      <c r="AG27"/>
      <c r="AH27"/>
      <c r="AI27"/>
      <c r="AJ27"/>
      <c r="AK27"/>
      <c r="AL27"/>
      <c r="AM27"/>
      <c r="AN27"/>
      <c r="AO27"/>
      <c r="AP27"/>
      <c r="AQ27"/>
    </row>
    <row r="28" spans="1:43">
      <c r="A28" s="1589"/>
      <c r="B28" s="1914" t="s">
        <v>2449</v>
      </c>
      <c r="C28" s="415"/>
      <c r="D28" s="1740"/>
      <c r="E28" s="1740"/>
      <c r="F28" s="1955"/>
      <c r="G28" s="1781"/>
      <c r="H28" s="1301" t="s">
        <v>2450</v>
      </c>
      <c r="I28" s="1242">
        <f>10*500</f>
        <v>5000</v>
      </c>
      <c r="J28" s="1301" t="s">
        <v>727</v>
      </c>
      <c r="K28" s="1242"/>
      <c r="L28" s="1301" t="s">
        <v>1035</v>
      </c>
      <c r="M28" s="1242">
        <f>10*500</f>
        <v>5000</v>
      </c>
      <c r="N28" s="1301" t="s">
        <v>2450</v>
      </c>
      <c r="O28" s="1783">
        <v>5000</v>
      </c>
      <c r="P28" s="1301" t="s">
        <v>2450</v>
      </c>
      <c r="Q28" s="1242"/>
      <c r="R28" s="1301" t="s">
        <v>2450</v>
      </c>
      <c r="S28" s="1242">
        <f>O28</f>
        <v>5000</v>
      </c>
      <c r="T28" s="1152"/>
      <c r="U28" s="1783"/>
    </row>
    <row r="29" spans="1:43">
      <c r="A29" s="1589"/>
      <c r="B29" s="1924" t="s">
        <v>2451</v>
      </c>
      <c r="C29" s="415" t="s">
        <v>2452</v>
      </c>
      <c r="D29" s="1854"/>
      <c r="E29" s="1740"/>
      <c r="F29" s="1752"/>
      <c r="G29" s="1751"/>
      <c r="H29" s="1152" t="s">
        <v>727</v>
      </c>
      <c r="I29" s="1783"/>
      <c r="J29" s="1152" t="s">
        <v>727</v>
      </c>
      <c r="K29" s="1783"/>
      <c r="L29" s="1301" t="s">
        <v>1035</v>
      </c>
      <c r="M29" s="1783"/>
      <c r="N29" s="1152" t="s">
        <v>727</v>
      </c>
      <c r="O29" s="1783"/>
      <c r="P29" s="1152" t="s">
        <v>727</v>
      </c>
      <c r="Q29" s="1783"/>
      <c r="R29" s="1152" t="s">
        <v>727</v>
      </c>
      <c r="S29" s="1783"/>
      <c r="T29" s="1152"/>
      <c r="U29" s="1783"/>
    </row>
    <row r="30" spans="1:43" ht="25.5">
      <c r="A30" s="1097"/>
      <c r="B30" s="1924" t="s">
        <v>2453</v>
      </c>
      <c r="C30" s="415" t="s">
        <v>2446</v>
      </c>
      <c r="D30" s="430"/>
      <c r="E30" s="422"/>
      <c r="F30" s="431"/>
      <c r="G30" s="1751"/>
      <c r="H30" s="1152" t="s">
        <v>727</v>
      </c>
      <c r="I30" s="1783"/>
      <c r="J30" s="1152" t="s">
        <v>727</v>
      </c>
      <c r="K30" s="1783"/>
      <c r="L30" s="1301" t="s">
        <v>1035</v>
      </c>
      <c r="M30" s="1783"/>
      <c r="N30" s="1152" t="s">
        <v>727</v>
      </c>
      <c r="O30" s="1783"/>
      <c r="P30" s="1152" t="s">
        <v>727</v>
      </c>
      <c r="Q30" s="1783"/>
      <c r="R30" s="1152" t="s">
        <v>727</v>
      </c>
      <c r="S30" s="1783"/>
      <c r="T30" s="1152"/>
      <c r="U30" s="1783"/>
    </row>
    <row r="31" spans="1:43">
      <c r="A31" s="1589"/>
      <c r="B31" s="1924" t="s">
        <v>2454</v>
      </c>
      <c r="C31" s="415" t="s">
        <v>2455</v>
      </c>
      <c r="D31" s="430"/>
      <c r="E31" s="422"/>
      <c r="F31" s="431"/>
      <c r="G31" s="1751"/>
      <c r="H31" s="1301" t="s">
        <v>727</v>
      </c>
      <c r="I31" s="1783"/>
      <c r="J31" s="1301" t="s">
        <v>727</v>
      </c>
      <c r="K31" s="1783"/>
      <c r="L31" s="1301" t="s">
        <v>1035</v>
      </c>
      <c r="M31" s="1783"/>
      <c r="N31" s="1301" t="s">
        <v>727</v>
      </c>
      <c r="O31" s="1783"/>
      <c r="P31" s="1301" t="s">
        <v>727</v>
      </c>
      <c r="Q31" s="1783"/>
      <c r="R31" s="1301" t="s">
        <v>727</v>
      </c>
      <c r="S31" s="1783"/>
      <c r="T31" s="1152"/>
      <c r="U31" s="1783"/>
    </row>
    <row r="32" spans="1:43" ht="38.25">
      <c r="A32" s="1589"/>
      <c r="B32" s="1924" t="s">
        <v>2456</v>
      </c>
      <c r="C32" s="415" t="s">
        <v>2457</v>
      </c>
      <c r="D32" s="430"/>
      <c r="E32" s="422"/>
      <c r="F32" s="431"/>
      <c r="G32" s="1751"/>
      <c r="H32" s="1301" t="s">
        <v>727</v>
      </c>
      <c r="I32" s="1783"/>
      <c r="J32" s="1301" t="s">
        <v>727</v>
      </c>
      <c r="K32" s="1783"/>
      <c r="L32" s="1301" t="s">
        <v>1035</v>
      </c>
      <c r="M32" s="1783"/>
      <c r="N32" s="1301" t="s">
        <v>727</v>
      </c>
      <c r="O32" s="1783"/>
      <c r="P32" s="1301" t="s">
        <v>727</v>
      </c>
      <c r="Q32" s="1783"/>
      <c r="R32" s="1301" t="s">
        <v>727</v>
      </c>
      <c r="S32" s="1783"/>
      <c r="T32" s="1152"/>
      <c r="U32" s="1783"/>
    </row>
    <row r="33" spans="1:21" ht="63.75">
      <c r="A33" s="1589"/>
      <c r="B33" s="1924" t="s">
        <v>2458</v>
      </c>
      <c r="C33" s="415" t="s">
        <v>2446</v>
      </c>
      <c r="D33" s="430"/>
      <c r="E33" s="422"/>
      <c r="F33" s="431"/>
      <c r="G33" s="1751"/>
      <c r="H33" s="1152" t="s">
        <v>727</v>
      </c>
      <c r="I33" s="1783"/>
      <c r="J33" s="1152" t="s">
        <v>727</v>
      </c>
      <c r="K33" s="1783"/>
      <c r="L33" s="1301" t="s">
        <v>1035</v>
      </c>
      <c r="M33" s="1783"/>
      <c r="N33" s="1152" t="s">
        <v>727</v>
      </c>
      <c r="O33" s="1783"/>
      <c r="P33" s="1152" t="s">
        <v>727</v>
      </c>
      <c r="Q33" s="1783"/>
      <c r="R33" s="1152" t="s">
        <v>727</v>
      </c>
      <c r="S33" s="1783"/>
      <c r="T33" s="1152"/>
      <c r="U33" s="1783"/>
    </row>
    <row r="34" spans="1:21">
      <c r="A34" s="1589"/>
      <c r="B34" s="1924"/>
      <c r="C34" s="415"/>
      <c r="D34" s="430"/>
      <c r="E34" s="422"/>
      <c r="F34" s="431"/>
      <c r="G34" s="1751"/>
      <c r="H34" s="1152"/>
      <c r="I34" s="1783"/>
      <c r="J34" s="1152"/>
      <c r="K34" s="1783"/>
      <c r="L34" s="1152"/>
      <c r="M34" s="1783"/>
      <c r="N34" s="1152"/>
      <c r="O34" s="1783"/>
      <c r="P34" s="1152"/>
      <c r="Q34" s="1783"/>
      <c r="R34" s="1152"/>
      <c r="S34" s="1783"/>
      <c r="T34" s="1152"/>
      <c r="U34" s="1783"/>
    </row>
    <row r="35" spans="1:21">
      <c r="A35" s="1589"/>
      <c r="B35" s="1945" t="s">
        <v>2459</v>
      </c>
      <c r="C35" s="415"/>
      <c r="D35" s="430"/>
      <c r="E35" s="422"/>
      <c r="F35" s="431"/>
      <c r="G35" s="1751"/>
      <c r="H35" s="1152"/>
      <c r="I35" s="1783"/>
      <c r="J35" s="1152"/>
      <c r="K35" s="1783"/>
      <c r="L35" s="1152"/>
      <c r="M35" s="1783"/>
      <c r="N35" s="1152"/>
      <c r="O35" s="1783"/>
      <c r="P35" s="1152"/>
      <c r="Q35" s="1783"/>
      <c r="R35" s="1152"/>
      <c r="S35" s="1783"/>
      <c r="T35" s="1152"/>
      <c r="U35" s="1783"/>
    </row>
    <row r="36" spans="1:21" ht="25.5">
      <c r="A36" s="1589"/>
      <c r="B36" s="1924" t="s">
        <v>2460</v>
      </c>
      <c r="C36" s="415" t="s">
        <v>2446</v>
      </c>
      <c r="D36" s="430"/>
      <c r="E36" s="422"/>
      <c r="F36" s="431"/>
      <c r="G36" s="1751"/>
      <c r="H36" s="1152" t="s">
        <v>727</v>
      </c>
      <c r="I36" s="1783"/>
      <c r="J36" s="1152" t="s">
        <v>727</v>
      </c>
      <c r="K36" s="1783"/>
      <c r="L36" s="1152" t="s">
        <v>727</v>
      </c>
      <c r="M36" s="1783"/>
      <c r="N36" s="1152" t="s">
        <v>727</v>
      </c>
      <c r="O36" s="1783"/>
      <c r="P36" s="1152" t="s">
        <v>727</v>
      </c>
      <c r="Q36" s="1783"/>
      <c r="R36" s="1152" t="s">
        <v>727</v>
      </c>
      <c r="S36" s="1783"/>
      <c r="T36" s="1152"/>
      <c r="U36" s="1783"/>
    </row>
    <row r="37" spans="1:21">
      <c r="A37" s="1589"/>
      <c r="B37" s="1299" t="s">
        <v>2461</v>
      </c>
      <c r="C37" s="23" t="s">
        <v>2462</v>
      </c>
      <c r="D37" s="87"/>
      <c r="E37" s="86"/>
      <c r="F37" s="431"/>
      <c r="G37" s="1751"/>
      <c r="H37" s="1152" t="s">
        <v>727</v>
      </c>
      <c r="I37" s="1783"/>
      <c r="J37" s="1152" t="s">
        <v>727</v>
      </c>
      <c r="K37" s="1783"/>
      <c r="L37" s="1152" t="s">
        <v>727</v>
      </c>
      <c r="M37" s="1783"/>
      <c r="N37" s="1152" t="s">
        <v>727</v>
      </c>
      <c r="O37" s="1783"/>
      <c r="P37" s="1152" t="s">
        <v>727</v>
      </c>
      <c r="Q37" s="1783"/>
      <c r="R37" s="1152" t="s">
        <v>727</v>
      </c>
      <c r="S37" s="1783"/>
      <c r="T37" s="1152"/>
      <c r="U37" s="1783"/>
    </row>
    <row r="38" spans="1:21">
      <c r="A38" s="1589"/>
      <c r="B38" s="1299" t="s">
        <v>2463</v>
      </c>
      <c r="C38" s="23" t="s">
        <v>2464</v>
      </c>
      <c r="D38" s="87"/>
      <c r="E38" s="86"/>
      <c r="F38" s="431"/>
      <c r="G38" s="1751"/>
      <c r="H38" s="1301" t="s">
        <v>727</v>
      </c>
      <c r="I38" s="1783"/>
      <c r="J38" s="1301" t="s">
        <v>727</v>
      </c>
      <c r="K38" s="1783"/>
      <c r="L38" s="1301" t="s">
        <v>727</v>
      </c>
      <c r="M38" s="1783"/>
      <c r="N38" s="1301" t="s">
        <v>727</v>
      </c>
      <c r="O38" s="1783"/>
      <c r="P38" s="1301" t="s">
        <v>727</v>
      </c>
      <c r="Q38" s="1783"/>
      <c r="R38" s="1301" t="s">
        <v>727</v>
      </c>
      <c r="S38" s="1783"/>
      <c r="T38" s="1152"/>
      <c r="U38" s="1783"/>
    </row>
    <row r="39" spans="1:21">
      <c r="A39" s="1589"/>
      <c r="B39" s="1924" t="s">
        <v>2465</v>
      </c>
      <c r="C39" s="23"/>
      <c r="D39" s="87"/>
      <c r="E39" s="86"/>
      <c r="F39" s="431"/>
      <c r="G39" s="1751"/>
      <c r="H39" s="1301" t="s">
        <v>727</v>
      </c>
      <c r="I39" s="1783"/>
      <c r="J39" s="1301" t="s">
        <v>727</v>
      </c>
      <c r="K39" s="1783"/>
      <c r="L39" s="1301" t="s">
        <v>727</v>
      </c>
      <c r="M39" s="1783"/>
      <c r="N39" s="1301" t="s">
        <v>727</v>
      </c>
      <c r="O39" s="1783"/>
      <c r="P39" s="1301" t="s">
        <v>727</v>
      </c>
      <c r="Q39" s="1783"/>
      <c r="R39" s="1301" t="s">
        <v>727</v>
      </c>
      <c r="S39" s="1783"/>
      <c r="T39" s="1152"/>
      <c r="U39" s="1783"/>
    </row>
    <row r="40" spans="1:21">
      <c r="A40" s="1589"/>
      <c r="B40" s="1299" t="s">
        <v>2466</v>
      </c>
      <c r="C40" s="23"/>
      <c r="D40" s="87"/>
      <c r="E40" s="86"/>
      <c r="F40" s="431"/>
      <c r="G40" s="1751"/>
      <c r="H40" s="1301" t="s">
        <v>730</v>
      </c>
      <c r="I40" s="1783"/>
      <c r="J40" s="1301" t="s">
        <v>730</v>
      </c>
      <c r="K40" s="1783"/>
      <c r="L40" s="1301" t="s">
        <v>730</v>
      </c>
      <c r="M40" s="1783"/>
      <c r="N40" s="1301" t="s">
        <v>730</v>
      </c>
      <c r="O40" s="1783"/>
      <c r="P40" s="1301" t="s">
        <v>730</v>
      </c>
      <c r="Q40" s="1783"/>
      <c r="R40" s="1301" t="s">
        <v>730</v>
      </c>
      <c r="S40" s="1783"/>
      <c r="T40" s="1152"/>
      <c r="U40" s="1783"/>
    </row>
    <row r="41" spans="1:21">
      <c r="A41" s="1097"/>
      <c r="B41" s="1924" t="s">
        <v>2467</v>
      </c>
      <c r="C41" s="415" t="s">
        <v>2446</v>
      </c>
      <c r="D41" s="430"/>
      <c r="E41" s="422"/>
      <c r="F41" s="431"/>
      <c r="G41" s="1751"/>
      <c r="H41" s="1152" t="s">
        <v>727</v>
      </c>
      <c r="I41" s="1783"/>
      <c r="J41" s="1152" t="s">
        <v>727</v>
      </c>
      <c r="K41" s="1783"/>
      <c r="L41" s="1152" t="s">
        <v>727</v>
      </c>
      <c r="M41" s="1783"/>
      <c r="N41" s="1152" t="s">
        <v>727</v>
      </c>
      <c r="O41" s="1783"/>
      <c r="P41" s="1152" t="s">
        <v>727</v>
      </c>
      <c r="Q41" s="1783"/>
      <c r="R41" s="1152" t="s">
        <v>727</v>
      </c>
      <c r="S41" s="1783"/>
      <c r="T41" s="1152"/>
      <c r="U41" s="1783"/>
    </row>
    <row r="42" spans="1:21" ht="38.25">
      <c r="A42" s="1097"/>
      <c r="B42" s="1924" t="s">
        <v>2468</v>
      </c>
      <c r="C42" s="415" t="s">
        <v>2446</v>
      </c>
      <c r="D42" s="430"/>
      <c r="E42" s="422"/>
      <c r="F42" s="431"/>
      <c r="G42" s="1751"/>
      <c r="H42" s="1152" t="s">
        <v>727</v>
      </c>
      <c r="I42" s="1783"/>
      <c r="J42" s="1152" t="s">
        <v>727</v>
      </c>
      <c r="K42" s="1783"/>
      <c r="L42" s="1152" t="s">
        <v>727</v>
      </c>
      <c r="M42" s="1783"/>
      <c r="N42" s="1152" t="s">
        <v>727</v>
      </c>
      <c r="O42" s="1783"/>
      <c r="P42" s="1152" t="s">
        <v>727</v>
      </c>
      <c r="Q42" s="1783"/>
      <c r="R42" s="1152" t="s">
        <v>727</v>
      </c>
      <c r="S42" s="1783"/>
      <c r="T42" s="1152"/>
      <c r="U42" s="1783"/>
    </row>
    <row r="43" spans="1:21" ht="25.5">
      <c r="A43" s="1097"/>
      <c r="B43" s="1924" t="s">
        <v>2469</v>
      </c>
      <c r="C43" s="415" t="s">
        <v>2470</v>
      </c>
      <c r="D43" s="430">
        <v>40</v>
      </c>
      <c r="E43" s="422"/>
      <c r="F43" s="431"/>
      <c r="G43" s="1751"/>
      <c r="H43" s="1152" t="s">
        <v>727</v>
      </c>
      <c r="I43" s="1783"/>
      <c r="J43" s="1152" t="s">
        <v>727</v>
      </c>
      <c r="K43" s="1783"/>
      <c r="L43" s="1152" t="s">
        <v>727</v>
      </c>
      <c r="M43" s="1783"/>
      <c r="N43" s="1152" t="s">
        <v>727</v>
      </c>
      <c r="O43" s="1783"/>
      <c r="P43" s="1152" t="s">
        <v>727</v>
      </c>
      <c r="Q43" s="1783"/>
      <c r="R43" s="1152" t="s">
        <v>727</v>
      </c>
      <c r="S43" s="1783"/>
      <c r="T43" s="1152"/>
      <c r="U43" s="1783"/>
    </row>
    <row r="44" spans="1:21" ht="25.5">
      <c r="A44" s="1589"/>
      <c r="B44" s="1924" t="s">
        <v>2471</v>
      </c>
      <c r="C44" s="415" t="s">
        <v>2472</v>
      </c>
      <c r="D44" s="430"/>
      <c r="E44" s="422"/>
      <c r="F44" s="431"/>
      <c r="G44" s="1751"/>
      <c r="H44" s="1152" t="s">
        <v>727</v>
      </c>
      <c r="I44" s="1783"/>
      <c r="J44" s="1152" t="s">
        <v>727</v>
      </c>
      <c r="K44" s="1783"/>
      <c r="L44" s="1152" t="s">
        <v>727</v>
      </c>
      <c r="M44" s="1783"/>
      <c r="N44" s="1152" t="s">
        <v>727</v>
      </c>
      <c r="O44" s="1783"/>
      <c r="P44" s="1152" t="s">
        <v>727</v>
      </c>
      <c r="Q44" s="1783"/>
      <c r="R44" s="1152" t="s">
        <v>727</v>
      </c>
      <c r="S44" s="1783"/>
      <c r="T44" s="1152"/>
      <c r="U44" s="1783"/>
    </row>
    <row r="45" spans="1:21" ht="25.5">
      <c r="A45" s="1589"/>
      <c r="B45" s="1924" t="s">
        <v>2473</v>
      </c>
      <c r="C45" s="415" t="s">
        <v>2474</v>
      </c>
      <c r="D45" s="430">
        <v>5</v>
      </c>
      <c r="E45" s="422"/>
      <c r="F45" s="431"/>
      <c r="G45" s="1751"/>
      <c r="H45" s="1301" t="s">
        <v>727</v>
      </c>
      <c r="I45" s="1783"/>
      <c r="J45" s="1301" t="s">
        <v>727</v>
      </c>
      <c r="K45" s="1783"/>
      <c r="L45" s="1301" t="s">
        <v>727</v>
      </c>
      <c r="M45" s="1783"/>
      <c r="N45" s="1301" t="s">
        <v>727</v>
      </c>
      <c r="O45" s="1783"/>
      <c r="P45" s="1301" t="s">
        <v>727</v>
      </c>
      <c r="Q45" s="1783"/>
      <c r="R45" s="1301" t="s">
        <v>727</v>
      </c>
      <c r="S45" s="1783"/>
      <c r="T45" s="1152"/>
      <c r="U45" s="1783"/>
    </row>
    <row r="46" spans="1:21">
      <c r="A46" s="1589"/>
      <c r="B46" s="1924" t="s">
        <v>2475</v>
      </c>
      <c r="C46" s="415" t="s">
        <v>2476</v>
      </c>
      <c r="D46" s="430"/>
      <c r="E46" s="422"/>
      <c r="F46" s="431"/>
      <c r="G46" s="1751"/>
      <c r="H46" s="1301" t="s">
        <v>727</v>
      </c>
      <c r="I46" s="1783"/>
      <c r="J46" s="1301" t="s">
        <v>727</v>
      </c>
      <c r="K46" s="1783"/>
      <c r="L46" s="1301" t="s">
        <v>727</v>
      </c>
      <c r="M46" s="1783"/>
      <c r="N46" s="1301" t="s">
        <v>727</v>
      </c>
      <c r="O46" s="1783"/>
      <c r="P46" s="1301" t="s">
        <v>727</v>
      </c>
      <c r="Q46" s="1783"/>
      <c r="R46" s="1301" t="s">
        <v>727</v>
      </c>
      <c r="S46" s="1783"/>
      <c r="T46" s="1152"/>
      <c r="U46" s="1783"/>
    </row>
    <row r="47" spans="1:21">
      <c r="A47" s="1589"/>
      <c r="B47" s="1299" t="s">
        <v>2477</v>
      </c>
      <c r="C47" s="23"/>
      <c r="D47" s="87"/>
      <c r="E47" s="86"/>
      <c r="F47" s="431"/>
      <c r="G47" s="1751"/>
      <c r="H47" s="1152" t="s">
        <v>727</v>
      </c>
      <c r="I47" s="1783"/>
      <c r="J47" s="1152" t="s">
        <v>727</v>
      </c>
      <c r="K47" s="1783"/>
      <c r="L47" s="1152" t="s">
        <v>727</v>
      </c>
      <c r="M47" s="1783"/>
      <c r="N47" s="1152" t="s">
        <v>727</v>
      </c>
      <c r="O47" s="1783"/>
      <c r="P47" s="1152" t="s">
        <v>727</v>
      </c>
      <c r="Q47" s="1783"/>
      <c r="R47" s="1152" t="s">
        <v>727</v>
      </c>
      <c r="S47" s="1783"/>
      <c r="T47" s="1152"/>
      <c r="U47" s="1783"/>
    </row>
    <row r="48" spans="1:21" ht="25.5">
      <c r="A48" s="1589"/>
      <c r="B48" s="1299" t="s">
        <v>2478</v>
      </c>
      <c r="C48" s="23" t="s">
        <v>2479</v>
      </c>
      <c r="D48" s="87"/>
      <c r="E48" s="86"/>
      <c r="F48" s="431"/>
      <c r="G48" s="1751"/>
      <c r="H48" s="1301" t="s">
        <v>727</v>
      </c>
      <c r="I48" s="1783"/>
      <c r="J48" s="1301" t="s">
        <v>727</v>
      </c>
      <c r="K48" s="1783"/>
      <c r="L48" s="1301" t="s">
        <v>727</v>
      </c>
      <c r="M48" s="1783"/>
      <c r="N48" s="1301" t="s">
        <v>727</v>
      </c>
      <c r="O48" s="1783"/>
      <c r="P48" s="1301" t="s">
        <v>727</v>
      </c>
      <c r="Q48" s="1783"/>
      <c r="R48" s="1301" t="s">
        <v>727</v>
      </c>
      <c r="S48" s="1783"/>
      <c r="T48" s="1152"/>
      <c r="U48" s="1783"/>
    </row>
    <row r="49" spans="1:21">
      <c r="A49" s="1589"/>
      <c r="B49" s="1299" t="s">
        <v>2480</v>
      </c>
      <c r="C49" s="23" t="s">
        <v>2481</v>
      </c>
      <c r="D49" s="87"/>
      <c r="E49" s="86"/>
      <c r="F49" s="431"/>
      <c r="G49" s="1751"/>
      <c r="H49" s="1301" t="s">
        <v>727</v>
      </c>
      <c r="I49" s="1783"/>
      <c r="J49" s="1301" t="s">
        <v>727</v>
      </c>
      <c r="K49" s="1783"/>
      <c r="L49" s="1301" t="s">
        <v>727</v>
      </c>
      <c r="M49" s="1783"/>
      <c r="N49" s="1301" t="s">
        <v>727</v>
      </c>
      <c r="O49" s="1783"/>
      <c r="P49" s="1301" t="s">
        <v>727</v>
      </c>
      <c r="Q49" s="1783"/>
      <c r="R49" s="1301" t="s">
        <v>727</v>
      </c>
      <c r="S49" s="1783"/>
      <c r="T49" s="1152"/>
      <c r="U49" s="1783"/>
    </row>
    <row r="50" spans="1:21">
      <c r="A50" s="1589"/>
      <c r="B50" s="1299" t="s">
        <v>2482</v>
      </c>
      <c r="C50" s="23"/>
      <c r="D50" s="87"/>
      <c r="E50" s="86"/>
      <c r="F50" s="431"/>
      <c r="G50" s="1751"/>
      <c r="H50" s="1152" t="s">
        <v>727</v>
      </c>
      <c r="I50" s="1783"/>
      <c r="J50" s="1152" t="s">
        <v>727</v>
      </c>
      <c r="K50" s="1783"/>
      <c r="L50" s="1152" t="s">
        <v>727</v>
      </c>
      <c r="M50" s="1783"/>
      <c r="N50" s="1152" t="s">
        <v>727</v>
      </c>
      <c r="O50" s="1783"/>
      <c r="P50" s="1152" t="s">
        <v>727</v>
      </c>
      <c r="Q50" s="1783"/>
      <c r="R50" s="1152" t="s">
        <v>727</v>
      </c>
      <c r="S50" s="1783"/>
      <c r="T50" s="1152"/>
      <c r="U50" s="1783"/>
    </row>
    <row r="51" spans="1:21">
      <c r="A51" s="1589"/>
      <c r="B51" s="1299" t="s">
        <v>2483</v>
      </c>
      <c r="C51" s="23"/>
      <c r="D51" s="87"/>
      <c r="E51" s="86"/>
      <c r="F51" s="431"/>
      <c r="G51" s="1751"/>
      <c r="H51" s="1301" t="s">
        <v>1035</v>
      </c>
      <c r="I51" s="1783">
        <v>45000</v>
      </c>
      <c r="J51" s="1301" t="s">
        <v>727</v>
      </c>
      <c r="K51" s="1783"/>
      <c r="L51" s="1301" t="s">
        <v>727</v>
      </c>
      <c r="M51" s="1783"/>
      <c r="N51" s="1301" t="s">
        <v>727</v>
      </c>
      <c r="O51" s="1783"/>
      <c r="P51" s="1301" t="s">
        <v>727</v>
      </c>
      <c r="Q51" s="1783"/>
      <c r="R51" s="1301" t="s">
        <v>727</v>
      </c>
      <c r="S51" s="1783"/>
      <c r="T51" s="1152"/>
      <c r="U51" s="1783"/>
    </row>
    <row r="52" spans="1:21">
      <c r="A52" s="1589"/>
      <c r="B52" s="1924"/>
      <c r="C52" s="415"/>
      <c r="D52" s="430"/>
      <c r="E52" s="422"/>
      <c r="F52" s="431"/>
      <c r="G52" s="1751"/>
      <c r="H52" s="1152"/>
      <c r="I52" s="1783"/>
      <c r="J52" s="1152"/>
      <c r="K52" s="1783"/>
      <c r="L52" s="1152"/>
      <c r="M52" s="1783"/>
      <c r="N52" s="1152"/>
      <c r="O52" s="1783"/>
      <c r="P52" s="1152"/>
      <c r="Q52" s="1783"/>
      <c r="R52" s="1152"/>
      <c r="S52" s="1783"/>
      <c r="T52" s="1152"/>
      <c r="U52" s="1783"/>
    </row>
    <row r="53" spans="1:21">
      <c r="A53" s="1589"/>
      <c r="B53" s="1924"/>
      <c r="C53" s="415"/>
      <c r="D53" s="430"/>
      <c r="E53" s="422"/>
      <c r="F53" s="431"/>
      <c r="G53" s="1751"/>
      <c r="H53" s="1152"/>
      <c r="I53" s="1783"/>
      <c r="J53" s="1152"/>
      <c r="K53" s="1783"/>
      <c r="L53" s="1152"/>
      <c r="M53" s="1783"/>
      <c r="N53" s="1152"/>
      <c r="O53" s="1783"/>
      <c r="P53" s="1152"/>
      <c r="Q53" s="1783"/>
      <c r="R53" s="1152"/>
      <c r="S53" s="1783"/>
      <c r="T53" s="1152"/>
      <c r="U53" s="1783"/>
    </row>
    <row r="54" spans="1:21">
      <c r="A54" s="1589"/>
      <c r="B54" s="1945" t="s">
        <v>2484</v>
      </c>
      <c r="C54" s="415"/>
      <c r="D54" s="430"/>
      <c r="E54" s="422"/>
      <c r="F54" s="431"/>
      <c r="G54" s="1751"/>
      <c r="H54" s="1152" t="s">
        <v>727</v>
      </c>
      <c r="I54" s="1783"/>
      <c r="J54" s="1152" t="s">
        <v>727</v>
      </c>
      <c r="K54" s="1783"/>
      <c r="L54" s="1152" t="s">
        <v>727</v>
      </c>
      <c r="M54" s="1783"/>
      <c r="N54" s="1152" t="s">
        <v>727</v>
      </c>
      <c r="O54" s="1783"/>
      <c r="P54" s="1152" t="s">
        <v>727</v>
      </c>
      <c r="Q54" s="1783"/>
      <c r="R54" s="1152" t="s">
        <v>727</v>
      </c>
      <c r="S54" s="1783"/>
      <c r="T54" s="1152"/>
      <c r="U54" s="1783"/>
    </row>
    <row r="55" spans="1:21">
      <c r="A55" s="1097"/>
      <c r="B55" s="1924" t="s">
        <v>2485</v>
      </c>
      <c r="C55" s="415" t="s">
        <v>2486</v>
      </c>
      <c r="D55" s="430">
        <v>1</v>
      </c>
      <c r="E55" s="422"/>
      <c r="F55" s="431"/>
      <c r="G55" s="1751"/>
      <c r="H55" s="1152" t="s">
        <v>727</v>
      </c>
      <c r="I55" s="1783"/>
      <c r="J55" s="1152" t="s">
        <v>727</v>
      </c>
      <c r="K55" s="1783"/>
      <c r="L55" s="1152" t="s">
        <v>727</v>
      </c>
      <c r="M55" s="1783"/>
      <c r="N55" s="1152" t="s">
        <v>727</v>
      </c>
      <c r="O55" s="1783"/>
      <c r="P55" s="1152" t="s">
        <v>727</v>
      </c>
      <c r="Q55" s="1783"/>
      <c r="R55" s="1152" t="s">
        <v>727</v>
      </c>
      <c r="S55" s="1783"/>
      <c r="T55" s="1152"/>
      <c r="U55" s="1783"/>
    </row>
    <row r="56" spans="1:21">
      <c r="A56" s="1589"/>
      <c r="B56" s="1299" t="s">
        <v>2487</v>
      </c>
      <c r="C56" s="415" t="s">
        <v>2488</v>
      </c>
      <c r="D56" s="430">
        <v>4</v>
      </c>
      <c r="E56" s="422"/>
      <c r="F56" s="431"/>
      <c r="G56" s="1751"/>
      <c r="H56" s="1152" t="s">
        <v>727</v>
      </c>
      <c r="I56" s="1783"/>
      <c r="J56" s="1152" t="s">
        <v>727</v>
      </c>
      <c r="K56" s="1783"/>
      <c r="L56" s="1152" t="s">
        <v>727</v>
      </c>
      <c r="M56" s="1783"/>
      <c r="N56" s="1152" t="s">
        <v>727</v>
      </c>
      <c r="O56" s="1783"/>
      <c r="P56" s="1152" t="s">
        <v>727</v>
      </c>
      <c r="Q56" s="1783"/>
      <c r="R56" s="1152" t="s">
        <v>727</v>
      </c>
      <c r="S56" s="1783"/>
      <c r="T56" s="1152"/>
      <c r="U56" s="1783"/>
    </row>
    <row r="57" spans="1:21">
      <c r="A57" s="1097"/>
      <c r="B57" s="1299" t="s">
        <v>2489</v>
      </c>
      <c r="C57" s="415" t="s">
        <v>2490</v>
      </c>
      <c r="D57" s="87">
        <v>5</v>
      </c>
      <c r="E57" s="86"/>
      <c r="F57" s="431"/>
      <c r="G57" s="1751"/>
      <c r="H57" s="1152" t="s">
        <v>727</v>
      </c>
      <c r="I57" s="1783"/>
      <c r="J57" s="1152" t="s">
        <v>727</v>
      </c>
      <c r="K57" s="1783"/>
      <c r="L57" s="1152" t="s">
        <v>727</v>
      </c>
      <c r="M57" s="1783"/>
      <c r="N57" s="1152" t="s">
        <v>727</v>
      </c>
      <c r="O57" s="1783"/>
      <c r="P57" s="1152" t="s">
        <v>727</v>
      </c>
      <c r="Q57" s="1783"/>
      <c r="R57" s="1152" t="s">
        <v>727</v>
      </c>
      <c r="S57" s="1783"/>
      <c r="T57" s="1152"/>
      <c r="U57" s="1783"/>
    </row>
    <row r="58" spans="1:21">
      <c r="A58" s="1589"/>
      <c r="B58" s="1299" t="s">
        <v>2491</v>
      </c>
      <c r="C58" s="415" t="s">
        <v>2492</v>
      </c>
      <c r="D58" s="87">
        <v>10</v>
      </c>
      <c r="E58" s="86"/>
      <c r="F58" s="431"/>
      <c r="G58" s="1751"/>
      <c r="H58" s="1152" t="s">
        <v>727</v>
      </c>
      <c r="I58" s="1783"/>
      <c r="J58" s="1152" t="s">
        <v>727</v>
      </c>
      <c r="K58" s="1783"/>
      <c r="L58" s="1152" t="s">
        <v>727</v>
      </c>
      <c r="M58" s="1783"/>
      <c r="N58" s="1152" t="s">
        <v>727</v>
      </c>
      <c r="O58" s="1783"/>
      <c r="P58" s="1152" t="s">
        <v>727</v>
      </c>
      <c r="Q58" s="1783"/>
      <c r="R58" s="1152" t="s">
        <v>727</v>
      </c>
      <c r="S58" s="1783"/>
      <c r="T58" s="1152"/>
      <c r="U58" s="1783"/>
    </row>
    <row r="59" spans="1:21">
      <c r="A59" s="1589"/>
      <c r="B59" s="1299" t="s">
        <v>2493</v>
      </c>
      <c r="C59" s="415" t="s">
        <v>2494</v>
      </c>
      <c r="D59" s="87">
        <v>9</v>
      </c>
      <c r="E59" s="86"/>
      <c r="F59" s="431"/>
      <c r="G59" s="1751"/>
      <c r="H59" s="1152" t="s">
        <v>727</v>
      </c>
      <c r="I59" s="1783"/>
      <c r="J59" s="1152" t="s">
        <v>727</v>
      </c>
      <c r="K59" s="1783"/>
      <c r="L59" s="1152" t="s">
        <v>727</v>
      </c>
      <c r="M59" s="1783"/>
      <c r="N59" s="1152" t="s">
        <v>727</v>
      </c>
      <c r="O59" s="1783"/>
      <c r="P59" s="1152" t="s">
        <v>727</v>
      </c>
      <c r="Q59" s="1783"/>
      <c r="R59" s="1152" t="s">
        <v>727</v>
      </c>
      <c r="S59" s="1783"/>
      <c r="T59" s="1152"/>
      <c r="U59" s="1783"/>
    </row>
    <row r="60" spans="1:21">
      <c r="A60" s="1589"/>
      <c r="B60" s="1299" t="s">
        <v>2495</v>
      </c>
      <c r="C60" s="415" t="s">
        <v>2496</v>
      </c>
      <c r="D60" s="87">
        <v>4</v>
      </c>
      <c r="E60" s="86"/>
      <c r="F60" s="431"/>
      <c r="G60" s="1751"/>
      <c r="H60" s="1152" t="s">
        <v>727</v>
      </c>
      <c r="I60" s="1783"/>
      <c r="J60" s="1152" t="s">
        <v>727</v>
      </c>
      <c r="K60" s="1783"/>
      <c r="L60" s="1152" t="s">
        <v>727</v>
      </c>
      <c r="M60" s="1783"/>
      <c r="N60" s="1152" t="s">
        <v>727</v>
      </c>
      <c r="O60" s="1783"/>
      <c r="P60" s="1152" t="s">
        <v>727</v>
      </c>
      <c r="Q60" s="1783"/>
      <c r="R60" s="1152" t="s">
        <v>727</v>
      </c>
      <c r="S60" s="1783"/>
      <c r="T60" s="1152"/>
      <c r="U60" s="1783"/>
    </row>
    <row r="61" spans="1:21">
      <c r="A61" s="1589"/>
      <c r="B61" s="1299" t="s">
        <v>2497</v>
      </c>
      <c r="C61" s="415" t="s">
        <v>2498</v>
      </c>
      <c r="D61" s="87">
        <v>5</v>
      </c>
      <c r="E61" s="86"/>
      <c r="F61" s="431"/>
      <c r="G61" s="1751"/>
      <c r="H61" s="1152" t="s">
        <v>727</v>
      </c>
      <c r="I61" s="1783"/>
      <c r="J61" s="1152" t="s">
        <v>727</v>
      </c>
      <c r="K61" s="1783"/>
      <c r="L61" s="1152" t="s">
        <v>727</v>
      </c>
      <c r="M61" s="1783"/>
      <c r="N61" s="1152" t="s">
        <v>727</v>
      </c>
      <c r="O61" s="1783"/>
      <c r="P61" s="1152" t="s">
        <v>727</v>
      </c>
      <c r="Q61" s="1783"/>
      <c r="R61" s="1152" t="s">
        <v>727</v>
      </c>
      <c r="S61" s="1783"/>
      <c r="T61" s="1152"/>
      <c r="U61" s="1783"/>
    </row>
    <row r="62" spans="1:21">
      <c r="A62" s="1589"/>
      <c r="B62" s="1299" t="s">
        <v>2499</v>
      </c>
      <c r="C62" s="415" t="s">
        <v>2500</v>
      </c>
      <c r="D62" s="87">
        <v>9</v>
      </c>
      <c r="E62" s="86"/>
      <c r="F62" s="431"/>
      <c r="G62" s="1751"/>
      <c r="H62" s="1152" t="s">
        <v>727</v>
      </c>
      <c r="I62" s="1783"/>
      <c r="J62" s="1152" t="s">
        <v>727</v>
      </c>
      <c r="K62" s="1783"/>
      <c r="L62" s="1152" t="s">
        <v>727</v>
      </c>
      <c r="M62" s="1783"/>
      <c r="N62" s="1152" t="s">
        <v>727</v>
      </c>
      <c r="O62" s="1783"/>
      <c r="P62" s="1152" t="s">
        <v>727</v>
      </c>
      <c r="Q62" s="1783"/>
      <c r="R62" s="1152" t="s">
        <v>727</v>
      </c>
      <c r="S62" s="1783"/>
      <c r="T62" s="1152"/>
      <c r="U62" s="1783"/>
    </row>
    <row r="63" spans="1:21">
      <c r="A63" s="1589"/>
      <c r="B63" s="1299" t="s">
        <v>2501</v>
      </c>
      <c r="C63" s="415" t="s">
        <v>2502</v>
      </c>
      <c r="D63" s="87">
        <v>6</v>
      </c>
      <c r="E63" s="86"/>
      <c r="F63" s="431"/>
      <c r="G63" s="1751"/>
      <c r="H63" s="1152" t="s">
        <v>727</v>
      </c>
      <c r="I63" s="1783"/>
      <c r="J63" s="1152" t="s">
        <v>727</v>
      </c>
      <c r="K63" s="1783"/>
      <c r="L63" s="1152" t="s">
        <v>727</v>
      </c>
      <c r="M63" s="1783"/>
      <c r="N63" s="1152" t="s">
        <v>727</v>
      </c>
      <c r="O63" s="1783"/>
      <c r="P63" s="1152" t="s">
        <v>727</v>
      </c>
      <c r="Q63" s="1783"/>
      <c r="R63" s="1152" t="s">
        <v>727</v>
      </c>
      <c r="S63" s="1783"/>
      <c r="T63" s="1152"/>
      <c r="U63" s="1783"/>
    </row>
    <row r="64" spans="1:21">
      <c r="A64" s="1589"/>
      <c r="B64" s="1299" t="s">
        <v>2503</v>
      </c>
      <c r="C64" s="415" t="s">
        <v>2504</v>
      </c>
      <c r="D64" s="87">
        <v>2</v>
      </c>
      <c r="E64" s="86"/>
      <c r="F64" s="431"/>
      <c r="G64" s="1751"/>
      <c r="H64" s="1152" t="s">
        <v>727</v>
      </c>
      <c r="I64" s="1783"/>
      <c r="J64" s="1152" t="s">
        <v>727</v>
      </c>
      <c r="K64" s="1783"/>
      <c r="L64" s="1152" t="s">
        <v>727</v>
      </c>
      <c r="M64" s="1783"/>
      <c r="N64" s="1152" t="s">
        <v>727</v>
      </c>
      <c r="O64" s="1783"/>
      <c r="P64" s="1152" t="s">
        <v>727</v>
      </c>
      <c r="Q64" s="1783"/>
      <c r="R64" s="1152" t="s">
        <v>727</v>
      </c>
      <c r="S64" s="1783"/>
      <c r="T64" s="1152"/>
      <c r="U64" s="1783"/>
    </row>
    <row r="65" spans="1:21">
      <c r="A65" s="1589"/>
      <c r="B65" s="1299" t="s">
        <v>2505</v>
      </c>
      <c r="C65" s="415" t="s">
        <v>2506</v>
      </c>
      <c r="D65" s="87">
        <v>4</v>
      </c>
      <c r="E65" s="86"/>
      <c r="F65" s="431"/>
      <c r="G65" s="1751"/>
      <c r="H65" s="1152" t="s">
        <v>727</v>
      </c>
      <c r="I65" s="1783"/>
      <c r="J65" s="1152" t="s">
        <v>727</v>
      </c>
      <c r="K65" s="1783"/>
      <c r="L65" s="1152" t="s">
        <v>727</v>
      </c>
      <c r="M65" s="1783"/>
      <c r="N65" s="1152" t="s">
        <v>727</v>
      </c>
      <c r="O65" s="1783"/>
      <c r="P65" s="1152" t="s">
        <v>727</v>
      </c>
      <c r="Q65" s="1783"/>
      <c r="R65" s="1152" t="s">
        <v>727</v>
      </c>
      <c r="S65" s="1783"/>
      <c r="T65" s="1152"/>
      <c r="U65" s="1783"/>
    </row>
    <row r="66" spans="1:21">
      <c r="A66" s="1589"/>
      <c r="B66" s="1299" t="s">
        <v>2507</v>
      </c>
      <c r="C66" s="415" t="s">
        <v>2508</v>
      </c>
      <c r="D66" s="87">
        <v>2</v>
      </c>
      <c r="E66" s="86"/>
      <c r="F66" s="431"/>
      <c r="G66" s="1751"/>
      <c r="H66" s="1152" t="s">
        <v>727</v>
      </c>
      <c r="I66" s="1783"/>
      <c r="J66" s="1152" t="s">
        <v>727</v>
      </c>
      <c r="K66" s="1783"/>
      <c r="L66" s="1152" t="s">
        <v>727</v>
      </c>
      <c r="M66" s="1783"/>
      <c r="N66" s="1152" t="s">
        <v>727</v>
      </c>
      <c r="O66" s="1783"/>
      <c r="P66" s="1152" t="s">
        <v>727</v>
      </c>
      <c r="Q66" s="1783"/>
      <c r="R66" s="1152" t="s">
        <v>727</v>
      </c>
      <c r="S66" s="1783"/>
      <c r="T66" s="1152"/>
      <c r="U66" s="1783"/>
    </row>
    <row r="67" spans="1:21">
      <c r="A67" s="1589"/>
      <c r="B67" s="1299" t="s">
        <v>2509</v>
      </c>
      <c r="C67" s="415" t="s">
        <v>2506</v>
      </c>
      <c r="D67" s="87">
        <v>1</v>
      </c>
      <c r="E67" s="86"/>
      <c r="F67" s="431"/>
      <c r="G67" s="1751"/>
      <c r="H67" s="1152" t="s">
        <v>727</v>
      </c>
      <c r="I67" s="1783"/>
      <c r="J67" s="1152" t="s">
        <v>727</v>
      </c>
      <c r="K67" s="1783"/>
      <c r="L67" s="1152" t="s">
        <v>727</v>
      </c>
      <c r="M67" s="1783"/>
      <c r="N67" s="1152" t="s">
        <v>727</v>
      </c>
      <c r="O67" s="1783"/>
      <c r="P67" s="1152" t="s">
        <v>727</v>
      </c>
      <c r="Q67" s="1783"/>
      <c r="R67" s="1152" t="s">
        <v>727</v>
      </c>
      <c r="S67" s="1783"/>
      <c r="T67" s="1152"/>
      <c r="U67" s="1783"/>
    </row>
    <row r="68" spans="1:21">
      <c r="A68" s="1589"/>
      <c r="B68" s="1299" t="s">
        <v>2510</v>
      </c>
      <c r="C68" s="415" t="s">
        <v>2506</v>
      </c>
      <c r="D68" s="87">
        <v>1</v>
      </c>
      <c r="E68" s="86"/>
      <c r="F68" s="431"/>
      <c r="G68" s="1751"/>
      <c r="H68" s="1152" t="s">
        <v>727</v>
      </c>
      <c r="I68" s="1783"/>
      <c r="J68" s="1152" t="s">
        <v>727</v>
      </c>
      <c r="K68" s="1783"/>
      <c r="L68" s="1152" t="s">
        <v>727</v>
      </c>
      <c r="M68" s="1783"/>
      <c r="N68" s="1152" t="s">
        <v>727</v>
      </c>
      <c r="O68" s="1783"/>
      <c r="P68" s="1152" t="s">
        <v>727</v>
      </c>
      <c r="Q68" s="1783"/>
      <c r="R68" s="1152" t="s">
        <v>727</v>
      </c>
      <c r="S68" s="1783"/>
      <c r="T68" s="1152"/>
      <c r="U68" s="1783"/>
    </row>
    <row r="69" spans="1:21">
      <c r="A69" s="1589"/>
      <c r="B69" s="1299" t="s">
        <v>2511</v>
      </c>
      <c r="C69" s="23" t="s">
        <v>2506</v>
      </c>
      <c r="D69" s="87">
        <v>1</v>
      </c>
      <c r="E69" s="86"/>
      <c r="F69" s="431"/>
      <c r="G69" s="1751"/>
      <c r="H69" s="1152" t="s">
        <v>727</v>
      </c>
      <c r="I69" s="1783"/>
      <c r="J69" s="1152" t="s">
        <v>727</v>
      </c>
      <c r="K69" s="1783"/>
      <c r="L69" s="1152" t="s">
        <v>727</v>
      </c>
      <c r="M69" s="1783"/>
      <c r="N69" s="1152" t="s">
        <v>727</v>
      </c>
      <c r="O69" s="1783"/>
      <c r="P69" s="1152" t="s">
        <v>727</v>
      </c>
      <c r="Q69" s="1783"/>
      <c r="R69" s="1152" t="s">
        <v>727</v>
      </c>
      <c r="S69" s="1783" t="s">
        <v>2512</v>
      </c>
      <c r="T69" s="1152"/>
      <c r="U69" s="1783"/>
    </row>
    <row r="70" spans="1:21">
      <c r="A70" s="1589"/>
      <c r="B70" s="1299" t="s">
        <v>2513</v>
      </c>
      <c r="C70" s="23" t="s">
        <v>2514</v>
      </c>
      <c r="D70" s="87">
        <v>1</v>
      </c>
      <c r="E70" s="86"/>
      <c r="F70" s="431"/>
      <c r="G70" s="1751"/>
      <c r="H70" s="1152" t="s">
        <v>727</v>
      </c>
      <c r="I70" s="1783"/>
      <c r="J70" s="1152" t="s">
        <v>727</v>
      </c>
      <c r="K70" s="1783"/>
      <c r="L70" s="1152" t="s">
        <v>727</v>
      </c>
      <c r="M70" s="1783"/>
      <c r="N70" s="1152" t="s">
        <v>727</v>
      </c>
      <c r="O70" s="1783"/>
      <c r="P70" s="1152" t="s">
        <v>727</v>
      </c>
      <c r="Q70" s="1783"/>
      <c r="R70" s="1152" t="s">
        <v>727</v>
      </c>
      <c r="S70" s="1783"/>
      <c r="T70" s="1152"/>
      <c r="U70" s="1783"/>
    </row>
    <row r="71" spans="1:21">
      <c r="A71" s="1589"/>
      <c r="B71" s="1299" t="s">
        <v>2515</v>
      </c>
      <c r="C71" s="23" t="s">
        <v>2514</v>
      </c>
      <c r="D71" s="87">
        <v>12</v>
      </c>
      <c r="E71" s="86"/>
      <c r="F71" s="431"/>
      <c r="G71" s="1751"/>
      <c r="H71" s="1152" t="s">
        <v>727</v>
      </c>
      <c r="I71" s="1783"/>
      <c r="J71" s="1152" t="s">
        <v>727</v>
      </c>
      <c r="K71" s="1783"/>
      <c r="L71" s="1152" t="s">
        <v>727</v>
      </c>
      <c r="M71" s="1783"/>
      <c r="N71" s="1152" t="s">
        <v>727</v>
      </c>
      <c r="O71" s="1783"/>
      <c r="P71" s="1152" t="s">
        <v>727</v>
      </c>
      <c r="Q71" s="1783"/>
      <c r="R71" s="1152" t="s">
        <v>727</v>
      </c>
      <c r="S71" s="1783"/>
      <c r="T71" s="1152"/>
      <c r="U71" s="1783"/>
    </row>
    <row r="72" spans="1:21">
      <c r="A72" s="1589"/>
      <c r="B72" s="1299" t="s">
        <v>2516</v>
      </c>
      <c r="C72" s="23" t="s">
        <v>2514</v>
      </c>
      <c r="D72" s="87">
        <v>107</v>
      </c>
      <c r="E72" s="86"/>
      <c r="F72" s="431"/>
      <c r="G72" s="1751"/>
      <c r="H72" s="1152" t="s">
        <v>727</v>
      </c>
      <c r="I72" s="1783"/>
      <c r="J72" s="1152" t="s">
        <v>727</v>
      </c>
      <c r="K72" s="1783"/>
      <c r="L72" s="1152" t="s">
        <v>727</v>
      </c>
      <c r="M72" s="1783"/>
      <c r="N72" s="1152" t="s">
        <v>727</v>
      </c>
      <c r="O72" s="1783"/>
      <c r="P72" s="1152" t="s">
        <v>727</v>
      </c>
      <c r="Q72" s="1783"/>
      <c r="R72" s="1152" t="s">
        <v>727</v>
      </c>
      <c r="S72" s="1783"/>
      <c r="T72" s="1152"/>
      <c r="U72" s="1783"/>
    </row>
    <row r="73" spans="1:21">
      <c r="A73" s="1589"/>
      <c r="B73" s="1299"/>
      <c r="C73" s="23"/>
      <c r="D73" s="87"/>
      <c r="E73" s="86"/>
      <c r="F73" s="431"/>
      <c r="G73" s="1751"/>
      <c r="H73" s="1152"/>
      <c r="I73" s="1783"/>
      <c r="J73" s="1152"/>
      <c r="K73" s="1783"/>
      <c r="L73" s="1152"/>
      <c r="M73" s="1783"/>
      <c r="N73" s="1152"/>
      <c r="O73" s="1783"/>
      <c r="P73" s="1152"/>
      <c r="Q73" s="1783"/>
      <c r="R73" s="1152"/>
      <c r="S73" s="1783"/>
      <c r="T73" s="1152"/>
      <c r="U73" s="1783"/>
    </row>
    <row r="74" spans="1:21">
      <c r="A74" s="1589"/>
      <c r="B74" s="1299"/>
      <c r="C74" s="23"/>
      <c r="D74" s="87"/>
      <c r="E74" s="86"/>
      <c r="F74" s="431"/>
      <c r="G74" s="1751"/>
      <c r="H74" s="1152"/>
      <c r="I74" s="1783"/>
      <c r="J74" s="1152"/>
      <c r="K74" s="1783"/>
      <c r="L74" s="1152"/>
      <c r="M74" s="1783"/>
      <c r="N74" s="1152"/>
      <c r="O74" s="1783"/>
      <c r="P74" s="1152"/>
      <c r="Q74" s="1783"/>
      <c r="R74" s="1152"/>
      <c r="S74" s="1783">
        <f>-273900</f>
        <v>-273900</v>
      </c>
      <c r="T74" s="1152"/>
      <c r="U74" s="1783"/>
    </row>
    <row r="75" spans="1:21">
      <c r="A75" s="1589"/>
      <c r="B75" s="1300" t="s">
        <v>2517</v>
      </c>
      <c r="C75" s="23"/>
      <c r="D75" s="87"/>
      <c r="E75" s="86"/>
      <c r="F75" s="431"/>
      <c r="G75" s="1751"/>
      <c r="H75" s="1152" t="s">
        <v>727</v>
      </c>
      <c r="I75" s="1783"/>
      <c r="J75" s="1152" t="s">
        <v>727</v>
      </c>
      <c r="K75" s="1783"/>
      <c r="L75" s="1152" t="s">
        <v>727</v>
      </c>
      <c r="M75" s="1783"/>
      <c r="N75" s="1152" t="s">
        <v>727</v>
      </c>
      <c r="O75" s="1783">
        <v>1812153</v>
      </c>
      <c r="P75" s="1152" t="s">
        <v>727</v>
      </c>
      <c r="Q75" s="1783"/>
      <c r="R75" s="1152" t="s">
        <v>727</v>
      </c>
      <c r="S75" s="1855">
        <f>1100000*1.1</f>
        <v>1210000</v>
      </c>
      <c r="T75" s="1152"/>
      <c r="U75" s="1783"/>
    </row>
    <row r="76" spans="1:21">
      <c r="A76" s="1589"/>
      <c r="B76" s="1299" t="s">
        <v>2518</v>
      </c>
      <c r="C76" s="23"/>
      <c r="D76" s="87"/>
      <c r="E76" s="86"/>
      <c r="F76" s="431"/>
      <c r="G76" s="1751"/>
      <c r="H76" s="1152" t="s">
        <v>727</v>
      </c>
      <c r="I76" s="1783"/>
      <c r="J76" s="1152" t="s">
        <v>727</v>
      </c>
      <c r="K76" s="1783"/>
      <c r="L76" s="1152" t="s">
        <v>727</v>
      </c>
      <c r="M76" s="1783"/>
      <c r="N76" s="1152" t="s">
        <v>727</v>
      </c>
      <c r="O76" s="1783"/>
      <c r="P76" s="1152" t="s">
        <v>727</v>
      </c>
      <c r="Q76" s="1783"/>
      <c r="R76" s="1152" t="s">
        <v>727</v>
      </c>
      <c r="S76" s="1783"/>
      <c r="T76" s="1152"/>
      <c r="U76" s="1783"/>
    </row>
    <row r="77" spans="1:21">
      <c r="A77" s="1589"/>
      <c r="B77" s="1299" t="s">
        <v>2519</v>
      </c>
      <c r="C77" s="23" t="s">
        <v>2520</v>
      </c>
      <c r="D77" s="87"/>
      <c r="E77" s="86"/>
      <c r="F77" s="431"/>
      <c r="G77" s="1751"/>
      <c r="H77" s="1301" t="s">
        <v>727</v>
      </c>
      <c r="I77" s="1783"/>
      <c r="J77" s="1301" t="s">
        <v>727</v>
      </c>
      <c r="K77" s="1783"/>
      <c r="L77" s="1301" t="s">
        <v>727</v>
      </c>
      <c r="M77" s="1783"/>
      <c r="N77" s="1152" t="s">
        <v>727</v>
      </c>
      <c r="O77" s="1783"/>
      <c r="P77" s="1152" t="s">
        <v>727</v>
      </c>
      <c r="Q77" s="1783"/>
      <c r="R77" s="1152" t="s">
        <v>727</v>
      </c>
      <c r="S77" s="1783"/>
      <c r="T77" s="1152"/>
      <c r="U77" s="1783"/>
    </row>
    <row r="78" spans="1:21">
      <c r="A78" s="1589"/>
      <c r="B78" s="1299" t="s">
        <v>2521</v>
      </c>
      <c r="C78" s="23"/>
      <c r="D78" s="87"/>
      <c r="E78" s="86"/>
      <c r="F78" s="431"/>
      <c r="G78" s="1751"/>
      <c r="H78" s="1301"/>
      <c r="I78" s="1783"/>
      <c r="J78" s="1301"/>
      <c r="K78" s="1783"/>
      <c r="L78" s="1301"/>
      <c r="M78" s="1783"/>
      <c r="N78" s="1152"/>
      <c r="O78" s="1783"/>
      <c r="P78" s="1152"/>
      <c r="Q78" s="1783"/>
      <c r="R78" s="1152"/>
      <c r="S78" s="1783"/>
      <c r="T78" s="1152"/>
      <c r="U78" s="1783"/>
    </row>
    <row r="79" spans="1:21">
      <c r="A79" s="1589"/>
      <c r="B79" s="1299"/>
      <c r="C79" s="23"/>
      <c r="D79" s="87"/>
      <c r="E79" s="86"/>
      <c r="F79" s="431"/>
      <c r="G79" s="1751"/>
      <c r="H79" s="1152"/>
      <c r="I79" s="1783"/>
      <c r="J79" s="1152"/>
      <c r="K79" s="1783"/>
      <c r="L79" s="1152"/>
      <c r="M79" s="1783"/>
      <c r="N79" s="1152"/>
      <c r="O79" s="1783"/>
      <c r="P79" s="1152"/>
      <c r="Q79" s="1783"/>
      <c r="R79" s="1152"/>
      <c r="S79" s="1783"/>
      <c r="T79" s="1152"/>
      <c r="U79" s="1783"/>
    </row>
    <row r="80" spans="1:21">
      <c r="A80" s="1589"/>
      <c r="B80" s="1300" t="s">
        <v>2522</v>
      </c>
      <c r="C80" s="23"/>
      <c r="D80" s="87"/>
      <c r="E80" s="86"/>
      <c r="F80" s="431"/>
      <c r="G80" s="1751"/>
      <c r="H80" s="1152"/>
      <c r="I80" s="1783"/>
      <c r="J80" s="1152"/>
      <c r="K80" s="1783"/>
      <c r="L80" s="1152"/>
      <c r="M80" s="1783"/>
      <c r="N80" s="1152"/>
      <c r="O80" s="1783"/>
      <c r="P80" s="1152"/>
      <c r="Q80" s="1783"/>
      <c r="R80" s="1152"/>
      <c r="S80" s="1783"/>
      <c r="T80" s="1152"/>
      <c r="U80" s="1783"/>
    </row>
    <row r="81" spans="1:21">
      <c r="A81" s="1589"/>
      <c r="B81" s="1299" t="s">
        <v>2523</v>
      </c>
      <c r="C81" s="23" t="s">
        <v>2524</v>
      </c>
      <c r="D81" s="87"/>
      <c r="E81" s="86"/>
      <c r="F81" s="431"/>
      <c r="G81" s="1751"/>
      <c r="H81" s="1152"/>
      <c r="I81" s="1783"/>
      <c r="J81" s="1152"/>
      <c r="K81" s="1783"/>
      <c r="L81" s="1152"/>
      <c r="M81" s="1783"/>
      <c r="N81" s="1152"/>
      <c r="O81" s="1783"/>
      <c r="P81" s="1152"/>
      <c r="Q81" s="1783"/>
      <c r="R81" s="1152"/>
      <c r="S81" s="1783"/>
      <c r="T81" s="1152"/>
      <c r="U81" s="1783"/>
    </row>
    <row r="82" spans="1:21">
      <c r="A82" s="1589"/>
      <c r="B82" s="1299" t="s">
        <v>2525</v>
      </c>
      <c r="C82" s="23"/>
      <c r="D82" s="87"/>
      <c r="E82" s="86"/>
      <c r="F82" s="431"/>
      <c r="G82" s="1751"/>
      <c r="H82" s="1152" t="s">
        <v>727</v>
      </c>
      <c r="I82" s="1783"/>
      <c r="J82" s="1152" t="s">
        <v>727</v>
      </c>
      <c r="K82" s="1783"/>
      <c r="L82" s="1152" t="s">
        <v>727</v>
      </c>
      <c r="M82" s="1783"/>
      <c r="N82" s="1152" t="s">
        <v>727</v>
      </c>
      <c r="O82" s="1783"/>
      <c r="P82" s="1152" t="s">
        <v>727</v>
      </c>
      <c r="Q82" s="1783"/>
      <c r="R82" s="1152" t="s">
        <v>727</v>
      </c>
      <c r="S82" s="1783"/>
      <c r="T82" s="1152"/>
      <c r="U82" s="1783"/>
    </row>
    <row r="83" spans="1:21">
      <c r="A83" s="1589"/>
      <c r="B83" s="1299" t="s">
        <v>2526</v>
      </c>
      <c r="C83" s="23"/>
      <c r="D83" s="87"/>
      <c r="E83" s="86"/>
      <c r="F83" s="431"/>
      <c r="G83" s="1751"/>
      <c r="H83" s="1301"/>
      <c r="I83" s="1783"/>
      <c r="J83" s="1301"/>
      <c r="K83" s="1783"/>
      <c r="L83" s="1301"/>
      <c r="M83" s="1783"/>
      <c r="N83" s="1301"/>
      <c r="O83" s="1783"/>
      <c r="P83" s="1301"/>
      <c r="Q83" s="1783"/>
      <c r="R83" s="1301"/>
      <c r="S83" s="1783"/>
      <c r="T83" s="1152"/>
      <c r="U83" s="1783"/>
    </row>
    <row r="84" spans="1:21">
      <c r="A84" s="1589"/>
      <c r="B84" s="1299" t="s">
        <v>2527</v>
      </c>
      <c r="C84" s="23"/>
      <c r="D84" s="87"/>
      <c r="E84" s="86"/>
      <c r="F84" s="431"/>
      <c r="G84" s="1751"/>
      <c r="H84" s="1152" t="s">
        <v>727</v>
      </c>
      <c r="I84" s="1783"/>
      <c r="J84" s="1152" t="s">
        <v>727</v>
      </c>
      <c r="K84" s="1783"/>
      <c r="L84" s="1152" t="s">
        <v>727</v>
      </c>
      <c r="M84" s="1783"/>
      <c r="N84" s="1152" t="s">
        <v>727</v>
      </c>
      <c r="O84" s="1783"/>
      <c r="P84" s="1152" t="s">
        <v>727</v>
      </c>
      <c r="Q84" s="1783"/>
      <c r="R84" s="1152" t="s">
        <v>727</v>
      </c>
      <c r="S84" s="1783"/>
      <c r="T84" s="1152"/>
      <c r="U84" s="1783"/>
    </row>
    <row r="85" spans="1:21">
      <c r="A85" s="1589"/>
      <c r="B85" s="1299" t="s">
        <v>2528</v>
      </c>
      <c r="C85" s="23"/>
      <c r="D85" s="87"/>
      <c r="E85" s="86"/>
      <c r="F85" s="431"/>
      <c r="G85" s="1751"/>
      <c r="H85" s="1301"/>
      <c r="I85" s="1783"/>
      <c r="J85" s="1301"/>
      <c r="K85" s="1783"/>
      <c r="L85" s="1301"/>
      <c r="M85" s="1783"/>
      <c r="N85" s="1301"/>
      <c r="O85" s="1783"/>
      <c r="P85" s="1301"/>
      <c r="Q85" s="1783"/>
      <c r="R85" s="1301"/>
      <c r="S85" s="1783"/>
      <c r="T85" s="1152"/>
      <c r="U85" s="1783"/>
    </row>
    <row r="86" spans="1:21">
      <c r="A86" s="1589"/>
      <c r="B86" s="1299" t="s">
        <v>2529</v>
      </c>
      <c r="C86" s="23"/>
      <c r="D86" s="87"/>
      <c r="E86" s="86"/>
      <c r="F86" s="431"/>
      <c r="G86" s="1751"/>
      <c r="H86" s="1152" t="s">
        <v>727</v>
      </c>
      <c r="I86" s="1783"/>
      <c r="J86" s="1152" t="s">
        <v>727</v>
      </c>
      <c r="K86" s="1783"/>
      <c r="L86" s="1152" t="s">
        <v>727</v>
      </c>
      <c r="M86" s="1783"/>
      <c r="N86" s="1152" t="s">
        <v>727</v>
      </c>
      <c r="O86" s="1783"/>
      <c r="P86" s="1152" t="s">
        <v>727</v>
      </c>
      <c r="Q86" s="1783"/>
      <c r="R86" s="1152" t="s">
        <v>727</v>
      </c>
      <c r="S86" s="1783"/>
      <c r="T86" s="1152"/>
      <c r="U86" s="1783"/>
    </row>
    <row r="87" spans="1:21">
      <c r="A87" s="1589"/>
      <c r="B87" s="1299" t="s">
        <v>2530</v>
      </c>
      <c r="C87" s="23"/>
      <c r="D87" s="87"/>
      <c r="E87" s="86"/>
      <c r="F87" s="431"/>
      <c r="G87" s="1751"/>
      <c r="H87" s="1301"/>
      <c r="I87" s="1783"/>
      <c r="J87" s="1301"/>
      <c r="K87" s="1783"/>
      <c r="L87" s="1301"/>
      <c r="M87" s="1783"/>
      <c r="N87" s="1301"/>
      <c r="O87" s="1783"/>
      <c r="P87" s="1301"/>
      <c r="Q87" s="1783"/>
      <c r="R87" s="1301"/>
      <c r="S87" s="1783"/>
      <c r="T87" s="1152"/>
      <c r="U87" s="1783"/>
    </row>
    <row r="88" spans="1:21">
      <c r="A88" s="1589"/>
      <c r="B88" s="1299" t="s">
        <v>2531</v>
      </c>
      <c r="C88" s="23"/>
      <c r="D88" s="87"/>
      <c r="E88" s="86"/>
      <c r="F88" s="431"/>
      <c r="G88" s="1751"/>
      <c r="H88" s="1301" t="s">
        <v>727</v>
      </c>
      <c r="I88" s="1783"/>
      <c r="J88" s="1301" t="s">
        <v>727</v>
      </c>
      <c r="K88" s="1783"/>
      <c r="L88" s="1301" t="s">
        <v>727</v>
      </c>
      <c r="M88" s="1783"/>
      <c r="N88" s="1301" t="s">
        <v>727</v>
      </c>
      <c r="O88" s="1783"/>
      <c r="P88" s="1301" t="s">
        <v>727</v>
      </c>
      <c r="Q88" s="1783"/>
      <c r="R88" s="1301" t="s">
        <v>727</v>
      </c>
      <c r="S88" s="1783"/>
      <c r="T88" s="1152"/>
      <c r="U88" s="1783"/>
    </row>
    <row r="89" spans="1:21">
      <c r="A89" s="1589"/>
      <c r="B89" s="1299" t="s">
        <v>2532</v>
      </c>
      <c r="C89" s="23"/>
      <c r="D89" s="87"/>
      <c r="E89" s="86"/>
      <c r="F89" s="431"/>
      <c r="G89" s="1751"/>
      <c r="H89" s="1152"/>
      <c r="I89" s="1783"/>
      <c r="J89" s="1152"/>
      <c r="K89" s="1783"/>
      <c r="L89" s="1152"/>
      <c r="M89" s="1783"/>
      <c r="N89" s="1152"/>
      <c r="O89" s="1783"/>
      <c r="P89" s="1152"/>
      <c r="Q89" s="1783"/>
      <c r="R89" s="1152"/>
      <c r="S89" s="1783">
        <v>23200</v>
      </c>
      <c r="T89" s="1152"/>
      <c r="U89" s="1783"/>
    </row>
    <row r="90" spans="1:21">
      <c r="A90" s="1589"/>
      <c r="B90" s="1299" t="s">
        <v>2533</v>
      </c>
      <c r="C90" s="23"/>
      <c r="D90" s="87"/>
      <c r="E90" s="86"/>
      <c r="F90" s="431"/>
      <c r="G90" s="1751"/>
      <c r="H90" s="1152"/>
      <c r="I90" s="1783"/>
      <c r="J90" s="1152"/>
      <c r="K90" s="1783"/>
      <c r="L90" s="1152"/>
      <c r="M90" s="1783"/>
      <c r="N90" s="1152"/>
      <c r="O90" s="1783"/>
      <c r="P90" s="1152"/>
      <c r="Q90" s="1783"/>
      <c r="R90" s="1152"/>
      <c r="S90" s="1783">
        <f>-53700-22600</f>
        <v>-76300</v>
      </c>
      <c r="T90" s="1152"/>
      <c r="U90" s="1783"/>
    </row>
    <row r="91" spans="1:21">
      <c r="A91" s="1589"/>
      <c r="B91" s="1299"/>
      <c r="C91" s="23"/>
      <c r="D91" s="87"/>
      <c r="E91" s="86"/>
      <c r="F91" s="431"/>
      <c r="G91" s="1751"/>
      <c r="H91" s="1152"/>
      <c r="I91" s="1783"/>
      <c r="J91" s="1152"/>
      <c r="K91" s="1783"/>
      <c r="L91" s="1152"/>
      <c r="M91" s="1783"/>
      <c r="N91" s="1152"/>
      <c r="O91" s="1783"/>
      <c r="P91" s="1152"/>
      <c r="Q91" s="1783"/>
      <c r="R91" s="1152"/>
      <c r="S91" s="1783"/>
      <c r="T91" s="1152"/>
      <c r="U91" s="1783"/>
    </row>
    <row r="92" spans="1:21">
      <c r="A92" s="1589"/>
      <c r="B92" s="1300" t="s">
        <v>975</v>
      </c>
      <c r="C92" s="23"/>
      <c r="D92" s="87"/>
      <c r="E92" s="86"/>
      <c r="F92" s="431"/>
      <c r="G92" s="1751"/>
      <c r="H92" s="1152"/>
      <c r="I92" s="1783"/>
      <c r="J92" s="1152"/>
      <c r="K92" s="1783"/>
      <c r="L92" s="1152"/>
      <c r="M92" s="1783"/>
      <c r="N92" s="1152"/>
      <c r="O92" s="1783"/>
      <c r="P92" s="1152"/>
      <c r="Q92" s="1783"/>
      <c r="R92" s="1152"/>
      <c r="S92" s="1783"/>
      <c r="T92" s="1152"/>
      <c r="U92" s="1783"/>
    </row>
    <row r="93" spans="1:21" ht="25.5">
      <c r="A93" s="1589"/>
      <c r="B93" s="1299" t="s">
        <v>2534</v>
      </c>
      <c r="C93" s="23" t="s">
        <v>2535</v>
      </c>
      <c r="D93" s="87"/>
      <c r="E93" s="86"/>
      <c r="F93" s="431"/>
      <c r="G93" s="1751"/>
      <c r="H93" s="1152" t="s">
        <v>727</v>
      </c>
      <c r="I93" s="1783"/>
      <c r="J93" s="1152" t="s">
        <v>727</v>
      </c>
      <c r="K93" s="1783"/>
      <c r="L93" s="1152" t="s">
        <v>727</v>
      </c>
      <c r="M93" s="1783"/>
      <c r="N93" s="1152" t="s">
        <v>727</v>
      </c>
      <c r="O93" s="1783"/>
      <c r="P93" s="1152" t="s">
        <v>727</v>
      </c>
      <c r="Q93" s="1783"/>
      <c r="R93" s="1152" t="s">
        <v>727</v>
      </c>
      <c r="S93" s="1783"/>
      <c r="T93" s="1152"/>
      <c r="U93" s="1783"/>
    </row>
    <row r="94" spans="1:21">
      <c r="A94" s="1589"/>
      <c r="B94" s="1299" t="s">
        <v>2536</v>
      </c>
      <c r="C94" s="23"/>
      <c r="D94" s="87"/>
      <c r="E94" s="86"/>
      <c r="F94" s="431"/>
      <c r="G94" s="1751"/>
      <c r="H94" s="1152" t="s">
        <v>727</v>
      </c>
      <c r="I94" s="1783"/>
      <c r="J94" s="1152" t="s">
        <v>727</v>
      </c>
      <c r="K94" s="1783"/>
      <c r="L94" s="1152" t="s">
        <v>727</v>
      </c>
      <c r="M94" s="1783"/>
      <c r="N94" s="1152" t="s">
        <v>727</v>
      </c>
      <c r="O94" s="1783"/>
      <c r="P94" s="1152" t="s">
        <v>727</v>
      </c>
      <c r="Q94" s="1783"/>
      <c r="R94" s="1152" t="s">
        <v>727</v>
      </c>
      <c r="S94" s="1783"/>
      <c r="T94" s="1152"/>
      <c r="U94" s="1783"/>
    </row>
    <row r="95" spans="1:21">
      <c r="A95" s="1589"/>
      <c r="B95" s="1299" t="s">
        <v>2537</v>
      </c>
      <c r="C95" s="23"/>
      <c r="D95" s="87"/>
      <c r="E95" s="86"/>
      <c r="F95" s="431"/>
      <c r="G95" s="1751"/>
      <c r="H95" s="1152" t="s">
        <v>727</v>
      </c>
      <c r="I95" s="1783"/>
      <c r="J95" s="1152" t="s">
        <v>727</v>
      </c>
      <c r="K95" s="1783"/>
      <c r="L95" s="1152" t="s">
        <v>727</v>
      </c>
      <c r="M95" s="1783"/>
      <c r="N95" s="1152" t="s">
        <v>727</v>
      </c>
      <c r="O95" s="1783"/>
      <c r="P95" s="1152" t="s">
        <v>727</v>
      </c>
      <c r="Q95" s="1783"/>
      <c r="R95" s="1152" t="s">
        <v>727</v>
      </c>
      <c r="S95" s="1783"/>
      <c r="T95" s="1152"/>
      <c r="U95" s="1783"/>
    </row>
    <row r="96" spans="1:21">
      <c r="A96" s="1589" t="s">
        <v>727</v>
      </c>
      <c r="B96" s="1299" t="s">
        <v>2538</v>
      </c>
      <c r="C96" s="23"/>
      <c r="D96" s="87"/>
      <c r="E96" s="86"/>
      <c r="F96" s="431"/>
      <c r="G96" s="1751"/>
      <c r="H96" s="1152" t="s">
        <v>727</v>
      </c>
      <c r="I96" s="1783"/>
      <c r="J96" s="1152" t="s">
        <v>727</v>
      </c>
      <c r="K96" s="1783"/>
      <c r="L96" s="1152" t="s">
        <v>727</v>
      </c>
      <c r="M96" s="1783"/>
      <c r="N96" s="1152" t="s">
        <v>727</v>
      </c>
      <c r="O96" s="1783"/>
      <c r="P96" s="1152" t="s">
        <v>727</v>
      </c>
      <c r="Q96" s="1783"/>
      <c r="R96" s="1152" t="s">
        <v>727</v>
      </c>
      <c r="S96" s="1783"/>
      <c r="T96" s="1152"/>
      <c r="U96" s="1783"/>
    </row>
    <row r="97" spans="1:21">
      <c r="A97" s="1589"/>
      <c r="B97" s="1299"/>
      <c r="C97" s="23"/>
      <c r="D97" s="87"/>
      <c r="E97" s="86"/>
      <c r="F97" s="431"/>
      <c r="G97" s="1751"/>
      <c r="H97" s="1152"/>
      <c r="I97" s="1783"/>
      <c r="J97" s="1152"/>
      <c r="K97" s="1783"/>
      <c r="L97" s="1152"/>
      <c r="M97" s="1783"/>
      <c r="N97" s="1152"/>
      <c r="O97" s="1783"/>
      <c r="P97" s="1152"/>
      <c r="Q97" s="1783"/>
      <c r="R97" s="1152"/>
      <c r="S97" s="1783"/>
      <c r="T97" s="1152"/>
      <c r="U97" s="1783"/>
    </row>
    <row r="98" spans="1:21">
      <c r="A98" s="1589"/>
      <c r="B98" s="1299"/>
      <c r="C98" s="23"/>
      <c r="D98" s="87"/>
      <c r="E98" s="86"/>
      <c r="F98" s="431"/>
      <c r="G98" s="1751"/>
      <c r="H98" s="1152"/>
      <c r="I98" s="1783"/>
      <c r="J98" s="1152"/>
      <c r="K98" s="1783"/>
      <c r="L98" s="1152"/>
      <c r="M98" s="1783"/>
      <c r="N98" s="1152"/>
      <c r="O98" s="1783"/>
      <c r="P98" s="1152"/>
      <c r="Q98" s="1783"/>
      <c r="R98" s="1152"/>
      <c r="S98" s="1783"/>
      <c r="T98" s="1152"/>
      <c r="U98" s="1783"/>
    </row>
    <row r="99" spans="1:21">
      <c r="A99" s="1589"/>
      <c r="B99" s="989" t="s">
        <v>2539</v>
      </c>
      <c r="C99" s="23"/>
      <c r="D99" s="87"/>
      <c r="E99" s="86"/>
      <c r="F99" s="431"/>
      <c r="G99" s="1751"/>
      <c r="H99" s="1301" t="s">
        <v>1035</v>
      </c>
      <c r="I99" s="1783">
        <v>20000</v>
      </c>
      <c r="J99" s="1301" t="s">
        <v>1035</v>
      </c>
      <c r="K99" s="1783">
        <v>20000</v>
      </c>
      <c r="L99" s="1301" t="s">
        <v>1035</v>
      </c>
      <c r="M99" s="1783">
        <v>20000</v>
      </c>
      <c r="N99" s="1301" t="s">
        <v>1035</v>
      </c>
      <c r="O99" s="1783">
        <v>20000</v>
      </c>
      <c r="P99" s="1301" t="s">
        <v>1035</v>
      </c>
      <c r="Q99" s="1783">
        <v>20000</v>
      </c>
      <c r="R99" s="1152"/>
      <c r="S99" s="1783">
        <f>Q99</f>
        <v>20000</v>
      </c>
      <c r="T99" s="1152"/>
      <c r="U99" s="1783">
        <f>S99</f>
        <v>20000</v>
      </c>
    </row>
    <row r="100" spans="1:21">
      <c r="A100" s="1589"/>
      <c r="B100" s="989" t="s">
        <v>2540</v>
      </c>
      <c r="C100" s="23"/>
      <c r="D100" s="87"/>
      <c r="E100" s="86"/>
      <c r="F100" s="431"/>
      <c r="G100" s="1751"/>
      <c r="H100" s="1301" t="s">
        <v>1035</v>
      </c>
      <c r="I100" s="1783">
        <v>10000</v>
      </c>
      <c r="J100" s="1301" t="s">
        <v>1035</v>
      </c>
      <c r="K100" s="1783">
        <v>10000</v>
      </c>
      <c r="L100" s="1301" t="s">
        <v>1035</v>
      </c>
      <c r="M100" s="1783">
        <f>K100</f>
        <v>10000</v>
      </c>
      <c r="N100" s="1301" t="s">
        <v>1035</v>
      </c>
      <c r="O100" s="1783">
        <f>M100</f>
        <v>10000</v>
      </c>
      <c r="P100" s="1301" t="s">
        <v>1035</v>
      </c>
      <c r="Q100" s="1783">
        <f>M100</f>
        <v>10000</v>
      </c>
      <c r="R100" s="1152"/>
      <c r="S100" s="1783">
        <f>Q100</f>
        <v>10000</v>
      </c>
      <c r="T100" s="1152"/>
      <c r="U100" s="1783">
        <f>S100</f>
        <v>10000</v>
      </c>
    </row>
    <row r="101" spans="1:21">
      <c r="A101" s="1589"/>
      <c r="B101" s="1299"/>
      <c r="C101" s="23"/>
      <c r="D101" s="87"/>
      <c r="E101" s="86"/>
      <c r="F101" s="431"/>
      <c r="G101" s="830"/>
      <c r="H101" s="1152"/>
      <c r="I101" s="1783"/>
      <c r="J101" s="1152"/>
      <c r="K101" s="1783"/>
      <c r="L101" s="1152"/>
      <c r="M101" s="1783"/>
      <c r="N101" s="1152"/>
      <c r="O101" s="1783"/>
      <c r="P101" s="1152"/>
      <c r="Q101" s="1783"/>
      <c r="R101" s="1152"/>
      <c r="S101" s="1783"/>
      <c r="T101" s="1152"/>
      <c r="U101" s="1783"/>
    </row>
    <row r="102" spans="1:21">
      <c r="A102" s="1589"/>
      <c r="B102" s="1299" t="s">
        <v>2541</v>
      </c>
      <c r="C102" s="23"/>
      <c r="D102" s="87"/>
      <c r="E102" s="86"/>
      <c r="F102" s="431"/>
      <c r="G102" s="830"/>
      <c r="H102" s="1152" t="s">
        <v>727</v>
      </c>
      <c r="I102" s="1783"/>
      <c r="J102" s="1152" t="s">
        <v>727</v>
      </c>
      <c r="K102" s="1783"/>
      <c r="L102" s="1152" t="s">
        <v>727</v>
      </c>
      <c r="M102" s="1783"/>
      <c r="N102" s="1152" t="s">
        <v>727</v>
      </c>
      <c r="O102" s="1783"/>
      <c r="P102" s="1152" t="s">
        <v>727</v>
      </c>
      <c r="Q102" s="1783"/>
      <c r="R102" s="1152"/>
      <c r="S102" s="1783"/>
      <c r="T102" s="1152"/>
      <c r="U102" s="1783"/>
    </row>
    <row r="103" spans="1:21">
      <c r="A103" s="1589"/>
      <c r="B103" s="1299"/>
      <c r="C103" s="23"/>
      <c r="D103" s="87"/>
      <c r="E103" s="86"/>
      <c r="F103" s="431"/>
      <c r="G103" s="830"/>
      <c r="H103" s="1152"/>
      <c r="I103" s="1783"/>
      <c r="J103" s="1152"/>
      <c r="K103" s="1783"/>
      <c r="L103" s="1152"/>
      <c r="M103" s="1783"/>
      <c r="N103" s="1152"/>
      <c r="O103" s="1783"/>
      <c r="P103" s="1152"/>
      <c r="Q103" s="1783"/>
      <c r="R103" s="1152"/>
      <c r="S103" s="1783"/>
      <c r="T103" s="1152"/>
      <c r="U103" s="1783"/>
    </row>
    <row r="104" spans="1:21" ht="25.5">
      <c r="A104" s="1589"/>
      <c r="B104" s="1299" t="s">
        <v>2542</v>
      </c>
      <c r="C104" s="23"/>
      <c r="D104" s="87"/>
      <c r="E104" s="86"/>
      <c r="F104" s="431"/>
      <c r="G104" s="830"/>
      <c r="H104" s="1152"/>
      <c r="I104" s="1783">
        <v>250000</v>
      </c>
      <c r="J104" s="1152"/>
      <c r="K104" s="1783">
        <v>250000</v>
      </c>
      <c r="L104" s="1152"/>
      <c r="M104" s="1783">
        <v>250000</v>
      </c>
      <c r="N104" s="1152" t="s">
        <v>727</v>
      </c>
      <c r="O104" s="1783">
        <v>250000</v>
      </c>
      <c r="P104" s="1152"/>
      <c r="Q104" s="1783">
        <v>250000</v>
      </c>
      <c r="R104" s="1152"/>
      <c r="S104" s="1783">
        <f>Q104</f>
        <v>250000</v>
      </c>
      <c r="T104" s="1152"/>
      <c r="U104" s="1783">
        <f>S104</f>
        <v>250000</v>
      </c>
    </row>
    <row r="105" spans="1:21">
      <c r="A105" s="1589"/>
      <c r="B105" s="1299" t="s">
        <v>1448</v>
      </c>
      <c r="C105" s="23"/>
      <c r="D105" s="87"/>
      <c r="E105" s="86"/>
      <c r="F105" s="431"/>
      <c r="G105" s="830"/>
      <c r="H105" s="1152"/>
      <c r="I105" s="1783"/>
      <c r="J105" s="1152"/>
      <c r="K105" s="1783"/>
      <c r="L105" s="1152"/>
      <c r="M105" s="1783"/>
      <c r="N105" s="1152"/>
      <c r="O105" s="1783"/>
      <c r="P105" s="1152"/>
      <c r="Q105" s="1783"/>
      <c r="R105" s="1152"/>
      <c r="S105" s="1783"/>
      <c r="T105" s="1152"/>
      <c r="U105" s="1783"/>
    </row>
    <row r="106" spans="1:21" ht="15.75" thickBot="1">
      <c r="A106" s="1589"/>
      <c r="B106" s="1299"/>
      <c r="C106" s="23"/>
      <c r="D106" s="87"/>
      <c r="E106" s="86"/>
      <c r="F106" s="431"/>
      <c r="G106" s="830"/>
      <c r="H106" s="1152"/>
      <c r="I106" s="1783"/>
      <c r="J106" s="1152"/>
      <c r="K106" s="1783"/>
      <c r="L106" s="1152"/>
      <c r="M106" s="1783"/>
      <c r="N106" s="1152"/>
      <c r="O106" s="1783"/>
      <c r="P106" s="1152"/>
      <c r="Q106" s="1783"/>
      <c r="R106" s="1152"/>
      <c r="S106" s="1783"/>
      <c r="T106" s="1152"/>
      <c r="U106" s="1783"/>
    </row>
    <row r="107" spans="1:21" ht="15.75" thickTop="1">
      <c r="A107" s="296"/>
      <c r="B107" s="301"/>
      <c r="C107" s="297"/>
      <c r="D107" s="15"/>
      <c r="E107" s="16"/>
      <c r="F107" s="282" t="s">
        <v>753</v>
      </c>
      <c r="G107" s="272"/>
      <c r="H107" s="273"/>
      <c r="I107" s="273">
        <f>SUM(I12:I106)</f>
        <v>9828000</v>
      </c>
      <c r="J107" s="273"/>
      <c r="K107" s="273">
        <f>SUM(K12:K106)</f>
        <v>13790000</v>
      </c>
      <c r="L107" s="273"/>
      <c r="M107" s="273">
        <f>SUM(M12:M106)</f>
        <v>14771471</v>
      </c>
      <c r="N107" s="273"/>
      <c r="O107" s="273">
        <f>SUM(O12:O106)</f>
        <v>15357917</v>
      </c>
      <c r="P107" s="273"/>
      <c r="Q107" s="273">
        <f>SUM(Q12:Q106)</f>
        <v>18180000</v>
      </c>
      <c r="R107" s="273"/>
      <c r="S107" s="273">
        <f>SUM(S12:S106)</f>
        <v>12146271</v>
      </c>
      <c r="T107" s="273"/>
      <c r="U107" s="273">
        <f>SUM(U12:U106)</f>
        <v>8722121</v>
      </c>
    </row>
    <row r="108" spans="1:21">
      <c r="A108" s="1114"/>
      <c r="B108" s="1115"/>
      <c r="C108" s="432"/>
      <c r="D108" s="433"/>
      <c r="E108" s="434"/>
      <c r="F108" s="435" t="s">
        <v>754</v>
      </c>
      <c r="G108" s="436"/>
      <c r="H108" s="1956">
        <v>5.0000000000000001E-3</v>
      </c>
      <c r="I108" s="1117"/>
      <c r="J108" s="1116">
        <v>0</v>
      </c>
      <c r="K108" s="1117"/>
      <c r="L108" s="1116">
        <v>0</v>
      </c>
      <c r="M108" s="1117"/>
      <c r="N108" s="1116">
        <v>0</v>
      </c>
      <c r="O108" s="1117"/>
      <c r="P108" s="1116">
        <v>0</v>
      </c>
      <c r="Q108" s="1117"/>
      <c r="R108" s="1116">
        <v>0</v>
      </c>
      <c r="S108" s="1117"/>
      <c r="T108" s="1116">
        <v>0.02</v>
      </c>
      <c r="U108" s="1117"/>
    </row>
    <row r="109" spans="1:21">
      <c r="A109" s="1114"/>
      <c r="B109" s="1115"/>
      <c r="C109" s="432"/>
      <c r="D109" s="433"/>
      <c r="E109" s="434"/>
      <c r="F109" s="435" t="s">
        <v>755</v>
      </c>
      <c r="G109" s="436"/>
      <c r="H109" s="1117"/>
      <c r="I109" s="1117">
        <f>I107*H108</f>
        <v>49140</v>
      </c>
      <c r="J109" s="1117"/>
      <c r="K109" s="1117">
        <f>K107*J108</f>
        <v>0</v>
      </c>
      <c r="L109" s="1117"/>
      <c r="M109" s="1117">
        <f>M107*L108</f>
        <v>0</v>
      </c>
      <c r="N109" s="1117"/>
      <c r="O109" s="1117">
        <f>O107*N108</f>
        <v>0</v>
      </c>
      <c r="P109" s="1117"/>
      <c r="Q109" s="1117">
        <f>Q107*P108</f>
        <v>0</v>
      </c>
      <c r="R109" s="1117"/>
      <c r="S109" s="1117">
        <f>S107*R108</f>
        <v>0</v>
      </c>
      <c r="T109" s="1117"/>
      <c r="U109" s="1117">
        <f>U107*T108</f>
        <v>174442.42</v>
      </c>
    </row>
    <row r="110" spans="1:21">
      <c r="A110" s="1114"/>
      <c r="B110" s="1115"/>
      <c r="C110" s="432"/>
      <c r="D110" s="433"/>
      <c r="E110" s="434"/>
      <c r="F110" s="435"/>
      <c r="G110" s="436"/>
      <c r="H110" s="1117"/>
      <c r="I110" s="1117"/>
      <c r="J110" s="1117"/>
      <c r="K110" s="1117"/>
      <c r="L110" s="1117"/>
      <c r="M110" s="1117"/>
      <c r="N110" s="1117"/>
      <c r="O110" s="1117"/>
      <c r="P110" s="1117"/>
      <c r="Q110" s="1117"/>
      <c r="R110" s="1117"/>
      <c r="S110" s="1117"/>
      <c r="T110" s="1117"/>
      <c r="U110" s="1117"/>
    </row>
    <row r="111" spans="1:21">
      <c r="A111" s="1114"/>
      <c r="B111" s="1115"/>
      <c r="C111" s="432"/>
      <c r="D111" s="433"/>
      <c r="E111" s="434"/>
      <c r="F111" s="435" t="s">
        <v>756</v>
      </c>
      <c r="G111" s="436"/>
      <c r="H111" s="1117"/>
      <c r="I111" s="1117">
        <f>SUM(I107:I109)</f>
        <v>9877140</v>
      </c>
      <c r="J111" s="1117"/>
      <c r="K111" s="1117">
        <f>SUM(K107:K109)</f>
        <v>13790000</v>
      </c>
      <c r="L111" s="1117"/>
      <c r="M111" s="1117">
        <f>SUM(M107:M109)</f>
        <v>14771471</v>
      </c>
      <c r="N111" s="1117"/>
      <c r="O111" s="1117">
        <f>SUM(O107:O109)</f>
        <v>15357917</v>
      </c>
      <c r="P111" s="1117"/>
      <c r="Q111" s="1117">
        <f>SUM(Q107:Q109)</f>
        <v>18180000</v>
      </c>
      <c r="R111" s="1117"/>
      <c r="S111" s="1117">
        <f>SUM(S107:S109)</f>
        <v>12146271</v>
      </c>
      <c r="T111" s="1117"/>
      <c r="U111" s="1117">
        <f>SUM(U107:U109)</f>
        <v>8896563.4199999999</v>
      </c>
    </row>
    <row r="112" spans="1:21">
      <c r="A112" s="1114"/>
      <c r="B112" s="1115"/>
      <c r="C112" s="432"/>
      <c r="D112" s="433"/>
      <c r="E112" s="434"/>
      <c r="F112" s="437" t="s">
        <v>757</v>
      </c>
      <c r="G112" s="438"/>
      <c r="H112" s="1118"/>
      <c r="I112" s="1118">
        <f>I111/'Area Calculations'!$G$4</f>
        <v>17.068898478043351</v>
      </c>
      <c r="J112" s="1118"/>
      <c r="K112" s="1118">
        <f>K111/'Area Calculations'!$G$4</f>
        <v>23.830796162878912</v>
      </c>
      <c r="L112" s="1118"/>
      <c r="M112" s="1118">
        <f>M111/'Area Calculations'!$G$4</f>
        <v>25.526897347851857</v>
      </c>
      <c r="N112" s="1118"/>
      <c r="O112" s="1118">
        <f>O111/'Area Calculations'!$G$4</f>
        <v>26.54034731786895</v>
      </c>
      <c r="P112" s="1118"/>
      <c r="Q112" s="1118">
        <f>Q111/'Area Calculations'!$G$4</f>
        <v>31.417249763679379</v>
      </c>
      <c r="R112" s="1118"/>
      <c r="S112" s="1118">
        <f>S111/'Area Calculations'!$G$4</f>
        <v>20.990232657004164</v>
      </c>
      <c r="T112" s="1118"/>
      <c r="U112" s="1118">
        <f>U111/'Area Calculations'!$G$4</f>
        <v>15.374342959546402</v>
      </c>
    </row>
    <row r="113" spans="1:36">
      <c r="A113" s="1114"/>
      <c r="B113" s="1115"/>
      <c r="C113" s="432"/>
      <c r="D113" s="433"/>
      <c r="E113" s="434"/>
      <c r="F113" s="437" t="s">
        <v>758</v>
      </c>
      <c r="G113" s="438"/>
      <c r="H113" s="1118"/>
      <c r="I113" s="1118">
        <f>I111/'Area Calculations'!$G$9</f>
        <v>92309.719626168226</v>
      </c>
      <c r="J113" s="1118"/>
      <c r="K113" s="1118">
        <f>K111/'Area Calculations'!$G$9</f>
        <v>128878.50467289719</v>
      </c>
      <c r="L113" s="1118"/>
      <c r="M113" s="1118">
        <f>M111/'Area Calculations'!$G$9</f>
        <v>138051.13084112148</v>
      </c>
      <c r="N113" s="1118"/>
      <c r="O113" s="1118">
        <f>O111/'Area Calculations'!$G$9</f>
        <v>143531.93457943926</v>
      </c>
      <c r="P113" s="1118"/>
      <c r="Q113" s="1118">
        <f>Q111/'Area Calculations'!$G$9</f>
        <v>169906.54205607477</v>
      </c>
      <c r="R113" s="1118"/>
      <c r="S113" s="1118">
        <f>S111/'Area Calculations'!$G$9</f>
        <v>113516.55140186916</v>
      </c>
      <c r="T113" s="1118"/>
      <c r="U113" s="1118">
        <f>U111/'Area Calculations'!$G$9</f>
        <v>83145.452523364482</v>
      </c>
    </row>
    <row r="114" spans="1:36" ht="15.75" thickBot="1">
      <c r="A114" s="1114"/>
      <c r="B114" s="1115"/>
      <c r="C114" s="432"/>
      <c r="D114" s="433"/>
      <c r="E114" s="434"/>
      <c r="F114" s="439"/>
      <c r="G114" s="436"/>
      <c r="H114" s="1119"/>
      <c r="I114" s="1119"/>
      <c r="J114" s="1119"/>
      <c r="K114" s="1119"/>
      <c r="L114" s="1119"/>
      <c r="M114" s="1119"/>
      <c r="N114" s="1119"/>
      <c r="O114" s="1119"/>
      <c r="P114" s="1119"/>
      <c r="Q114" s="1119"/>
      <c r="R114" s="1119"/>
      <c r="S114" s="1119"/>
      <c r="T114" s="1119"/>
      <c r="U114" s="1119"/>
    </row>
    <row r="115" spans="1:36" ht="16.5" thickTop="1" thickBot="1">
      <c r="A115" s="2331" t="s">
        <v>759</v>
      </c>
      <c r="B115" s="2332"/>
      <c r="C115" s="298"/>
      <c r="D115" s="12"/>
      <c r="E115" s="12"/>
      <c r="F115" s="12"/>
      <c r="G115" s="26"/>
      <c r="H115" s="24"/>
      <c r="I115" s="20"/>
      <c r="J115" s="24"/>
      <c r="K115" s="20"/>
      <c r="L115" s="20"/>
      <c r="M115" s="20"/>
      <c r="N115" s="20"/>
      <c r="O115" s="20"/>
      <c r="P115" s="20"/>
      <c r="Q115" s="20"/>
      <c r="R115" s="20"/>
      <c r="S115" s="20"/>
      <c r="T115" s="20"/>
      <c r="U115" s="20"/>
    </row>
    <row r="116" spans="1:36" ht="15.75" thickTop="1">
      <c r="A116" s="1580"/>
      <c r="B116" s="1307"/>
      <c r="C116" s="1396"/>
      <c r="D116" s="1740"/>
      <c r="E116" s="1740"/>
      <c r="F116" s="1740"/>
      <c r="G116" s="1722"/>
      <c r="H116" s="1775"/>
      <c r="I116" s="1906"/>
      <c r="J116" s="1775"/>
      <c r="K116" s="1906"/>
      <c r="L116" s="1906"/>
      <c r="M116" s="1906"/>
      <c r="N116" s="1906"/>
      <c r="O116" s="1906"/>
      <c r="P116" s="1906"/>
      <c r="Q116" s="1906"/>
      <c r="R116" s="1906"/>
      <c r="S116" s="1906"/>
      <c r="T116" s="1906"/>
      <c r="U116" s="1906"/>
    </row>
    <row r="117" spans="1:36">
      <c r="A117" s="1580"/>
      <c r="B117" s="1307"/>
      <c r="C117" s="1396"/>
      <c r="D117" s="1740"/>
      <c r="E117" s="1740"/>
      <c r="F117" s="1740"/>
      <c r="G117" s="1722"/>
      <c r="H117" s="1775"/>
      <c r="I117" s="1906"/>
      <c r="J117" s="1775"/>
      <c r="K117" s="1906"/>
      <c r="L117" s="1906"/>
      <c r="M117" s="1957"/>
      <c r="N117" s="1906"/>
      <c r="O117" s="1906"/>
      <c r="P117" s="1906"/>
      <c r="Q117" s="1906"/>
      <c r="R117" s="1906"/>
      <c r="S117" s="1906"/>
      <c r="T117" s="1906"/>
      <c r="U117" s="1906"/>
    </row>
    <row r="118" spans="1:36" ht="15.75" thickBot="1">
      <c r="A118" s="1580"/>
      <c r="B118" s="1307"/>
      <c r="C118" s="1396"/>
      <c r="D118" s="1740"/>
      <c r="E118" s="1740"/>
      <c r="F118" s="1740"/>
      <c r="G118" s="1722"/>
      <c r="H118" s="1775"/>
      <c r="I118" s="1906"/>
      <c r="J118" s="1775"/>
      <c r="K118" s="1906"/>
      <c r="L118" s="1906"/>
      <c r="M118" s="1906"/>
      <c r="N118" s="1906"/>
      <c r="O118" s="1906"/>
      <c r="P118" s="1906"/>
      <c r="Q118" s="1906"/>
      <c r="R118" s="1906"/>
      <c r="S118" s="1906"/>
      <c r="T118" s="1906"/>
      <c r="U118" s="1906"/>
    </row>
    <row r="119" spans="1:36" s="2" customFormat="1" ht="16.5" thickTop="1" thickBot="1">
      <c r="A119" s="2331" t="s">
        <v>760</v>
      </c>
      <c r="B119" s="2332"/>
      <c r="C119" s="298"/>
      <c r="D119" s="12"/>
      <c r="E119" s="12"/>
      <c r="F119" s="12"/>
      <c r="G119" s="26"/>
      <c r="H119" s="24"/>
      <c r="I119" s="20"/>
      <c r="J119" s="24"/>
      <c r="K119" s="20"/>
      <c r="L119" s="20"/>
      <c r="M119" s="20"/>
      <c r="N119" s="20"/>
      <c r="O119" s="20"/>
      <c r="P119" s="20"/>
      <c r="Q119" s="20"/>
      <c r="R119" s="20"/>
      <c r="S119" s="20"/>
      <c r="T119" s="20"/>
      <c r="U119" s="20"/>
      <c r="V119"/>
      <c r="W119"/>
      <c r="X119"/>
      <c r="Y119"/>
      <c r="Z119"/>
      <c r="AA119"/>
      <c r="AB119"/>
      <c r="AC119"/>
      <c r="AD119"/>
      <c r="AE119"/>
      <c r="AF119"/>
      <c r="AG119"/>
      <c r="AH119"/>
      <c r="AI119"/>
      <c r="AJ119"/>
    </row>
    <row r="120" spans="1:36" s="2" customFormat="1" ht="15.75" thickTop="1">
      <c r="A120" s="1580"/>
      <c r="B120" s="1307"/>
      <c r="C120" s="1396"/>
      <c r="D120" s="1740"/>
      <c r="E120" s="1740"/>
      <c r="F120" s="1740"/>
      <c r="G120" s="1722"/>
      <c r="H120" s="1775"/>
      <c r="I120" s="1906"/>
      <c r="J120" s="1775"/>
      <c r="K120" s="1906"/>
      <c r="L120" s="1906"/>
      <c r="M120" s="1906"/>
      <c r="N120" s="1906"/>
      <c r="O120" s="1906"/>
      <c r="P120" s="1906"/>
      <c r="Q120" s="1906"/>
      <c r="R120" s="1906"/>
      <c r="S120" s="1906"/>
      <c r="T120" s="1906"/>
      <c r="U120" s="1906"/>
      <c r="V120"/>
      <c r="W120"/>
      <c r="X120"/>
      <c r="Y120"/>
      <c r="Z120"/>
      <c r="AA120"/>
      <c r="AB120"/>
      <c r="AC120"/>
      <c r="AD120"/>
      <c r="AE120"/>
      <c r="AF120"/>
      <c r="AG120"/>
      <c r="AH120"/>
      <c r="AI120"/>
      <c r="AJ120"/>
    </row>
    <row r="121" spans="1:36" s="2" customFormat="1">
      <c r="A121" s="1580"/>
      <c r="B121" s="1307"/>
      <c r="C121" s="1396"/>
      <c r="D121" s="1740"/>
      <c r="E121" s="1740"/>
      <c r="F121" s="1740"/>
      <c r="G121" s="1722"/>
      <c r="H121" s="1775"/>
      <c r="I121" s="1906"/>
      <c r="J121" s="1775"/>
      <c r="K121" s="1906"/>
      <c r="L121" s="1906"/>
      <c r="M121" s="1906"/>
      <c r="N121" s="1906"/>
      <c r="O121" s="1906"/>
      <c r="P121" s="1906"/>
      <c r="Q121" s="1906"/>
      <c r="R121" s="1906"/>
      <c r="S121" s="1906"/>
      <c r="T121" s="1906"/>
      <c r="U121" s="1906"/>
      <c r="V121"/>
      <c r="W121"/>
      <c r="X121"/>
      <c r="Y121"/>
      <c r="Z121"/>
      <c r="AA121"/>
      <c r="AB121"/>
      <c r="AC121"/>
      <c r="AD121"/>
      <c r="AE121"/>
      <c r="AF121"/>
      <c r="AG121"/>
      <c r="AH121"/>
      <c r="AI121"/>
      <c r="AJ121"/>
    </row>
    <row r="122" spans="1:36" ht="15.75" thickBot="1">
      <c r="A122" s="1580"/>
      <c r="B122" s="1307"/>
      <c r="C122" s="1396"/>
      <c r="D122" s="1740"/>
      <c r="E122" s="1740"/>
      <c r="F122" s="1740"/>
      <c r="G122" s="1722"/>
      <c r="H122" s="1775"/>
      <c r="I122" s="1906"/>
      <c r="J122" s="1775"/>
      <c r="K122" s="1906"/>
      <c r="L122" s="1906"/>
      <c r="M122" s="1906"/>
      <c r="N122" s="1906"/>
      <c r="O122" s="1906"/>
      <c r="P122" s="1906"/>
      <c r="Q122" s="1906"/>
      <c r="R122" s="1906"/>
      <c r="S122" s="1906"/>
      <c r="T122" s="1906"/>
      <c r="U122" s="1906"/>
    </row>
    <row r="123" spans="1:36" s="2" customFormat="1" ht="16.5" thickTop="1" thickBot="1">
      <c r="A123" s="2331" t="s">
        <v>761</v>
      </c>
      <c r="B123" s="2332"/>
      <c r="C123" s="298"/>
      <c r="D123" s="12"/>
      <c r="E123" s="12"/>
      <c r="F123" s="12"/>
      <c r="G123" s="26"/>
      <c r="H123" s="24"/>
      <c r="I123" s="20"/>
      <c r="J123" s="24"/>
      <c r="K123" s="20"/>
      <c r="L123" s="20"/>
      <c r="M123" s="20"/>
      <c r="N123" s="20"/>
      <c r="O123" s="20"/>
      <c r="P123" s="20"/>
      <c r="Q123" s="20"/>
      <c r="R123" s="20"/>
      <c r="S123" s="20"/>
      <c r="T123" s="20"/>
      <c r="U123" s="20"/>
      <c r="V123"/>
      <c r="W123"/>
      <c r="X123"/>
      <c r="Y123"/>
      <c r="Z123"/>
      <c r="AA123"/>
      <c r="AB123"/>
      <c r="AC123"/>
      <c r="AD123"/>
      <c r="AE123"/>
      <c r="AF123"/>
      <c r="AG123"/>
      <c r="AH123"/>
      <c r="AI123"/>
      <c r="AJ123"/>
    </row>
    <row r="124" spans="1:36" s="2" customFormat="1" ht="15.75" thickTop="1">
      <c r="A124" s="1580"/>
      <c r="B124" s="1307"/>
      <c r="C124" s="1396"/>
      <c r="D124" s="1740"/>
      <c r="E124" s="1740"/>
      <c r="F124" s="1740"/>
      <c r="G124" s="1722"/>
      <c r="H124" s="1775"/>
      <c r="I124" s="1906"/>
      <c r="J124" s="1775"/>
      <c r="K124" s="1906"/>
      <c r="L124" s="1906"/>
      <c r="M124" s="1906"/>
      <c r="N124" s="1906"/>
      <c r="O124" s="1906"/>
      <c r="P124" s="1906"/>
      <c r="Q124" s="1906"/>
      <c r="R124" s="1906"/>
      <c r="S124" s="1906"/>
      <c r="T124" s="1906"/>
      <c r="U124" s="1906"/>
      <c r="V124"/>
      <c r="W124"/>
      <c r="X124"/>
      <c r="Y124"/>
      <c r="Z124"/>
      <c r="AA124"/>
      <c r="AB124"/>
      <c r="AC124"/>
      <c r="AD124"/>
      <c r="AE124"/>
      <c r="AF124"/>
      <c r="AG124"/>
      <c r="AH124"/>
      <c r="AI124"/>
      <c r="AJ124"/>
    </row>
    <row r="125" spans="1:36" s="2" customFormat="1">
      <c r="A125" s="1124"/>
      <c r="B125" s="1307"/>
      <c r="C125" s="415"/>
      <c r="D125" s="422"/>
      <c r="E125" s="422"/>
      <c r="F125" s="422"/>
      <c r="G125" s="831"/>
      <c r="H125" s="440"/>
      <c r="I125" s="1125"/>
      <c r="J125" s="440"/>
      <c r="K125" s="1125"/>
      <c r="L125" s="1125"/>
      <c r="M125" s="1125"/>
      <c r="N125" s="1125"/>
      <c r="O125" s="1125"/>
      <c r="P125" s="1125"/>
      <c r="Q125" s="1125"/>
      <c r="R125" s="1125"/>
      <c r="S125" s="1125"/>
      <c r="T125" s="1125"/>
      <c r="U125" s="1125"/>
      <c r="V125"/>
      <c r="W125"/>
      <c r="X125"/>
      <c r="Y125"/>
      <c r="Z125"/>
      <c r="AA125"/>
      <c r="AB125"/>
      <c r="AC125"/>
      <c r="AD125"/>
      <c r="AE125"/>
      <c r="AF125"/>
      <c r="AG125"/>
      <c r="AH125"/>
      <c r="AI125"/>
      <c r="AJ125"/>
    </row>
    <row r="126" spans="1:36" s="2" customFormat="1" ht="15.75" thickBot="1">
      <c r="A126" s="1126"/>
      <c r="B126" s="1127"/>
      <c r="C126" s="415"/>
      <c r="D126" s="422"/>
      <c r="E126" s="422"/>
      <c r="F126" s="422"/>
      <c r="G126" s="831"/>
      <c r="H126" s="441"/>
      <c r="I126" s="1128"/>
      <c r="J126" s="441"/>
      <c r="K126" s="1128"/>
      <c r="L126" s="1128"/>
      <c r="M126" s="1128"/>
      <c r="N126" s="1128"/>
      <c r="O126" s="1128"/>
      <c r="P126" s="1128"/>
      <c r="Q126" s="1128"/>
      <c r="R126" s="1128"/>
      <c r="S126" s="1128"/>
      <c r="T126" s="1128"/>
      <c r="U126" s="1128"/>
    </row>
    <row r="127" spans="1:36" s="2" customFormat="1" ht="16.5" thickTop="1" thickBot="1">
      <c r="A127" s="2331" t="s">
        <v>762</v>
      </c>
      <c r="B127" s="2332"/>
      <c r="C127" s="298"/>
      <c r="D127" s="12"/>
      <c r="E127" s="12"/>
      <c r="F127" s="12"/>
      <c r="G127" s="26"/>
      <c r="H127" s="24"/>
      <c r="I127" s="20"/>
      <c r="J127" s="24"/>
      <c r="K127" s="20"/>
      <c r="L127" s="20"/>
      <c r="M127" s="20"/>
      <c r="N127" s="20"/>
      <c r="O127" s="20"/>
      <c r="P127" s="20"/>
      <c r="Q127" s="20"/>
      <c r="R127" s="20"/>
      <c r="S127" s="20"/>
      <c r="T127" s="20"/>
      <c r="U127" s="20"/>
      <c r="V127"/>
      <c r="W127"/>
      <c r="X127"/>
      <c r="Y127"/>
      <c r="Z127"/>
      <c r="AA127"/>
      <c r="AB127"/>
      <c r="AC127"/>
      <c r="AD127"/>
      <c r="AE127"/>
      <c r="AF127"/>
      <c r="AG127"/>
      <c r="AH127"/>
      <c r="AI127"/>
      <c r="AJ127"/>
    </row>
    <row r="128" spans="1:36" ht="15.75" thickTop="1">
      <c r="A128" s="1585"/>
      <c r="B128" s="1912"/>
      <c r="C128" s="1396"/>
      <c r="D128" s="1740"/>
      <c r="E128" s="1740"/>
      <c r="F128" s="1740"/>
      <c r="G128" s="1722"/>
      <c r="H128" s="1775"/>
      <c r="I128" s="1906"/>
      <c r="J128" s="1775"/>
      <c r="K128" s="1906"/>
      <c r="L128" s="1906"/>
      <c r="M128" s="1906"/>
      <c r="N128" s="1906"/>
      <c r="O128" s="1906"/>
      <c r="P128" s="1906"/>
      <c r="Q128" s="1906"/>
      <c r="R128" s="1906"/>
      <c r="S128" s="1906"/>
      <c r="T128" s="1906"/>
      <c r="U128" s="1906"/>
      <c r="V128" s="2"/>
      <c r="W128" s="2"/>
      <c r="X128" s="2"/>
      <c r="Y128" s="2"/>
      <c r="Z128" s="2"/>
      <c r="AA128" s="2"/>
      <c r="AB128" s="2"/>
      <c r="AC128" s="2"/>
      <c r="AD128" s="2"/>
      <c r="AE128" s="2"/>
      <c r="AF128" s="2"/>
      <c r="AG128" s="2"/>
      <c r="AH128" s="2"/>
      <c r="AI128" s="2"/>
      <c r="AJ128" s="2"/>
    </row>
    <row r="129" spans="1:36">
      <c r="A129" s="1126"/>
      <c r="B129" s="1127"/>
      <c r="C129" s="415"/>
      <c r="D129" s="422"/>
      <c r="E129" s="422"/>
      <c r="F129" s="422"/>
      <c r="G129" s="831"/>
      <c r="H129" s="442"/>
      <c r="I129" s="1131"/>
      <c r="J129" s="442"/>
      <c r="K129" s="1131"/>
      <c r="L129" s="1131"/>
      <c r="M129" s="1131"/>
      <c r="N129" s="1131"/>
      <c r="O129" s="1131"/>
      <c r="P129" s="1131"/>
      <c r="Q129" s="1131"/>
      <c r="R129" s="1131"/>
      <c r="S129" s="1131"/>
      <c r="T129" s="1131"/>
      <c r="U129" s="1131"/>
      <c r="V129" s="2"/>
      <c r="W129" s="2"/>
      <c r="X129" s="2"/>
      <c r="Y129" s="2"/>
      <c r="Z129" s="2"/>
      <c r="AA129" s="2"/>
      <c r="AB129" s="2"/>
      <c r="AC129" s="2"/>
      <c r="AD129" s="2"/>
      <c r="AE129" s="2"/>
      <c r="AF129" s="2"/>
      <c r="AG129" s="2"/>
      <c r="AH129" s="2"/>
      <c r="AI129" s="2"/>
      <c r="AJ129" s="2"/>
    </row>
    <row r="130" spans="1:36" ht="15.75" thickBot="1">
      <c r="A130" s="1126"/>
      <c r="B130" s="1127"/>
      <c r="C130" s="415"/>
      <c r="D130" s="422"/>
      <c r="E130" s="422"/>
      <c r="F130" s="422"/>
      <c r="G130" s="831"/>
      <c r="H130" s="442"/>
      <c r="I130" s="1131"/>
      <c r="J130" s="442"/>
      <c r="K130" s="1131"/>
      <c r="L130" s="1131"/>
      <c r="M130" s="1131"/>
      <c r="N130" s="1131"/>
      <c r="O130" s="1131"/>
      <c r="P130" s="1131"/>
      <c r="Q130" s="1131"/>
      <c r="R130" s="1131"/>
      <c r="S130" s="1131"/>
      <c r="T130" s="1131"/>
      <c r="U130" s="1131"/>
      <c r="V130" s="2"/>
      <c r="W130" s="2"/>
      <c r="X130" s="2"/>
      <c r="Y130" s="2"/>
      <c r="Z130" s="2"/>
      <c r="AA130" s="2"/>
      <c r="AB130" s="2"/>
      <c r="AC130" s="2"/>
      <c r="AD130" s="2"/>
      <c r="AE130" s="2"/>
      <c r="AF130" s="2"/>
      <c r="AG130" s="2"/>
      <c r="AH130" s="2"/>
      <c r="AI130" s="2"/>
      <c r="AJ130" s="2"/>
    </row>
    <row r="131" spans="1:36" ht="16.5" thickTop="1" thickBot="1">
      <c r="A131" s="2331" t="s">
        <v>763</v>
      </c>
      <c r="B131" s="2332"/>
      <c r="C131" s="298"/>
      <c r="D131" s="12"/>
      <c r="E131" s="12"/>
      <c r="F131" s="12"/>
      <c r="G131" s="26"/>
      <c r="H131" s="24"/>
      <c r="I131" s="20"/>
      <c r="J131" s="24"/>
      <c r="K131" s="20"/>
      <c r="L131" s="20"/>
      <c r="M131" s="20"/>
      <c r="N131" s="20"/>
      <c r="O131" s="20"/>
      <c r="P131" s="20"/>
      <c r="Q131" s="20"/>
      <c r="R131" s="20"/>
      <c r="S131" s="20"/>
      <c r="T131" s="20"/>
      <c r="U131" s="20"/>
    </row>
    <row r="132" spans="1:36" ht="15.75" thickTop="1">
      <c r="A132" s="1124"/>
      <c r="B132" s="1307" t="s">
        <v>764</v>
      </c>
      <c r="C132" s="415"/>
      <c r="D132" s="422"/>
      <c r="E132" s="422"/>
      <c r="F132" s="422"/>
      <c r="G132" s="831"/>
      <c r="H132" s="442"/>
      <c r="I132" s="1131"/>
      <c r="J132" s="442"/>
      <c r="K132" s="1131"/>
      <c r="L132" s="1131"/>
      <c r="M132" s="1131"/>
      <c r="N132" s="1131"/>
      <c r="O132" s="1131"/>
      <c r="P132" s="1131"/>
      <c r="Q132" s="1131"/>
      <c r="R132" s="1131"/>
      <c r="S132" s="1131"/>
      <c r="T132" s="1131"/>
      <c r="U132" s="1131"/>
    </row>
    <row r="133" spans="1:36">
      <c r="A133" s="1124"/>
      <c r="B133" s="1307" t="s">
        <v>765</v>
      </c>
      <c r="C133" s="415"/>
      <c r="D133" s="422"/>
      <c r="E133" s="422"/>
      <c r="F133" s="422"/>
      <c r="G133" s="831"/>
      <c r="H133" s="442"/>
      <c r="I133" s="1131"/>
      <c r="J133" s="442"/>
      <c r="K133" s="1131"/>
      <c r="L133" s="1131"/>
      <c r="M133" s="1131"/>
      <c r="N133" s="1131"/>
      <c r="O133" s="1131"/>
      <c r="P133" s="1131"/>
      <c r="Q133" s="1131"/>
      <c r="R133" s="1131"/>
      <c r="S133" s="1131"/>
      <c r="T133" s="1131"/>
      <c r="U133" s="1131"/>
    </row>
    <row r="134" spans="1:36">
      <c r="A134" s="1124"/>
      <c r="B134" s="1307" t="s">
        <v>766</v>
      </c>
      <c r="C134" s="415"/>
      <c r="D134" s="422"/>
      <c r="E134" s="422"/>
      <c r="F134" s="422"/>
      <c r="G134" s="831"/>
      <c r="H134" s="442"/>
      <c r="I134" s="1131"/>
      <c r="J134" s="442"/>
      <c r="K134" s="1131"/>
      <c r="L134" s="1131"/>
      <c r="M134" s="1131"/>
      <c r="N134" s="1131"/>
      <c r="O134" s="1131"/>
      <c r="P134" s="1131"/>
      <c r="Q134" s="1131"/>
      <c r="R134" s="1131"/>
      <c r="S134" s="1131"/>
      <c r="T134" s="1131"/>
      <c r="U134" s="1131"/>
    </row>
    <row r="135" spans="1:36">
      <c r="A135" s="1124"/>
      <c r="B135" s="1307" t="s">
        <v>767</v>
      </c>
      <c r="C135" s="415"/>
      <c r="D135" s="422"/>
      <c r="E135" s="422"/>
      <c r="F135" s="422"/>
      <c r="G135" s="831"/>
      <c r="H135" s="442"/>
      <c r="I135" s="1131"/>
      <c r="J135" s="442"/>
      <c r="K135" s="1131"/>
      <c r="L135" s="1131"/>
      <c r="M135" s="1131"/>
      <c r="N135" s="1131"/>
      <c r="O135" s="1131"/>
      <c r="P135" s="1131"/>
      <c r="Q135" s="1131"/>
      <c r="R135" s="1131"/>
      <c r="S135" s="1131"/>
      <c r="T135" s="1131"/>
      <c r="U135" s="1131"/>
    </row>
    <row r="136" spans="1:36" ht="15.75" thickBot="1">
      <c r="A136" s="443"/>
      <c r="B136" s="421"/>
      <c r="C136" s="23"/>
      <c r="D136" s="86"/>
      <c r="E136" s="86"/>
      <c r="F136" s="86"/>
      <c r="G136" s="27"/>
      <c r="H136" s="25"/>
      <c r="I136" s="444"/>
      <c r="J136" s="25"/>
      <c r="K136" s="444"/>
      <c r="L136" s="444"/>
      <c r="M136" s="444"/>
      <c r="N136" s="444"/>
      <c r="O136" s="444"/>
      <c r="P136" s="444"/>
      <c r="Q136" s="444"/>
      <c r="R136" s="444"/>
      <c r="S136" s="444"/>
      <c r="T136" s="444"/>
      <c r="U136" s="444"/>
    </row>
    <row r="137" spans="1:36" ht="16.5" thickTop="1" thickBot="1">
      <c r="A137" s="72" t="s">
        <v>768</v>
      </c>
      <c r="B137" s="73"/>
      <c r="C137" s="298"/>
      <c r="D137" s="12"/>
      <c r="E137" s="12"/>
      <c r="F137" s="12"/>
      <c r="G137" s="26"/>
      <c r="H137" s="24"/>
      <c r="I137" s="20"/>
      <c r="J137" s="24"/>
      <c r="K137" s="20"/>
      <c r="L137" s="20"/>
      <c r="M137" s="20"/>
      <c r="N137" s="20"/>
      <c r="O137" s="20"/>
      <c r="P137" s="20"/>
      <c r="Q137" s="20"/>
      <c r="R137" s="20"/>
      <c r="S137" s="20"/>
      <c r="T137" s="20"/>
      <c r="U137" s="20"/>
    </row>
    <row r="138" spans="1:36" ht="15.75" thickTop="1">
      <c r="A138" s="1580"/>
      <c r="B138" s="1914" t="s">
        <v>769</v>
      </c>
      <c r="C138" s="1396"/>
      <c r="D138" s="1740"/>
      <c r="E138" s="1740"/>
      <c r="F138" s="1740"/>
      <c r="G138" s="1722"/>
      <c r="H138" s="1792"/>
      <c r="I138" s="1916"/>
      <c r="J138" s="1792"/>
      <c r="K138" s="1916"/>
      <c r="L138" s="1916"/>
      <c r="M138" s="1916"/>
      <c r="N138" s="1916"/>
      <c r="O138" s="1916"/>
      <c r="P138" s="1916"/>
      <c r="Q138" s="1916"/>
      <c r="R138" s="1916"/>
      <c r="S138" s="1916"/>
      <c r="T138" s="1916"/>
      <c r="U138" s="1916"/>
    </row>
    <row r="139" spans="1:36">
      <c r="A139" s="1124"/>
      <c r="B139" s="1307" t="s">
        <v>770</v>
      </c>
      <c r="C139" s="415"/>
      <c r="D139" s="422"/>
      <c r="E139" s="422"/>
      <c r="F139" s="422"/>
      <c r="G139" s="831"/>
      <c r="H139" s="445"/>
      <c r="I139" s="1135"/>
      <c r="J139" s="445"/>
      <c r="K139" s="1135"/>
      <c r="L139" s="1135"/>
      <c r="M139" s="1135"/>
      <c r="N139" s="1135"/>
      <c r="O139" s="1135"/>
      <c r="P139" s="1135"/>
      <c r="Q139" s="1135"/>
      <c r="R139" s="1135"/>
      <c r="S139" s="1135"/>
      <c r="T139" s="1135"/>
      <c r="U139" s="1135"/>
    </row>
    <row r="140" spans="1:36" ht="15.75" thickBot="1">
      <c r="A140" s="1308"/>
      <c r="B140" s="1136" t="s">
        <v>771</v>
      </c>
      <c r="C140" s="935"/>
      <c r="D140" s="938"/>
      <c r="E140" s="938"/>
      <c r="F140" s="938"/>
      <c r="G140" s="939"/>
      <c r="H140" s="940"/>
      <c r="I140" s="1140"/>
      <c r="J140" s="940"/>
      <c r="K140" s="1140"/>
      <c r="L140" s="1140"/>
      <c r="M140" s="1140"/>
      <c r="N140" s="1140"/>
      <c r="O140" s="1140"/>
      <c r="P140" s="1140"/>
      <c r="Q140" s="1140"/>
      <c r="R140" s="1140"/>
      <c r="S140" s="1140"/>
      <c r="T140" s="1140"/>
      <c r="U140" s="1140"/>
    </row>
    <row r="141" spans="1:36" ht="16.5" thickTop="1" thickBot="1">
      <c r="F141" s="2"/>
      <c r="G141" s="2"/>
      <c r="H141" s="2"/>
      <c r="I141" s="2"/>
      <c r="J141" s="2"/>
      <c r="K141" s="2"/>
      <c r="L141" s="2"/>
      <c r="M141" s="2"/>
      <c r="N141" s="2"/>
      <c r="O141" s="2"/>
      <c r="P141" s="2"/>
      <c r="Q141" s="2"/>
      <c r="R141" s="2"/>
      <c r="S141" s="2"/>
      <c r="T141" s="2"/>
      <c r="U141" s="2"/>
    </row>
    <row r="142" spans="1:36" ht="16.5" thickTop="1" thickBot="1">
      <c r="A142" s="37" t="s">
        <v>772</v>
      </c>
      <c r="B142" s="39"/>
      <c r="F142" s="2"/>
      <c r="G142" s="2"/>
      <c r="H142" s="2"/>
      <c r="I142" s="2"/>
      <c r="J142" s="2"/>
      <c r="K142" s="2"/>
      <c r="L142" s="2"/>
      <c r="M142" s="2"/>
      <c r="N142" s="2"/>
      <c r="O142" s="2"/>
      <c r="P142" s="2"/>
      <c r="Q142" s="2"/>
      <c r="R142" s="2"/>
      <c r="S142" s="2"/>
      <c r="T142" s="2"/>
      <c r="U142" s="2"/>
    </row>
    <row r="143" spans="1:36" ht="15.75" thickTop="1">
      <c r="A143" s="38" t="s">
        <v>693</v>
      </c>
      <c r="B143" s="941" t="str">
        <f>J5</f>
        <v>Boys Electrical</v>
      </c>
      <c r="F143" s="2"/>
      <c r="G143" s="2"/>
      <c r="H143" s="2"/>
      <c r="I143" s="2"/>
      <c r="J143" s="2"/>
      <c r="K143" s="2"/>
      <c r="L143" s="2"/>
      <c r="M143" s="2"/>
      <c r="N143" s="2"/>
      <c r="O143" s="2"/>
      <c r="P143" s="2"/>
      <c r="Q143" s="2"/>
      <c r="R143" s="2"/>
      <c r="S143" s="2"/>
      <c r="T143" s="2"/>
      <c r="U143" s="2"/>
    </row>
    <row r="144" spans="1:36">
      <c r="A144" s="1142" t="s">
        <v>702</v>
      </c>
      <c r="B144" s="941" t="str">
        <f>J6</f>
        <v>Brian Trumble 1015</v>
      </c>
      <c r="F144" s="2"/>
      <c r="G144" s="2"/>
      <c r="H144" s="2"/>
      <c r="I144" s="2"/>
      <c r="J144" s="2"/>
      <c r="K144" s="2"/>
      <c r="L144" s="2"/>
      <c r="M144" s="2"/>
      <c r="N144" s="2"/>
      <c r="O144" s="2"/>
      <c r="P144" s="2"/>
      <c r="Q144" s="2"/>
      <c r="R144" s="2"/>
      <c r="S144" s="2"/>
      <c r="T144" s="2"/>
      <c r="U144" s="2"/>
    </row>
    <row r="145" spans="1:21">
      <c r="A145" s="942" t="s">
        <v>708</v>
      </c>
      <c r="B145" s="1143">
        <f>J7</f>
        <v>3217273887</v>
      </c>
      <c r="F145" s="2"/>
      <c r="G145" s="2"/>
      <c r="H145" s="2"/>
      <c r="I145" s="2"/>
      <c r="J145" s="2"/>
      <c r="K145" s="2"/>
      <c r="L145" s="2"/>
      <c r="M145" s="2"/>
      <c r="N145" s="2"/>
      <c r="O145" s="2"/>
      <c r="P145" s="2"/>
      <c r="Q145" s="2"/>
      <c r="R145" s="2"/>
      <c r="S145" s="2"/>
      <c r="T145" s="2"/>
      <c r="U145" s="2"/>
    </row>
    <row r="146" spans="1:21">
      <c r="A146" s="942" t="s">
        <v>713</v>
      </c>
      <c r="B146" s="1958" t="str">
        <f>J8</f>
        <v>btrumble@boyselectrical.com</v>
      </c>
      <c r="F146" s="2"/>
      <c r="G146" s="2"/>
      <c r="H146" s="2"/>
      <c r="I146" s="2"/>
      <c r="J146" s="2"/>
      <c r="K146" s="2"/>
      <c r="L146" s="2"/>
      <c r="M146" s="2"/>
      <c r="N146" s="2"/>
      <c r="O146" s="2"/>
      <c r="P146" s="2"/>
      <c r="Q146" s="2"/>
      <c r="R146" s="2"/>
      <c r="S146" s="2"/>
      <c r="T146" s="2"/>
      <c r="U146" s="2"/>
    </row>
    <row r="147" spans="1:21" ht="15.75" thickBot="1">
      <c r="A147" s="1145" t="s">
        <v>69</v>
      </c>
      <c r="B147" s="1146">
        <f>S111</f>
        <v>12146271</v>
      </c>
      <c r="F147" s="2"/>
      <c r="G147" s="2"/>
      <c r="H147" s="2"/>
      <c r="I147" s="2"/>
      <c r="J147" s="2"/>
      <c r="K147" s="2"/>
      <c r="L147" s="2"/>
      <c r="M147" s="2"/>
      <c r="N147" s="2"/>
      <c r="O147" s="2"/>
      <c r="P147" s="2"/>
      <c r="Q147" s="2"/>
      <c r="R147" s="2"/>
      <c r="S147" s="2"/>
      <c r="T147" s="2"/>
      <c r="U147" s="2"/>
    </row>
    <row r="148" spans="1:21" ht="15.75" thickTop="1"/>
  </sheetData>
  <mergeCells count="47">
    <mergeCell ref="A123:B123"/>
    <mergeCell ref="A127:B127"/>
    <mergeCell ref="A131:B131"/>
    <mergeCell ref="H8:I8"/>
    <mergeCell ref="H9:I9"/>
    <mergeCell ref="A115:B115"/>
    <mergeCell ref="A119:B119"/>
    <mergeCell ref="N7:O7"/>
    <mergeCell ref="H6:I6"/>
    <mergeCell ref="N9:O9"/>
    <mergeCell ref="L8:M8"/>
    <mergeCell ref="J7:K7"/>
    <mergeCell ref="J8:K8"/>
    <mergeCell ref="J9:K9"/>
    <mergeCell ref="L9:M9"/>
    <mergeCell ref="L7:M7"/>
    <mergeCell ref="H7:I7"/>
    <mergeCell ref="N6:O6"/>
    <mergeCell ref="J6:K6"/>
    <mergeCell ref="L6:M6"/>
    <mergeCell ref="H4:I4"/>
    <mergeCell ref="L4:M4"/>
    <mergeCell ref="H5:I5"/>
    <mergeCell ref="N4:O4"/>
    <mergeCell ref="N5:O5"/>
    <mergeCell ref="J4:K4"/>
    <mergeCell ref="J5:K5"/>
    <mergeCell ref="L5:M5"/>
    <mergeCell ref="P4:Q4"/>
    <mergeCell ref="R4:S4"/>
    <mergeCell ref="R5:S5"/>
    <mergeCell ref="R6:S6"/>
    <mergeCell ref="R7:S7"/>
    <mergeCell ref="P5:Q5"/>
    <mergeCell ref="P6:Q6"/>
    <mergeCell ref="P7:Q7"/>
    <mergeCell ref="T9:U9"/>
    <mergeCell ref="T4:U4"/>
    <mergeCell ref="T5:U5"/>
    <mergeCell ref="T6:U6"/>
    <mergeCell ref="T7:U7"/>
    <mergeCell ref="T8:U8"/>
    <mergeCell ref="P9:Q9"/>
    <mergeCell ref="R9:S9"/>
    <mergeCell ref="R8:S8"/>
    <mergeCell ref="P8:Q8"/>
    <mergeCell ref="N8:O8"/>
  </mergeCells>
  <conditionalFormatting sqref="H11:H19">
    <cfRule type="cellIs" dxfId="149" priority="13" operator="equal">
      <formula>"X"</formula>
    </cfRule>
    <cfRule type="cellIs" dxfId="148" priority="14" operator="equal">
      <formula>"I"</formula>
    </cfRule>
  </conditionalFormatting>
  <conditionalFormatting sqref="J11:J19">
    <cfRule type="cellIs" dxfId="147" priority="15" operator="equal">
      <formula>"X"</formula>
    </cfRule>
    <cfRule type="cellIs" dxfId="146" priority="16" operator="equal">
      <formula>"I"</formula>
    </cfRule>
  </conditionalFormatting>
  <conditionalFormatting sqref="L11:L19 N11:N19 P11:P19 R11:R19 T11:T19 H21:H106 J21:J106 L21:L106 N21:N106 P21:P106 T21:T106">
    <cfRule type="cellIs" dxfId="145" priority="33" operator="equal">
      <formula>"X"</formula>
    </cfRule>
    <cfRule type="cellIs" dxfId="144" priority="34" operator="equal">
      <formula>"I"</formula>
    </cfRule>
  </conditionalFormatting>
  <conditionalFormatting sqref="R21:R106 S25:S27">
    <cfRule type="cellIs" dxfId="143" priority="1" operator="equal">
      <formula>"X"</formula>
    </cfRule>
    <cfRule type="cellIs" dxfId="142" priority="2" operator="equal">
      <formula>"I"</formula>
    </cfRule>
  </conditionalFormatting>
  <hyperlinks>
    <hyperlink ref="B4" location="'Cost Summary'!A1" display="BACK TO SUMMARY SHEET" xr:uid="{BC4461EB-D273-4A47-839C-5E1D041E55CF}"/>
    <hyperlink ref="L8:M8" r:id="rId1" display="jkomis@powerdesigninc.us" xr:uid="{8067228F-2AAD-4C30-9FCF-D0459932923F}"/>
    <hyperlink ref="N8" r:id="rId2" xr:uid="{451A01E8-3840-483F-B057-3DF5C7DE8C84}"/>
    <hyperlink ref="J8" r:id="rId3" xr:uid="{9B9E6182-BFDE-44C3-BBB5-B59F7220107F}"/>
    <hyperlink ref="P8" r:id="rId4" xr:uid="{D237E45D-593E-4EA1-AFE7-611091CD1A7D}"/>
  </hyperlinks>
  <printOptions horizontalCentered="1"/>
  <pageMargins left="0.7" right="0.7" top="0.75" bottom="0.75" header="0.3" footer="0.3"/>
  <pageSetup paperSize="3" scale="52" orientation="portrait" r:id="rId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19B85-2003-4CD4-BF7F-BF335F679394}">
  <sheetPr>
    <tabColor theme="5" tint="0.39997558519241921"/>
  </sheetPr>
  <dimension ref="A1:AO73"/>
  <sheetViews>
    <sheetView zoomScale="90" zoomScaleNormal="90" workbookViewId="0">
      <pane xSplit="2" ySplit="10" topLeftCell="C11" activePane="bottomRight" state="frozen"/>
      <selection pane="topRight" activeCell="C1" sqref="C1"/>
      <selection pane="bottomLeft" activeCell="A11" sqref="A11"/>
      <selection pane="bottomRight" activeCell="B4" sqref="B4"/>
    </sheetView>
  </sheetViews>
  <sheetFormatPr defaultRowHeight="15"/>
  <cols>
    <col min="1" max="1" width="11" customWidth="1"/>
    <col min="2" max="2" width="70.7109375" style="1" customWidth="1"/>
    <col min="3" max="4" width="12.7109375" style="2" customWidth="1"/>
    <col min="5" max="5" width="7.14062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912</v>
      </c>
      <c r="I4" s="2320"/>
      <c r="J4" s="2319" t="s">
        <v>687</v>
      </c>
      <c r="K4" s="2320"/>
      <c r="L4" s="2319" t="s">
        <v>688</v>
      </c>
      <c r="M4" s="2320"/>
      <c r="N4" s="2319" t="s">
        <v>689</v>
      </c>
      <c r="O4" s="2320"/>
      <c r="P4" s="2319" t="s">
        <v>690</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33" t="s">
        <v>2543</v>
      </c>
      <c r="I5" s="2334"/>
      <c r="J5" s="2400" t="s">
        <v>2544</v>
      </c>
      <c r="K5" s="2401"/>
      <c r="L5" s="2333" t="s">
        <v>2545</v>
      </c>
      <c r="M5" s="2334"/>
      <c r="N5" s="2333" t="s">
        <v>2423</v>
      </c>
      <c r="O5" s="2334"/>
      <c r="P5" s="2333" t="s">
        <v>2424</v>
      </c>
      <c r="Q5" s="2334"/>
      <c r="R5" s="2413" t="s">
        <v>2422</v>
      </c>
      <c r="S5" s="2414"/>
      <c r="X5" s="261"/>
    </row>
    <row r="6" spans="1:24">
      <c r="A6" s="1082" t="s">
        <v>700</v>
      </c>
      <c r="B6" s="1083" t="s">
        <v>2546</v>
      </c>
      <c r="C6" s="415"/>
      <c r="D6" s="416"/>
      <c r="E6" s="417"/>
      <c r="F6" s="418"/>
      <c r="G6" s="419" t="s">
        <v>702</v>
      </c>
      <c r="H6" s="2313" t="s">
        <v>2427</v>
      </c>
      <c r="I6" s="2314"/>
      <c r="J6" s="2313" t="s">
        <v>2547</v>
      </c>
      <c r="K6" s="2314"/>
      <c r="L6" s="2313"/>
      <c r="M6" s="2314"/>
      <c r="N6" s="2313" t="s">
        <v>2429</v>
      </c>
      <c r="O6" s="2314"/>
      <c r="P6" s="2313" t="s">
        <v>2430</v>
      </c>
      <c r="Q6" s="2314"/>
      <c r="R6" s="2313" t="s">
        <v>2428</v>
      </c>
      <c r="S6" s="2314"/>
      <c r="X6" s="261"/>
    </row>
    <row r="7" spans="1:24">
      <c r="A7" s="1082" t="s">
        <v>706</v>
      </c>
      <c r="B7" s="1084" t="s">
        <v>362</v>
      </c>
      <c r="C7" s="415"/>
      <c r="D7" s="416"/>
      <c r="E7" s="417"/>
      <c r="F7" s="418"/>
      <c r="G7" s="829" t="s">
        <v>708</v>
      </c>
      <c r="H7" s="2398">
        <v>4072729146</v>
      </c>
      <c r="I7" s="2399"/>
      <c r="J7" s="2398">
        <v>4078276328</v>
      </c>
      <c r="K7" s="2399"/>
      <c r="L7" s="2398"/>
      <c r="M7" s="2399"/>
      <c r="N7" s="2398"/>
      <c r="O7" s="2399"/>
      <c r="P7" s="2398">
        <v>3212691124</v>
      </c>
      <c r="Q7" s="2399"/>
      <c r="R7" s="2398">
        <v>3217273887</v>
      </c>
      <c r="S7" s="2399"/>
      <c r="X7" s="261"/>
    </row>
    <row r="8" spans="1:24">
      <c r="A8" s="1082" t="s">
        <v>712</v>
      </c>
      <c r="B8" s="1085"/>
      <c r="C8" s="415"/>
      <c r="D8" s="416"/>
      <c r="E8" s="417"/>
      <c r="F8" s="418"/>
      <c r="G8" s="829" t="s">
        <v>713</v>
      </c>
      <c r="H8" s="2407" t="s">
        <v>2433</v>
      </c>
      <c r="I8" s="2408"/>
      <c r="J8" s="2315"/>
      <c r="K8" s="2316"/>
      <c r="L8" s="2315"/>
      <c r="M8" s="2316"/>
      <c r="N8" s="2409" t="s">
        <v>2435</v>
      </c>
      <c r="O8" s="2412"/>
      <c r="P8" s="2409" t="s">
        <v>2436</v>
      </c>
      <c r="Q8" s="2408"/>
      <c r="R8" s="2409" t="s">
        <v>2434</v>
      </c>
      <c r="S8" s="2408"/>
      <c r="X8" s="261"/>
    </row>
    <row r="9" spans="1:24" ht="15.75" thickBot="1">
      <c r="A9" s="420"/>
      <c r="B9" s="421"/>
      <c r="C9" s="23"/>
      <c r="D9" s="265"/>
      <c r="E9" s="266"/>
      <c r="F9" s="283"/>
      <c r="G9" s="284" t="s">
        <v>717</v>
      </c>
      <c r="H9" s="2415">
        <f>I36</f>
        <v>94600</v>
      </c>
      <c r="I9" s="2416"/>
      <c r="J9" s="2415">
        <f>K36</f>
        <v>135500</v>
      </c>
      <c r="K9" s="2416"/>
      <c r="L9" s="2415">
        <f>M36</f>
        <v>165700</v>
      </c>
      <c r="M9" s="2416"/>
      <c r="N9" s="2415">
        <f>O36</f>
        <v>170000</v>
      </c>
      <c r="O9" s="2416"/>
      <c r="P9" s="2415">
        <f>Q36</f>
        <v>186487</v>
      </c>
      <c r="Q9" s="2416"/>
      <c r="R9" s="2415">
        <f>S36</f>
        <v>90000</v>
      </c>
      <c r="S9" s="2416"/>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589"/>
      <c r="B11" s="1921" t="s">
        <v>725</v>
      </c>
      <c r="C11" s="1398"/>
      <c r="D11" s="1740"/>
      <c r="E11" s="1740"/>
      <c r="F11" s="1744"/>
      <c r="G11" s="1781"/>
      <c r="H11" s="1922"/>
      <c r="I11" s="1783"/>
      <c r="J11" s="1922"/>
      <c r="K11" s="1782"/>
      <c r="L11" s="1922"/>
      <c r="M11" s="285"/>
      <c r="N11" s="1922"/>
      <c r="O11" s="1783"/>
      <c r="P11" s="1922"/>
      <c r="Q11" s="1783"/>
      <c r="R11" s="1922"/>
      <c r="S11" s="1783"/>
    </row>
    <row r="12" spans="1:24">
      <c r="A12" s="1589"/>
      <c r="B12" s="1151" t="s">
        <v>726</v>
      </c>
      <c r="C12" s="446"/>
      <c r="D12" s="422"/>
      <c r="E12" s="422"/>
      <c r="F12" s="418"/>
      <c r="G12" s="423"/>
      <c r="H12" s="1152" t="s">
        <v>727</v>
      </c>
      <c r="I12" s="1783"/>
      <c r="J12" s="1152" t="s">
        <v>727</v>
      </c>
      <c r="K12" s="1782"/>
      <c r="L12" s="1152" t="s">
        <v>727</v>
      </c>
      <c r="M12" s="1783"/>
      <c r="N12" s="1152" t="s">
        <v>727</v>
      </c>
      <c r="O12" s="1783"/>
      <c r="P12" s="1152" t="s">
        <v>727</v>
      </c>
      <c r="Q12" s="1783"/>
      <c r="R12" s="1152" t="s">
        <v>727</v>
      </c>
      <c r="S12" s="1782"/>
    </row>
    <row r="13" spans="1:24">
      <c r="A13" s="1097"/>
      <c r="B13" s="1151" t="s">
        <v>728</v>
      </c>
      <c r="C13" s="446"/>
      <c r="D13" s="422"/>
      <c r="E13" s="422"/>
      <c r="F13" s="418"/>
      <c r="G13" s="423"/>
      <c r="H13" s="1152" t="s">
        <v>727</v>
      </c>
      <c r="I13" s="1783"/>
      <c r="J13" s="1152" t="s">
        <v>727</v>
      </c>
      <c r="K13" s="1782"/>
      <c r="L13" s="1152" t="s">
        <v>727</v>
      </c>
      <c r="M13" s="1783"/>
      <c r="N13" s="1152" t="s">
        <v>727</v>
      </c>
      <c r="O13" s="1783"/>
      <c r="P13" s="1152" t="s">
        <v>727</v>
      </c>
      <c r="Q13" s="1783"/>
      <c r="R13" s="1152" t="s">
        <v>727</v>
      </c>
      <c r="S13" s="1782"/>
    </row>
    <row r="14" spans="1:24">
      <c r="A14" s="1589"/>
      <c r="B14" s="1153" t="s">
        <v>729</v>
      </c>
      <c r="C14" s="446"/>
      <c r="D14" s="422"/>
      <c r="E14" s="422"/>
      <c r="F14" s="418"/>
      <c r="G14" s="423"/>
      <c r="H14" s="1152" t="s">
        <v>730</v>
      </c>
      <c r="I14" s="1783"/>
      <c r="J14" s="1152" t="s">
        <v>730</v>
      </c>
      <c r="K14" s="1782"/>
      <c r="L14" s="1152" t="s">
        <v>730</v>
      </c>
      <c r="M14" s="1783"/>
      <c r="N14" s="1152" t="s">
        <v>730</v>
      </c>
      <c r="O14" s="1783"/>
      <c r="P14" s="1152" t="s">
        <v>730</v>
      </c>
      <c r="Q14" s="1783"/>
      <c r="R14" s="1152" t="s">
        <v>730</v>
      </c>
      <c r="S14" s="1782"/>
    </row>
    <row r="15" spans="1:24">
      <c r="A15" s="1097"/>
      <c r="B15" s="1153" t="s">
        <v>731</v>
      </c>
      <c r="C15" s="446"/>
      <c r="D15" s="422"/>
      <c r="E15" s="422"/>
      <c r="F15" s="418"/>
      <c r="G15" s="423"/>
      <c r="H15" s="1152" t="s">
        <v>727</v>
      </c>
      <c r="I15" s="1782"/>
      <c r="J15" s="1152" t="s">
        <v>727</v>
      </c>
      <c r="K15" s="1782"/>
      <c r="L15" s="1152" t="s">
        <v>727</v>
      </c>
      <c r="M15" s="1782"/>
      <c r="N15" s="1152" t="s">
        <v>727</v>
      </c>
      <c r="O15" s="1782"/>
      <c r="P15" s="1152" t="s">
        <v>727</v>
      </c>
      <c r="Q15" s="1782"/>
      <c r="R15" s="1152" t="s">
        <v>727</v>
      </c>
      <c r="S15" s="1782"/>
    </row>
    <row r="16" spans="1:24">
      <c r="A16" s="1589"/>
      <c r="B16" s="1153" t="s">
        <v>732</v>
      </c>
      <c r="C16" s="446"/>
      <c r="D16" s="422"/>
      <c r="E16" s="422"/>
      <c r="F16" s="418"/>
      <c r="G16" s="423"/>
      <c r="H16" s="1152" t="s">
        <v>727</v>
      </c>
      <c r="I16" s="1783"/>
      <c r="J16" s="1152" t="s">
        <v>727</v>
      </c>
      <c r="K16" s="1782"/>
      <c r="L16" s="1152" t="s">
        <v>727</v>
      </c>
      <c r="M16" s="1783"/>
      <c r="N16" s="1152" t="s">
        <v>727</v>
      </c>
      <c r="O16" s="1783"/>
      <c r="P16" s="1152" t="s">
        <v>727</v>
      </c>
      <c r="Q16" s="1783"/>
      <c r="R16" s="1152" t="s">
        <v>727</v>
      </c>
      <c r="S16" s="1782"/>
    </row>
    <row r="17" spans="1:41">
      <c r="A17" s="1097"/>
      <c r="B17" s="1153" t="s">
        <v>733</v>
      </c>
      <c r="C17" s="446"/>
      <c r="D17" s="422"/>
      <c r="E17" s="422"/>
      <c r="F17" s="418"/>
      <c r="G17" s="423"/>
      <c r="H17" s="1152" t="s">
        <v>727</v>
      </c>
      <c r="I17" s="1783"/>
      <c r="J17" s="1152" t="s">
        <v>727</v>
      </c>
      <c r="K17" s="1782"/>
      <c r="L17" s="1152" t="s">
        <v>727</v>
      </c>
      <c r="M17" s="1783"/>
      <c r="N17" s="1152" t="s">
        <v>727</v>
      </c>
      <c r="O17" s="1783"/>
      <c r="P17" s="1152" t="s">
        <v>727</v>
      </c>
      <c r="Q17" s="1783"/>
      <c r="R17" s="1152" t="s">
        <v>727</v>
      </c>
      <c r="S17" s="1782"/>
    </row>
    <row r="18" spans="1:41">
      <c r="A18" s="1589"/>
      <c r="B18" s="534" t="s">
        <v>734</v>
      </c>
      <c r="C18" s="446"/>
      <c r="D18" s="422"/>
      <c r="E18" s="422"/>
      <c r="F18" s="418"/>
      <c r="G18" s="423"/>
      <c r="H18" s="1152" t="s">
        <v>730</v>
      </c>
      <c r="I18" s="1783"/>
      <c r="J18" s="1152" t="s">
        <v>730</v>
      </c>
      <c r="K18" s="1782"/>
      <c r="L18" s="1152" t="s">
        <v>730</v>
      </c>
      <c r="M18" s="1783"/>
      <c r="N18" s="1152" t="s">
        <v>730</v>
      </c>
      <c r="O18" s="1783"/>
      <c r="P18" s="1152" t="s">
        <v>730</v>
      </c>
      <c r="Q18" s="1783"/>
      <c r="R18" s="1152" t="s">
        <v>727</v>
      </c>
      <c r="S18" s="1782" t="s">
        <v>2438</v>
      </c>
    </row>
    <row r="19" spans="1:41">
      <c r="A19" s="1589"/>
      <c r="B19" s="1154" t="s">
        <v>736</v>
      </c>
      <c r="C19" s="446"/>
      <c r="D19" s="422"/>
      <c r="E19" s="422"/>
      <c r="F19" s="418"/>
      <c r="G19" s="423"/>
      <c r="H19" s="1152"/>
      <c r="I19" s="1783"/>
      <c r="J19" s="1152"/>
      <c r="K19" s="1782"/>
      <c r="L19" s="1152"/>
      <c r="M19" s="1783"/>
      <c r="N19" s="1152"/>
      <c r="O19" s="1783"/>
      <c r="P19" s="1152"/>
      <c r="Q19" s="1783"/>
      <c r="R19" s="1152"/>
      <c r="S19" s="1783"/>
    </row>
    <row r="20" spans="1:41">
      <c r="A20" s="1097"/>
      <c r="B20" s="1959" t="s">
        <v>737</v>
      </c>
      <c r="C20" s="447"/>
      <c r="D20" s="425"/>
      <c r="E20" s="425"/>
      <c r="F20" s="426"/>
      <c r="G20" s="427"/>
      <c r="H20" s="1156"/>
      <c r="I20" s="1960">
        <v>94600</v>
      </c>
      <c r="J20" s="1156"/>
      <c r="K20" s="1961">
        <v>135500</v>
      </c>
      <c r="L20" s="1156"/>
      <c r="M20" s="1960">
        <v>165700</v>
      </c>
      <c r="N20" s="1156"/>
      <c r="O20" s="1960">
        <v>170000</v>
      </c>
      <c r="P20" s="1156"/>
      <c r="Q20" s="1960">
        <v>186487</v>
      </c>
      <c r="R20" s="1156"/>
      <c r="S20" s="1960">
        <v>90000</v>
      </c>
    </row>
    <row r="21" spans="1:41">
      <c r="A21" s="1589"/>
      <c r="B21" s="1104"/>
      <c r="C21" s="70"/>
      <c r="D21" s="86"/>
      <c r="E21" s="86"/>
      <c r="F21" s="280"/>
      <c r="G21" s="274"/>
      <c r="H21" s="1152"/>
      <c r="I21" s="428"/>
      <c r="J21" s="1152"/>
      <c r="K21" s="428"/>
      <c r="L21" s="1152"/>
      <c r="M21" s="428"/>
      <c r="N21" s="1152"/>
      <c r="O21" s="428"/>
      <c r="P21" s="1152"/>
      <c r="Q21" s="428"/>
      <c r="R21" s="1152"/>
      <c r="S21" s="428"/>
    </row>
    <row r="22" spans="1:41" s="69" customFormat="1">
      <c r="A22" s="1097"/>
      <c r="B22" s="1105" t="s">
        <v>2548</v>
      </c>
      <c r="C22" s="415" t="s">
        <v>2455</v>
      </c>
      <c r="D22" s="422"/>
      <c r="E22" s="422"/>
      <c r="F22" s="429"/>
      <c r="G22" s="423"/>
      <c r="H22" s="1152"/>
      <c r="I22" s="1107"/>
      <c r="J22" s="1152" t="s">
        <v>727</v>
      </c>
      <c r="K22" s="1107"/>
      <c r="L22" s="1152" t="s">
        <v>727</v>
      </c>
      <c r="M22" s="1106"/>
      <c r="N22" s="1152" t="s">
        <v>727</v>
      </c>
      <c r="O22" s="1106"/>
      <c r="P22" s="1152" t="s">
        <v>727</v>
      </c>
      <c r="Q22" s="1107"/>
      <c r="R22" s="1152" t="s">
        <v>727</v>
      </c>
      <c r="S22" s="1106"/>
      <c r="T22"/>
      <c r="U22"/>
      <c r="V22"/>
      <c r="W22"/>
      <c r="X22"/>
      <c r="Y22"/>
      <c r="Z22"/>
      <c r="AA22"/>
      <c r="AB22"/>
      <c r="AC22"/>
      <c r="AD22"/>
      <c r="AE22"/>
      <c r="AF22"/>
      <c r="AG22"/>
      <c r="AH22"/>
      <c r="AI22"/>
      <c r="AJ22"/>
      <c r="AK22"/>
      <c r="AL22"/>
      <c r="AM22"/>
      <c r="AN22"/>
      <c r="AO22"/>
    </row>
    <row r="23" spans="1:41" ht="25.5">
      <c r="A23" s="1589"/>
      <c r="B23" s="1962" t="s">
        <v>2549</v>
      </c>
      <c r="C23" s="1396"/>
      <c r="D23" s="1963"/>
      <c r="E23" s="1740"/>
      <c r="F23" s="1964"/>
      <c r="G23" s="1965"/>
      <c r="H23" s="1152"/>
      <c r="I23" s="1783"/>
      <c r="J23" s="1152" t="s">
        <v>727</v>
      </c>
      <c r="K23" s="1783"/>
      <c r="L23" s="1152" t="s">
        <v>727</v>
      </c>
      <c r="M23" s="1783"/>
      <c r="N23" s="1152" t="s">
        <v>727</v>
      </c>
      <c r="O23" s="1783"/>
      <c r="P23" s="1152" t="s">
        <v>727</v>
      </c>
      <c r="Q23" s="1783"/>
      <c r="R23" s="1152" t="s">
        <v>727</v>
      </c>
      <c r="S23" s="1783"/>
    </row>
    <row r="24" spans="1:41">
      <c r="A24" s="1097"/>
      <c r="B24" s="1962"/>
      <c r="C24" s="415"/>
      <c r="D24" s="430"/>
      <c r="E24" s="422"/>
      <c r="F24" s="431"/>
      <c r="G24" s="1965"/>
      <c r="H24" s="1152"/>
      <c r="I24" s="1783"/>
      <c r="J24" s="1152"/>
      <c r="K24" s="1783"/>
      <c r="L24" s="1152"/>
      <c r="M24" s="1783"/>
      <c r="N24" s="1152"/>
      <c r="O24" s="1783"/>
      <c r="P24" s="1152"/>
      <c r="Q24" s="1783"/>
      <c r="R24" s="1152"/>
      <c r="S24" s="1783"/>
    </row>
    <row r="25" spans="1:41">
      <c r="A25" s="1589"/>
      <c r="B25" s="1962"/>
      <c r="C25" s="415"/>
      <c r="D25" s="430"/>
      <c r="E25" s="422"/>
      <c r="F25" s="431"/>
      <c r="G25" s="1965"/>
      <c r="H25" s="1152"/>
      <c r="I25" s="1783"/>
      <c r="J25" s="1152"/>
      <c r="K25" s="1783"/>
      <c r="L25" s="1152"/>
      <c r="M25" s="1783"/>
      <c r="N25" s="1152"/>
      <c r="O25" s="1783"/>
      <c r="P25" s="1152"/>
      <c r="Q25" s="1783"/>
      <c r="R25" s="1152"/>
      <c r="S25" s="1783"/>
    </row>
    <row r="26" spans="1:41">
      <c r="A26" s="1097"/>
      <c r="B26" s="1962"/>
      <c r="C26" s="415"/>
      <c r="D26" s="430"/>
      <c r="E26" s="422"/>
      <c r="F26" s="431"/>
      <c r="G26" s="1965"/>
      <c r="H26" s="1152"/>
      <c r="I26" s="1783"/>
      <c r="J26" s="1152"/>
      <c r="K26" s="1783"/>
      <c r="L26" s="1152"/>
      <c r="M26" s="1783"/>
      <c r="N26" s="1152"/>
      <c r="O26" s="1783"/>
      <c r="P26" s="1152"/>
      <c r="Q26" s="1783"/>
      <c r="R26" s="1152"/>
      <c r="S26" s="1783"/>
    </row>
    <row r="27" spans="1:41">
      <c r="A27" s="1589"/>
      <c r="B27" s="1962"/>
      <c r="C27" s="415"/>
      <c r="D27" s="430"/>
      <c r="E27" s="422"/>
      <c r="F27" s="431"/>
      <c r="G27" s="1965"/>
      <c r="H27" s="1152"/>
      <c r="I27" s="1783"/>
      <c r="J27" s="1152"/>
      <c r="K27" s="1783"/>
      <c r="L27" s="1152"/>
      <c r="M27" s="1783"/>
      <c r="N27" s="1152"/>
      <c r="O27" s="1783"/>
      <c r="P27" s="1152"/>
      <c r="Q27" s="1783"/>
      <c r="R27" s="1152"/>
      <c r="S27" s="1783"/>
    </row>
    <row r="28" spans="1:41">
      <c r="A28" s="1589"/>
      <c r="B28" s="1163"/>
      <c r="C28" s="23"/>
      <c r="D28" s="87"/>
      <c r="E28" s="86"/>
      <c r="F28" s="431"/>
      <c r="G28" s="1965"/>
      <c r="H28" s="1152"/>
      <c r="I28" s="1783"/>
      <c r="J28" s="1152"/>
      <c r="K28" s="1783"/>
      <c r="L28" s="1152"/>
      <c r="M28" s="1783"/>
      <c r="N28" s="1152"/>
      <c r="O28" s="1783"/>
      <c r="P28" s="1152"/>
      <c r="Q28" s="1783"/>
      <c r="R28" s="1152"/>
      <c r="S28" s="1783"/>
    </row>
    <row r="29" spans="1:41">
      <c r="A29" s="1589"/>
      <c r="B29" s="1163"/>
      <c r="C29" s="23"/>
      <c r="D29" s="87"/>
      <c r="E29" s="86"/>
      <c r="F29" s="431"/>
      <c r="G29" s="1965"/>
      <c r="H29" s="1152"/>
      <c r="I29" s="1783"/>
      <c r="J29" s="1152"/>
      <c r="K29" s="1783"/>
      <c r="L29" s="1152"/>
      <c r="M29" s="1783"/>
      <c r="N29" s="1152"/>
      <c r="O29" s="1783"/>
      <c r="P29" s="1152"/>
      <c r="Q29" s="1783"/>
      <c r="R29" s="1152"/>
      <c r="S29" s="1783"/>
    </row>
    <row r="30" spans="1:41">
      <c r="A30" s="1589"/>
      <c r="B30" s="1163"/>
      <c r="C30" s="23"/>
      <c r="D30" s="87"/>
      <c r="E30" s="86"/>
      <c r="F30" s="431"/>
      <c r="G30" s="830"/>
      <c r="H30" s="1152"/>
      <c r="I30" s="1783"/>
      <c r="J30" s="1152"/>
      <c r="K30" s="1783"/>
      <c r="L30" s="1152"/>
      <c r="M30" s="1783"/>
      <c r="N30" s="1152"/>
      <c r="O30" s="1783"/>
      <c r="P30" s="1152"/>
      <c r="Q30" s="1783"/>
      <c r="R30" s="1152"/>
      <c r="S30" s="1783"/>
    </row>
    <row r="31" spans="1:41" ht="15.75" thickBot="1">
      <c r="A31" s="1589"/>
      <c r="B31" s="1163"/>
      <c r="C31" s="23"/>
      <c r="D31" s="87"/>
      <c r="E31" s="86"/>
      <c r="F31" s="431"/>
      <c r="G31" s="830"/>
      <c r="H31" s="1152"/>
      <c r="I31" s="1783"/>
      <c r="J31" s="1152"/>
      <c r="K31" s="1783"/>
      <c r="L31" s="1152"/>
      <c r="M31" s="1783"/>
      <c r="N31" s="1152"/>
      <c r="O31" s="1783"/>
      <c r="P31" s="1152"/>
      <c r="Q31" s="1783"/>
      <c r="R31" s="1152"/>
      <c r="S31" s="1783"/>
    </row>
    <row r="32" spans="1:41" ht="15.75" thickTop="1">
      <c r="A32" s="296"/>
      <c r="B32" s="301"/>
      <c r="C32" s="297"/>
      <c r="D32" s="15"/>
      <c r="E32" s="16"/>
      <c r="F32" s="282" t="s">
        <v>753</v>
      </c>
      <c r="G32" s="272"/>
      <c r="H32" s="273"/>
      <c r="I32" s="273">
        <f>SUM(I12:I31)</f>
        <v>94600</v>
      </c>
      <c r="J32" s="273"/>
      <c r="K32" s="273">
        <f>SUM(K12:K31)</f>
        <v>135500</v>
      </c>
      <c r="L32" s="273"/>
      <c r="M32" s="273">
        <f>SUM(M12:M31)</f>
        <v>165700</v>
      </c>
      <c r="N32" s="273"/>
      <c r="O32" s="273">
        <f>SUM(O12:O31)</f>
        <v>170000</v>
      </c>
      <c r="P32" s="273"/>
      <c r="Q32" s="273">
        <f>SUM(Q12:Q31)</f>
        <v>186487</v>
      </c>
      <c r="R32" s="273"/>
      <c r="S32" s="273">
        <f>SUM(S12:S31)</f>
        <v>90000</v>
      </c>
    </row>
    <row r="33" spans="1:34">
      <c r="A33" s="1114"/>
      <c r="B33" s="1164"/>
      <c r="C33" s="432"/>
      <c r="D33" s="433"/>
      <c r="E33" s="434"/>
      <c r="F33" s="435" t="s">
        <v>754</v>
      </c>
      <c r="G33" s="436"/>
      <c r="H33" s="1165">
        <v>0</v>
      </c>
      <c r="I33" s="1166"/>
      <c r="J33" s="1165">
        <v>0</v>
      </c>
      <c r="K33" s="1166"/>
      <c r="L33" s="1165">
        <v>0</v>
      </c>
      <c r="M33" s="1166"/>
      <c r="N33" s="1165">
        <v>0</v>
      </c>
      <c r="O33" s="1166"/>
      <c r="P33" s="1165">
        <v>0</v>
      </c>
      <c r="Q33" s="1166"/>
      <c r="R33" s="1165">
        <v>0</v>
      </c>
      <c r="S33" s="1166"/>
    </row>
    <row r="34" spans="1:34">
      <c r="A34" s="1114"/>
      <c r="B34" s="1164"/>
      <c r="C34" s="432"/>
      <c r="D34" s="433"/>
      <c r="E34" s="434"/>
      <c r="F34" s="435" t="s">
        <v>755</v>
      </c>
      <c r="G34" s="436"/>
      <c r="H34" s="1166"/>
      <c r="I34" s="1166">
        <f>I32*H33</f>
        <v>0</v>
      </c>
      <c r="J34" s="1166"/>
      <c r="K34" s="1166">
        <f>K32*J33</f>
        <v>0</v>
      </c>
      <c r="L34" s="1166"/>
      <c r="M34" s="1166">
        <f>M32*L33</f>
        <v>0</v>
      </c>
      <c r="N34" s="1166"/>
      <c r="O34" s="1166">
        <f>O32*N33</f>
        <v>0</v>
      </c>
      <c r="P34" s="1166"/>
      <c r="Q34" s="1166">
        <f>Q32*P33</f>
        <v>0</v>
      </c>
      <c r="R34" s="1166"/>
      <c r="S34" s="1166">
        <f>S32*R33</f>
        <v>0</v>
      </c>
    </row>
    <row r="35" spans="1:34">
      <c r="A35" s="1114"/>
      <c r="B35" s="1164"/>
      <c r="C35" s="432"/>
      <c r="D35" s="433"/>
      <c r="E35" s="434"/>
      <c r="F35" s="435"/>
      <c r="G35" s="436"/>
      <c r="H35" s="1166"/>
      <c r="I35" s="1166"/>
      <c r="J35" s="1166"/>
      <c r="K35" s="1166"/>
      <c r="L35" s="1166"/>
      <c r="M35" s="1166"/>
      <c r="N35" s="1166"/>
      <c r="O35" s="1166"/>
      <c r="P35" s="1166"/>
      <c r="Q35" s="1166"/>
      <c r="R35" s="1166"/>
      <c r="S35" s="1166"/>
    </row>
    <row r="36" spans="1:34">
      <c r="A36" s="1114"/>
      <c r="B36" s="1164"/>
      <c r="C36" s="432"/>
      <c r="D36" s="433"/>
      <c r="E36" s="434"/>
      <c r="F36" s="435" t="s">
        <v>756</v>
      </c>
      <c r="G36" s="436"/>
      <c r="H36" s="1166"/>
      <c r="I36" s="1166">
        <f>SUM(I32:I34)</f>
        <v>94600</v>
      </c>
      <c r="J36" s="1166"/>
      <c r="K36" s="1166">
        <f>SUM(K32:K34)</f>
        <v>135500</v>
      </c>
      <c r="L36" s="1166"/>
      <c r="M36" s="1166">
        <f>SUM(M32:M34)</f>
        <v>165700</v>
      </c>
      <c r="N36" s="1166"/>
      <c r="O36" s="1166">
        <f>SUM(O32:O34)</f>
        <v>170000</v>
      </c>
      <c r="P36" s="1166"/>
      <c r="Q36" s="1166">
        <f>SUM(Q32:Q34)</f>
        <v>186487</v>
      </c>
      <c r="R36" s="1166"/>
      <c r="S36" s="1166">
        <f>SUM(S32:S34)</f>
        <v>90000</v>
      </c>
    </row>
    <row r="37" spans="1:34">
      <c r="A37" s="1114"/>
      <c r="B37" s="1164"/>
      <c r="C37" s="432"/>
      <c r="D37" s="433"/>
      <c r="E37" s="434"/>
      <c r="F37" s="437" t="s">
        <v>757</v>
      </c>
      <c r="G37" s="438"/>
      <c r="H37" s="1167"/>
      <c r="I37" s="1167">
        <f>I36/'Area Calculations'!$G$4</f>
        <v>0.16348029855027882</v>
      </c>
      <c r="J37" s="1167"/>
      <c r="K37" s="1167">
        <f>K36/'Area Calculations'!$G$4</f>
        <v>0.23416046991081166</v>
      </c>
      <c r="L37" s="1167"/>
      <c r="M37" s="1167">
        <f>M36/'Area Calculations'!$G$4</f>
        <v>0.28634974069536157</v>
      </c>
      <c r="N37" s="1167"/>
      <c r="O37" s="1167">
        <f>O36/'Area Calculations'!$G$4</f>
        <v>0.29378066335673786</v>
      </c>
      <c r="P37" s="1167"/>
      <c r="Q37" s="1167">
        <f>Q36/'Area Calculations'!$G$4</f>
        <v>0.32227220333769396</v>
      </c>
      <c r="R37" s="1167"/>
      <c r="S37" s="1167">
        <f>S36/'Area Calculations'!$G$4</f>
        <v>0.15553093942415533</v>
      </c>
    </row>
    <row r="38" spans="1:34">
      <c r="A38" s="1114"/>
      <c r="B38" s="1164"/>
      <c r="C38" s="432"/>
      <c r="D38" s="433"/>
      <c r="E38" s="434"/>
      <c r="F38" s="437" t="s">
        <v>758</v>
      </c>
      <c r="G38" s="438"/>
      <c r="H38" s="1167"/>
      <c r="I38" s="1167">
        <f>I36/'Area Calculations'!$G$9</f>
        <v>884.1121495327103</v>
      </c>
      <c r="J38" s="1167"/>
      <c r="K38" s="1167">
        <f>K36/'Area Calculations'!$G$9</f>
        <v>1266.3551401869158</v>
      </c>
      <c r="L38" s="1167"/>
      <c r="M38" s="1167">
        <f>M36/'Area Calculations'!$G$9</f>
        <v>1548.5981308411215</v>
      </c>
      <c r="N38" s="1167"/>
      <c r="O38" s="1167">
        <f>O36/'Area Calculations'!$G$9</f>
        <v>1588.785046728972</v>
      </c>
      <c r="P38" s="1167"/>
      <c r="Q38" s="1167">
        <f>Q36/'Area Calculations'!$G$9</f>
        <v>1742.8691588785048</v>
      </c>
      <c r="R38" s="1167"/>
      <c r="S38" s="1167">
        <f>S36/'Area Calculations'!$G$9</f>
        <v>841.12149532710282</v>
      </c>
    </row>
    <row r="39" spans="1:34" ht="15.75" thickBot="1">
      <c r="A39" s="1114"/>
      <c r="B39" s="1164"/>
      <c r="C39" s="432"/>
      <c r="D39" s="433"/>
      <c r="E39" s="434"/>
      <c r="F39" s="439"/>
      <c r="G39" s="436"/>
      <c r="H39" s="1168"/>
      <c r="I39" s="1168"/>
      <c r="J39" s="1168"/>
      <c r="K39" s="1168"/>
      <c r="L39" s="1168"/>
      <c r="M39" s="1168"/>
      <c r="N39" s="1168"/>
      <c r="O39" s="1168"/>
      <c r="P39" s="1168"/>
      <c r="Q39" s="1168"/>
      <c r="R39" s="1168"/>
      <c r="S39" s="1168"/>
    </row>
    <row r="40" spans="1:34" ht="16.5" thickTop="1" thickBot="1">
      <c r="A40" s="2331" t="s">
        <v>759</v>
      </c>
      <c r="B40" s="2332"/>
      <c r="C40" s="298"/>
      <c r="D40" s="12"/>
      <c r="E40" s="12"/>
      <c r="F40" s="12"/>
      <c r="G40" s="26"/>
      <c r="H40" s="20"/>
      <c r="I40" s="20"/>
      <c r="J40" s="24"/>
      <c r="K40" s="20"/>
      <c r="L40" s="20"/>
      <c r="M40" s="20"/>
      <c r="N40" s="20"/>
      <c r="O40" s="20"/>
      <c r="P40" s="20"/>
      <c r="Q40" s="20"/>
      <c r="R40" s="20"/>
      <c r="S40" s="20"/>
    </row>
    <row r="41" spans="1:34" ht="15.75" thickTop="1">
      <c r="A41" s="1966"/>
      <c r="B41" s="1105"/>
      <c r="C41" s="1396"/>
      <c r="D41" s="1740"/>
      <c r="E41" s="1740"/>
      <c r="F41" s="1740"/>
      <c r="G41" s="1967"/>
      <c r="H41" s="1968"/>
      <c r="I41" s="1968"/>
      <c r="J41" s="1969"/>
      <c r="K41" s="1968"/>
      <c r="L41" s="1968"/>
      <c r="M41" s="1968"/>
      <c r="N41" s="1968"/>
      <c r="O41" s="1968"/>
      <c r="P41" s="1968"/>
      <c r="Q41" s="1968"/>
      <c r="R41" s="1968"/>
      <c r="S41" s="1968"/>
    </row>
    <row r="42" spans="1:34">
      <c r="A42" s="1966"/>
      <c r="B42" s="1105"/>
      <c r="C42" s="1396"/>
      <c r="D42" s="1740"/>
      <c r="E42" s="1740"/>
      <c r="F42" s="1740"/>
      <c r="G42" s="1967"/>
      <c r="H42" s="1968"/>
      <c r="I42" s="1968"/>
      <c r="J42" s="1969"/>
      <c r="K42" s="1968"/>
      <c r="L42" s="1968"/>
      <c r="M42" s="1968"/>
      <c r="N42" s="1968"/>
      <c r="O42" s="1968"/>
      <c r="P42" s="1968"/>
      <c r="Q42" s="1968"/>
      <c r="R42" s="1968"/>
      <c r="S42" s="1968"/>
    </row>
    <row r="43" spans="1:34" ht="15.75" thickBot="1">
      <c r="A43" s="1966"/>
      <c r="B43" s="1105"/>
      <c r="C43" s="1396"/>
      <c r="D43" s="1740"/>
      <c r="E43" s="1740"/>
      <c r="F43" s="1740"/>
      <c r="G43" s="1967"/>
      <c r="H43" s="1968"/>
      <c r="I43" s="1968"/>
      <c r="J43" s="1969"/>
      <c r="K43" s="1968"/>
      <c r="L43" s="1968"/>
      <c r="M43" s="1968"/>
      <c r="N43" s="1968"/>
      <c r="O43" s="1968"/>
      <c r="P43" s="1968"/>
      <c r="Q43" s="1968"/>
      <c r="R43" s="1968"/>
      <c r="S43" s="1968"/>
    </row>
    <row r="44" spans="1:34" s="2" customFormat="1" ht="16.5" thickTop="1" thickBot="1">
      <c r="A44" s="2331" t="s">
        <v>760</v>
      </c>
      <c r="B44" s="2332"/>
      <c r="C44" s="298"/>
      <c r="D44" s="12"/>
      <c r="E44" s="12"/>
      <c r="F44" s="12"/>
      <c r="G44" s="26"/>
      <c r="H44" s="20"/>
      <c r="I44" s="20"/>
      <c r="J44" s="24"/>
      <c r="K44" s="20"/>
      <c r="L44" s="20"/>
      <c r="M44" s="20"/>
      <c r="N44" s="20"/>
      <c r="O44" s="20"/>
      <c r="P44" s="20"/>
      <c r="Q44" s="20"/>
      <c r="R44" s="20"/>
      <c r="S44" s="20"/>
      <c r="T44"/>
      <c r="U44"/>
      <c r="V44"/>
      <c r="W44"/>
      <c r="X44"/>
      <c r="Y44"/>
      <c r="Z44"/>
      <c r="AA44"/>
      <c r="AB44"/>
      <c r="AC44"/>
      <c r="AD44"/>
      <c r="AE44"/>
      <c r="AF44"/>
      <c r="AG44"/>
      <c r="AH44"/>
    </row>
    <row r="45" spans="1:34" s="2" customFormat="1" ht="15.75" thickTop="1">
      <c r="A45" s="1966"/>
      <c r="B45" s="1105"/>
      <c r="C45" s="1396"/>
      <c r="D45" s="1740"/>
      <c r="E45" s="1740"/>
      <c r="F45" s="1740"/>
      <c r="G45" s="1967"/>
      <c r="H45" s="1968"/>
      <c r="I45" s="1968"/>
      <c r="J45" s="1969"/>
      <c r="K45" s="1968"/>
      <c r="L45" s="1968"/>
      <c r="M45" s="1968"/>
      <c r="N45" s="1968"/>
      <c r="O45" s="1968"/>
      <c r="P45" s="1968"/>
      <c r="Q45" s="1968"/>
      <c r="R45" s="1968"/>
      <c r="S45" s="1968"/>
      <c r="T45"/>
      <c r="U45"/>
      <c r="V45"/>
      <c r="W45"/>
      <c r="X45"/>
      <c r="Y45"/>
      <c r="Z45"/>
      <c r="AA45"/>
      <c r="AB45"/>
      <c r="AC45"/>
      <c r="AD45"/>
      <c r="AE45"/>
      <c r="AF45"/>
      <c r="AG45"/>
      <c r="AH45"/>
    </row>
    <row r="46" spans="1:34" s="2" customFormat="1">
      <c r="A46" s="1966"/>
      <c r="B46" s="1105"/>
      <c r="C46" s="1396"/>
      <c r="D46" s="1740"/>
      <c r="E46" s="1740"/>
      <c r="F46" s="1740"/>
      <c r="G46" s="1967"/>
      <c r="H46" s="1968"/>
      <c r="I46" s="1968"/>
      <c r="J46" s="1969"/>
      <c r="K46" s="1968"/>
      <c r="L46" s="1968"/>
      <c r="M46" s="1968"/>
      <c r="N46" s="1968"/>
      <c r="O46" s="1968"/>
      <c r="P46" s="1968"/>
      <c r="Q46" s="1968"/>
      <c r="R46" s="1968"/>
      <c r="S46" s="1968"/>
      <c r="T46"/>
      <c r="U46"/>
      <c r="V46"/>
      <c r="W46"/>
      <c r="X46"/>
      <c r="Y46"/>
      <c r="Z46"/>
      <c r="AA46"/>
      <c r="AB46"/>
      <c r="AC46"/>
      <c r="AD46"/>
      <c r="AE46"/>
      <c r="AF46"/>
      <c r="AG46"/>
      <c r="AH46"/>
    </row>
    <row r="47" spans="1:34" ht="15.75" thickBot="1">
      <c r="A47" s="1966"/>
      <c r="B47" s="1105"/>
      <c r="C47" s="1396"/>
      <c r="D47" s="1740"/>
      <c r="E47" s="1740"/>
      <c r="F47" s="1740"/>
      <c r="G47" s="1967"/>
      <c r="H47" s="1968"/>
      <c r="I47" s="1968"/>
      <c r="J47" s="1969"/>
      <c r="K47" s="1968"/>
      <c r="L47" s="1968"/>
      <c r="M47" s="1968"/>
      <c r="N47" s="1968"/>
      <c r="O47" s="1968"/>
      <c r="P47" s="1968"/>
      <c r="Q47" s="1968"/>
      <c r="R47" s="1968"/>
      <c r="S47" s="1968"/>
    </row>
    <row r="48" spans="1:34" s="2" customFormat="1" ht="16.5" thickTop="1" thickBot="1">
      <c r="A48" s="2331" t="s">
        <v>761</v>
      </c>
      <c r="B48" s="2332"/>
      <c r="C48" s="298"/>
      <c r="D48" s="12"/>
      <c r="E48" s="12"/>
      <c r="F48" s="12"/>
      <c r="G48" s="26"/>
      <c r="H48" s="20"/>
      <c r="I48" s="20"/>
      <c r="J48" s="24"/>
      <c r="K48" s="20"/>
      <c r="L48" s="20"/>
      <c r="M48" s="20"/>
      <c r="N48" s="20"/>
      <c r="O48" s="20"/>
      <c r="P48" s="20"/>
      <c r="Q48" s="20"/>
      <c r="R48" s="20"/>
      <c r="S48" s="20"/>
      <c r="T48"/>
      <c r="U48"/>
      <c r="V48"/>
      <c r="W48"/>
      <c r="X48"/>
      <c r="Y48"/>
      <c r="Z48"/>
      <c r="AA48"/>
      <c r="AB48"/>
      <c r="AC48"/>
      <c r="AD48"/>
      <c r="AE48"/>
      <c r="AF48"/>
      <c r="AG48"/>
      <c r="AH48"/>
    </row>
    <row r="49" spans="1:34" s="2" customFormat="1" ht="15.75" thickTop="1">
      <c r="A49" s="1966"/>
      <c r="B49" s="1105"/>
      <c r="C49" s="1396"/>
      <c r="D49" s="1740"/>
      <c r="E49" s="1740"/>
      <c r="F49" s="1740"/>
      <c r="G49" s="1967"/>
      <c r="H49" s="1968"/>
      <c r="I49" s="1968"/>
      <c r="J49" s="1969"/>
      <c r="K49" s="1968"/>
      <c r="L49" s="1968"/>
      <c r="M49" s="1968"/>
      <c r="N49" s="1968"/>
      <c r="O49" s="1968"/>
      <c r="P49" s="1968"/>
      <c r="Q49" s="1968"/>
      <c r="R49" s="1968"/>
      <c r="S49" s="1968"/>
      <c r="T49"/>
      <c r="U49"/>
      <c r="V49"/>
      <c r="W49"/>
      <c r="X49"/>
      <c r="Y49"/>
      <c r="Z49"/>
      <c r="AA49"/>
      <c r="AB49"/>
      <c r="AC49"/>
      <c r="AD49"/>
      <c r="AE49"/>
      <c r="AF49"/>
      <c r="AG49"/>
      <c r="AH49"/>
    </row>
    <row r="50" spans="1:34" s="2" customFormat="1">
      <c r="A50" s="1124"/>
      <c r="B50" s="1105"/>
      <c r="C50" s="415"/>
      <c r="D50" s="422"/>
      <c r="E50" s="422"/>
      <c r="F50" s="422"/>
      <c r="G50" s="831"/>
      <c r="H50" s="1173"/>
      <c r="I50" s="1173"/>
      <c r="J50" s="440"/>
      <c r="K50" s="1173"/>
      <c r="L50" s="1173"/>
      <c r="M50" s="1173"/>
      <c r="N50" s="1173"/>
      <c r="O50" s="1173"/>
      <c r="P50" s="1173"/>
      <c r="Q50" s="1173"/>
      <c r="R50" s="1173"/>
      <c r="S50" s="1173"/>
      <c r="T50"/>
      <c r="U50"/>
      <c r="V50"/>
      <c r="W50"/>
      <c r="X50"/>
      <c r="Y50"/>
      <c r="Z50"/>
      <c r="AA50"/>
      <c r="AB50"/>
      <c r="AC50"/>
      <c r="AD50"/>
      <c r="AE50"/>
      <c r="AF50"/>
      <c r="AG50"/>
      <c r="AH50"/>
    </row>
    <row r="51" spans="1:34" s="2" customFormat="1" ht="15.75" thickBot="1">
      <c r="A51" s="1126"/>
      <c r="B51" s="1174"/>
      <c r="C51" s="415"/>
      <c r="D51" s="422"/>
      <c r="E51" s="422"/>
      <c r="F51" s="422"/>
      <c r="G51" s="831"/>
      <c r="H51" s="1175"/>
      <c r="I51" s="1175"/>
      <c r="J51" s="441"/>
      <c r="K51" s="1175"/>
      <c r="L51" s="1175"/>
      <c r="M51" s="1175"/>
      <c r="N51" s="1175"/>
      <c r="O51" s="1175"/>
      <c r="P51" s="1175"/>
      <c r="Q51" s="1175"/>
      <c r="R51" s="1175"/>
      <c r="S51" s="1175"/>
    </row>
    <row r="52" spans="1:34" s="2" customFormat="1" ht="16.5" thickTop="1" thickBot="1">
      <c r="A52" s="2331" t="s">
        <v>762</v>
      </c>
      <c r="B52" s="2332"/>
      <c r="C52" s="298"/>
      <c r="D52" s="12"/>
      <c r="E52" s="12"/>
      <c r="F52" s="12"/>
      <c r="G52" s="26"/>
      <c r="H52" s="20"/>
      <c r="I52" s="20"/>
      <c r="J52" s="24"/>
      <c r="K52" s="20"/>
      <c r="L52" s="20"/>
      <c r="M52" s="20"/>
      <c r="N52" s="20"/>
      <c r="O52" s="20"/>
      <c r="P52" s="20"/>
      <c r="Q52" s="20"/>
      <c r="R52" s="20"/>
      <c r="S52" s="20"/>
      <c r="T52"/>
      <c r="U52"/>
      <c r="V52"/>
      <c r="W52"/>
      <c r="X52"/>
      <c r="Y52"/>
      <c r="Z52"/>
      <c r="AA52"/>
      <c r="AB52"/>
      <c r="AC52"/>
      <c r="AD52"/>
      <c r="AE52"/>
      <c r="AF52"/>
      <c r="AG52"/>
      <c r="AH52"/>
    </row>
    <row r="53" spans="1:34" ht="15.75" thickTop="1">
      <c r="A53" s="1970"/>
      <c r="B53" s="1971"/>
      <c r="C53" s="1396"/>
      <c r="D53" s="1740"/>
      <c r="E53" s="1740"/>
      <c r="F53" s="1740"/>
      <c r="G53" s="1967"/>
      <c r="H53" s="1968"/>
      <c r="I53" s="1968"/>
      <c r="J53" s="1969"/>
      <c r="K53" s="1968"/>
      <c r="L53" s="1968"/>
      <c r="M53" s="1968"/>
      <c r="N53" s="1968"/>
      <c r="O53" s="1968"/>
      <c r="P53" s="1968"/>
      <c r="Q53" s="1968"/>
      <c r="R53" s="1968"/>
      <c r="S53" s="1968"/>
      <c r="T53" s="2"/>
      <c r="U53" s="2"/>
      <c r="V53" s="2"/>
      <c r="W53" s="2"/>
      <c r="X53" s="2"/>
      <c r="Y53" s="2"/>
      <c r="Z53" s="2"/>
      <c r="AA53" s="2"/>
      <c r="AB53" s="2"/>
      <c r="AC53" s="2"/>
      <c r="AD53" s="2"/>
      <c r="AE53" s="2"/>
      <c r="AF53" s="2"/>
      <c r="AG53" s="2"/>
      <c r="AH53" s="2"/>
    </row>
    <row r="54" spans="1:34">
      <c r="A54" s="1126"/>
      <c r="B54" s="1174"/>
      <c r="C54" s="415"/>
      <c r="D54" s="422"/>
      <c r="E54" s="422"/>
      <c r="F54" s="422"/>
      <c r="G54" s="831"/>
      <c r="H54" s="1178"/>
      <c r="I54" s="1178"/>
      <c r="J54" s="442"/>
      <c r="K54" s="1178"/>
      <c r="L54" s="1178"/>
      <c r="M54" s="1178"/>
      <c r="N54" s="1178"/>
      <c r="O54" s="1178"/>
      <c r="P54" s="1178"/>
      <c r="Q54" s="1178"/>
      <c r="R54" s="1178"/>
      <c r="S54" s="1178"/>
      <c r="T54" s="2"/>
      <c r="U54" s="2"/>
      <c r="V54" s="2"/>
      <c r="W54" s="2"/>
      <c r="X54" s="2"/>
      <c r="Y54" s="2"/>
      <c r="Z54" s="2"/>
      <c r="AA54" s="2"/>
      <c r="AB54" s="2"/>
      <c r="AC54" s="2"/>
      <c r="AD54" s="2"/>
      <c r="AE54" s="2"/>
      <c r="AF54" s="2"/>
      <c r="AG54" s="2"/>
      <c r="AH54" s="2"/>
    </row>
    <row r="55" spans="1:34" ht="15.75" thickBot="1">
      <c r="A55" s="1126"/>
      <c r="B55" s="1174"/>
      <c r="C55" s="415"/>
      <c r="D55" s="422"/>
      <c r="E55" s="422"/>
      <c r="F55" s="422"/>
      <c r="G55" s="831"/>
      <c r="H55" s="1178"/>
      <c r="I55" s="1178"/>
      <c r="J55" s="442"/>
      <c r="K55" s="1178"/>
      <c r="L55" s="1178"/>
      <c r="M55" s="1178"/>
      <c r="N55" s="1178"/>
      <c r="O55" s="1178"/>
      <c r="P55" s="1178"/>
      <c r="Q55" s="1178"/>
      <c r="R55" s="1178"/>
      <c r="S55" s="1178"/>
      <c r="T55" s="2"/>
      <c r="U55" s="2"/>
      <c r="V55" s="2"/>
      <c r="W55" s="2"/>
      <c r="X55" s="2"/>
      <c r="Y55" s="2"/>
      <c r="Z55" s="2"/>
      <c r="AA55" s="2"/>
      <c r="AB55" s="2"/>
      <c r="AC55" s="2"/>
      <c r="AD55" s="2"/>
      <c r="AE55" s="2"/>
      <c r="AF55" s="2"/>
      <c r="AG55" s="2"/>
      <c r="AH55" s="2"/>
    </row>
    <row r="56" spans="1:34" ht="16.5" thickTop="1" thickBot="1">
      <c r="A56" s="2331" t="s">
        <v>763</v>
      </c>
      <c r="B56" s="2332"/>
      <c r="C56" s="298"/>
      <c r="D56" s="12"/>
      <c r="E56" s="12"/>
      <c r="F56" s="12"/>
      <c r="G56" s="26"/>
      <c r="H56" s="20"/>
      <c r="I56" s="20"/>
      <c r="J56" s="24"/>
      <c r="K56" s="20"/>
      <c r="L56" s="20"/>
      <c r="M56" s="20"/>
      <c r="N56" s="20"/>
      <c r="O56" s="20"/>
      <c r="P56" s="20"/>
      <c r="Q56" s="20"/>
      <c r="R56" s="20"/>
      <c r="S56" s="20"/>
    </row>
    <row r="57" spans="1:34" ht="15.75" thickTop="1">
      <c r="A57" s="1124"/>
      <c r="B57" s="1105" t="s">
        <v>764</v>
      </c>
      <c r="C57" s="415"/>
      <c r="D57" s="422"/>
      <c r="E57" s="422"/>
      <c r="F57" s="422"/>
      <c r="G57" s="831"/>
      <c r="H57" s="1178"/>
      <c r="I57" s="1178"/>
      <c r="J57" s="442"/>
      <c r="K57" s="1178"/>
      <c r="L57" s="1178"/>
      <c r="M57" s="1178"/>
      <c r="N57" s="1178"/>
      <c r="O57" s="1178"/>
      <c r="P57" s="1178"/>
      <c r="Q57" s="1178"/>
      <c r="R57" s="1178"/>
      <c r="S57" s="1178"/>
    </row>
    <row r="58" spans="1:34">
      <c r="A58" s="1124"/>
      <c r="B58" s="1105" t="s">
        <v>765</v>
      </c>
      <c r="C58" s="415"/>
      <c r="D58" s="422"/>
      <c r="E58" s="422"/>
      <c r="F58" s="422"/>
      <c r="G58" s="831"/>
      <c r="H58" s="1178"/>
      <c r="I58" s="1178"/>
      <c r="J58" s="442"/>
      <c r="K58" s="1178"/>
      <c r="L58" s="1178"/>
      <c r="M58" s="1178"/>
      <c r="N58" s="1178"/>
      <c r="O58" s="1178"/>
      <c r="P58" s="1178"/>
      <c r="Q58" s="1178"/>
      <c r="R58" s="1178"/>
      <c r="S58" s="1178"/>
    </row>
    <row r="59" spans="1:34">
      <c r="A59" s="1124"/>
      <c r="B59" s="1105" t="s">
        <v>766</v>
      </c>
      <c r="C59" s="415"/>
      <c r="D59" s="422"/>
      <c r="E59" s="422"/>
      <c r="F59" s="422"/>
      <c r="G59" s="831"/>
      <c r="H59" s="1178"/>
      <c r="I59" s="1178"/>
      <c r="J59" s="442"/>
      <c r="K59" s="1178"/>
      <c r="L59" s="1178"/>
      <c r="M59" s="1178"/>
      <c r="N59" s="1178"/>
      <c r="O59" s="1178"/>
      <c r="P59" s="1178"/>
      <c r="Q59" s="1178"/>
      <c r="R59" s="1178"/>
      <c r="S59" s="1178"/>
    </row>
    <row r="60" spans="1:34">
      <c r="A60" s="1124"/>
      <c r="B60" s="1105" t="s">
        <v>767</v>
      </c>
      <c r="C60" s="415"/>
      <c r="D60" s="422"/>
      <c r="E60" s="422"/>
      <c r="F60" s="422"/>
      <c r="G60" s="831"/>
      <c r="H60" s="1178"/>
      <c r="I60" s="1178"/>
      <c r="J60" s="442"/>
      <c r="K60" s="1178"/>
      <c r="L60" s="1178"/>
      <c r="M60" s="1178"/>
      <c r="N60" s="1178"/>
      <c r="O60" s="1178"/>
      <c r="P60" s="1178"/>
      <c r="Q60" s="1178"/>
      <c r="R60" s="1178"/>
      <c r="S60" s="1178"/>
    </row>
    <row r="61" spans="1:34" ht="15.75" thickBot="1">
      <c r="A61" s="443"/>
      <c r="B61" s="421"/>
      <c r="C61" s="23"/>
      <c r="D61" s="86"/>
      <c r="E61" s="86"/>
      <c r="F61" s="86"/>
      <c r="G61" s="27"/>
      <c r="H61" s="444"/>
      <c r="I61" s="444"/>
      <c r="J61" s="25"/>
      <c r="K61" s="444"/>
      <c r="L61" s="444"/>
      <c r="M61" s="444"/>
      <c r="N61" s="444"/>
      <c r="O61" s="444"/>
      <c r="P61" s="444"/>
      <c r="Q61" s="444"/>
      <c r="R61" s="444"/>
      <c r="S61" s="444"/>
    </row>
    <row r="62" spans="1:34" ht="16.5" thickTop="1" thickBot="1">
      <c r="A62" s="72" t="s">
        <v>768</v>
      </c>
      <c r="B62" s="73"/>
      <c r="C62" s="298"/>
      <c r="D62" s="12"/>
      <c r="E62" s="12"/>
      <c r="F62" s="12"/>
      <c r="G62" s="26"/>
      <c r="H62" s="20"/>
      <c r="I62" s="20"/>
      <c r="J62" s="24"/>
      <c r="K62" s="20"/>
      <c r="L62" s="20"/>
      <c r="M62" s="20"/>
      <c r="N62" s="20"/>
      <c r="O62" s="20"/>
      <c r="P62" s="20"/>
      <c r="Q62" s="20"/>
      <c r="R62" s="20"/>
      <c r="S62" s="20"/>
    </row>
    <row r="63" spans="1:34" ht="15.75" thickTop="1">
      <c r="A63" s="1966"/>
      <c r="B63" s="1972" t="s">
        <v>769</v>
      </c>
      <c r="C63" s="1396"/>
      <c r="D63" s="1740"/>
      <c r="E63" s="1740"/>
      <c r="F63" s="1740"/>
      <c r="G63" s="1967"/>
      <c r="H63" s="1973"/>
      <c r="I63" s="1973"/>
      <c r="J63" s="1974"/>
      <c r="K63" s="1973"/>
      <c r="L63" s="1973"/>
      <c r="M63" s="1973"/>
      <c r="N63" s="1973"/>
      <c r="O63" s="1973"/>
      <c r="P63" s="1973"/>
      <c r="Q63" s="1973"/>
      <c r="R63" s="1973"/>
      <c r="S63" s="1973"/>
    </row>
    <row r="64" spans="1:34">
      <c r="A64" s="1124"/>
      <c r="B64" s="1105" t="s">
        <v>770</v>
      </c>
      <c r="C64" s="415"/>
      <c r="D64" s="422"/>
      <c r="E64" s="422"/>
      <c r="F64" s="422"/>
      <c r="G64" s="831"/>
      <c r="H64" s="1182"/>
      <c r="I64" s="1182"/>
      <c r="J64" s="445"/>
      <c r="K64" s="1182"/>
      <c r="L64" s="1182"/>
      <c r="M64" s="1182"/>
      <c r="N64" s="1182"/>
      <c r="O64" s="1182"/>
      <c r="P64" s="1182"/>
      <c r="Q64" s="1182"/>
      <c r="R64" s="1182"/>
      <c r="S64" s="1182"/>
    </row>
    <row r="65" spans="1:19" ht="15.75" thickBot="1">
      <c r="A65" s="1183"/>
      <c r="B65" s="1184" t="s">
        <v>771</v>
      </c>
      <c r="C65" s="1185"/>
      <c r="D65" s="1186"/>
      <c r="E65" s="1186"/>
      <c r="F65" s="1186"/>
      <c r="G65" s="1187"/>
      <c r="H65" s="1189"/>
      <c r="I65" s="1189"/>
      <c r="J65" s="1188"/>
      <c r="K65" s="1189"/>
      <c r="L65" s="1189"/>
      <c r="M65" s="1189"/>
      <c r="N65" s="1189"/>
      <c r="O65" s="1189"/>
      <c r="P65" s="1189"/>
      <c r="Q65" s="1189"/>
      <c r="R65" s="1189"/>
      <c r="S65" s="1189"/>
    </row>
    <row r="66" spans="1:19" ht="16.5" thickTop="1" thickBot="1">
      <c r="F66" s="2"/>
      <c r="G66" s="2"/>
      <c r="H66" s="2"/>
      <c r="I66" s="2"/>
      <c r="J66" s="2"/>
      <c r="K66" s="2"/>
      <c r="L66" s="2"/>
      <c r="M66" s="2"/>
      <c r="N66" s="2"/>
      <c r="O66" s="2"/>
      <c r="P66" s="2"/>
      <c r="Q66" s="2"/>
      <c r="R66" s="2"/>
      <c r="S66" s="2"/>
    </row>
    <row r="67" spans="1:19" ht="16.5" thickTop="1" thickBot="1">
      <c r="A67" s="37" t="s">
        <v>772</v>
      </c>
      <c r="B67" s="39"/>
      <c r="F67" s="2"/>
      <c r="G67" s="2"/>
      <c r="H67" s="2"/>
      <c r="I67" s="2"/>
      <c r="J67" s="2"/>
      <c r="K67" s="2"/>
      <c r="L67" s="2"/>
      <c r="M67" s="2"/>
      <c r="N67" s="2"/>
      <c r="O67" s="2"/>
      <c r="P67" s="2"/>
      <c r="Q67" s="2"/>
      <c r="R67" s="2"/>
      <c r="S67" s="2"/>
    </row>
    <row r="68" spans="1:19" ht="15.75" thickTop="1">
      <c r="A68" s="38" t="s">
        <v>693</v>
      </c>
      <c r="B68" s="1347" t="str">
        <f>R5</f>
        <v>Boys Electrical</v>
      </c>
      <c r="F68" s="2"/>
      <c r="G68" s="2"/>
      <c r="H68" s="2"/>
      <c r="I68" s="2"/>
      <c r="J68" s="2"/>
      <c r="K68" s="2"/>
      <c r="L68" s="2"/>
      <c r="M68" s="2"/>
      <c r="N68" s="2"/>
      <c r="O68" s="2"/>
      <c r="P68" s="2"/>
      <c r="Q68" s="2"/>
      <c r="R68" s="2"/>
      <c r="S68" s="2"/>
    </row>
    <row r="69" spans="1:19">
      <c r="A69" s="1975" t="s">
        <v>702</v>
      </c>
      <c r="B69" s="1349" t="str">
        <f>R6</f>
        <v>Brian Trumble 1015</v>
      </c>
      <c r="F69" s="2"/>
      <c r="G69" s="2"/>
      <c r="H69" s="2"/>
      <c r="I69" s="2"/>
      <c r="J69" s="2"/>
      <c r="K69" s="2"/>
      <c r="L69" s="2"/>
      <c r="M69" s="2"/>
      <c r="N69" s="2"/>
      <c r="O69" s="2"/>
      <c r="P69" s="2"/>
      <c r="Q69" s="2"/>
      <c r="R69" s="2"/>
      <c r="S69" s="2"/>
    </row>
    <row r="70" spans="1:19">
      <c r="A70" s="1348" t="s">
        <v>708</v>
      </c>
      <c r="B70" s="1349">
        <f>R7</f>
        <v>3217273887</v>
      </c>
      <c r="F70" s="2"/>
      <c r="G70" s="2"/>
      <c r="H70" s="2"/>
      <c r="I70" s="2"/>
      <c r="J70" s="2"/>
      <c r="K70" s="2"/>
      <c r="L70" s="2"/>
      <c r="M70" s="2"/>
      <c r="N70" s="2"/>
      <c r="O70" s="2"/>
      <c r="P70" s="2"/>
      <c r="Q70" s="2"/>
      <c r="R70" s="2"/>
      <c r="S70" s="2"/>
    </row>
    <row r="71" spans="1:19">
      <c r="A71" s="1348" t="s">
        <v>713</v>
      </c>
      <c r="B71" s="1976" t="str">
        <f>R8</f>
        <v>btrumble@boyselectrical.com</v>
      </c>
      <c r="F71" s="2"/>
      <c r="G71" s="2"/>
      <c r="H71" s="2"/>
      <c r="I71" s="2"/>
      <c r="J71" s="2"/>
      <c r="K71" s="2"/>
      <c r="L71" s="2"/>
      <c r="M71" s="2"/>
      <c r="N71" s="2"/>
      <c r="O71" s="2"/>
      <c r="P71" s="2"/>
      <c r="Q71" s="2"/>
      <c r="R71" s="2"/>
      <c r="S71" s="2"/>
    </row>
    <row r="72" spans="1:19" ht="15.75" thickBot="1">
      <c r="A72" s="1194" t="s">
        <v>69</v>
      </c>
      <c r="B72" s="1977">
        <f>R9</f>
        <v>90000</v>
      </c>
      <c r="F72" s="2"/>
      <c r="G72" s="2"/>
      <c r="H72" s="2"/>
      <c r="I72" s="2"/>
      <c r="J72" s="2"/>
      <c r="K72" s="2"/>
      <c r="L72" s="2"/>
      <c r="M72" s="2"/>
      <c r="N72" s="2"/>
      <c r="O72" s="2"/>
      <c r="P72" s="2"/>
      <c r="Q72" s="2"/>
      <c r="R72" s="2"/>
      <c r="S72" s="2"/>
    </row>
    <row r="73" spans="1:19" ht="15.75" thickTop="1"/>
  </sheetData>
  <mergeCells count="41">
    <mergeCell ref="A40:B40"/>
    <mergeCell ref="A44:B44"/>
    <mergeCell ref="A48:B48"/>
    <mergeCell ref="A52:B52"/>
    <mergeCell ref="A56:B56"/>
    <mergeCell ref="H8:I8"/>
    <mergeCell ref="R8:S8"/>
    <mergeCell ref="J9:K9"/>
    <mergeCell ref="L9:M9"/>
    <mergeCell ref="N9:O9"/>
    <mergeCell ref="P9:Q9"/>
    <mergeCell ref="H9:I9"/>
    <mergeCell ref="R9:S9"/>
    <mergeCell ref="J8:K8"/>
    <mergeCell ref="L8:M8"/>
    <mergeCell ref="N8:O8"/>
    <mergeCell ref="P8:Q8"/>
    <mergeCell ref="H6:I6"/>
    <mergeCell ref="R6:S6"/>
    <mergeCell ref="J7:K7"/>
    <mergeCell ref="L7:M7"/>
    <mergeCell ref="N7:O7"/>
    <mergeCell ref="P7:Q7"/>
    <mergeCell ref="H7:I7"/>
    <mergeCell ref="R7:S7"/>
    <mergeCell ref="J6:K6"/>
    <mergeCell ref="L6:M6"/>
    <mergeCell ref="N6:O6"/>
    <mergeCell ref="P6:Q6"/>
    <mergeCell ref="H4:I4"/>
    <mergeCell ref="R4:S4"/>
    <mergeCell ref="J5:K5"/>
    <mergeCell ref="L5:M5"/>
    <mergeCell ref="N5:O5"/>
    <mergeCell ref="P5:Q5"/>
    <mergeCell ref="H5:I5"/>
    <mergeCell ref="R5:S5"/>
    <mergeCell ref="J4:K4"/>
    <mergeCell ref="L4:M4"/>
    <mergeCell ref="N4:O4"/>
    <mergeCell ref="P4:Q4"/>
  </mergeCells>
  <conditionalFormatting sqref="H11:H19">
    <cfRule type="cellIs" dxfId="141" priority="1" operator="equal">
      <formula>"X"</formula>
    </cfRule>
    <cfRule type="cellIs" dxfId="140" priority="2" operator="equal">
      <formula>"I"</formula>
    </cfRule>
  </conditionalFormatting>
  <conditionalFormatting sqref="H21:H31 J21:J31 L21:L31 N21:N31">
    <cfRule type="cellIs" dxfId="139" priority="29" operator="equal">
      <formula>"X"</formula>
    </cfRule>
    <cfRule type="cellIs" dxfId="138" priority="30" operator="equal">
      <formula>"I"</formula>
    </cfRule>
  </conditionalFormatting>
  <conditionalFormatting sqref="J11:J19">
    <cfRule type="cellIs" dxfId="137" priority="3" operator="equal">
      <formula>"X"</formula>
    </cfRule>
    <cfRule type="cellIs" dxfId="136" priority="4" operator="equal">
      <formula>"I"</formula>
    </cfRule>
  </conditionalFormatting>
  <conditionalFormatting sqref="L11:L19">
    <cfRule type="cellIs" dxfId="135" priority="5" operator="equal">
      <formula>"X"</formula>
    </cfRule>
    <cfRule type="cellIs" dxfId="134" priority="6" operator="equal">
      <formula>"I"</formula>
    </cfRule>
  </conditionalFormatting>
  <conditionalFormatting sqref="N11:N19">
    <cfRule type="cellIs" dxfId="133" priority="7" operator="equal">
      <formula>"X"</formula>
    </cfRule>
    <cfRule type="cellIs" dxfId="132" priority="8" operator="equal">
      <formula>"I"</formula>
    </cfRule>
  </conditionalFormatting>
  <conditionalFormatting sqref="P11:P19">
    <cfRule type="cellIs" dxfId="131" priority="9" operator="equal">
      <formula>"X"</formula>
    </cfRule>
    <cfRule type="cellIs" dxfId="130" priority="10" operator="equal">
      <formula>"I"</formula>
    </cfRule>
  </conditionalFormatting>
  <conditionalFormatting sqref="P21:P31">
    <cfRule type="cellIs" dxfId="129" priority="15" operator="equal">
      <formula>"X"</formula>
    </cfRule>
    <cfRule type="cellIs" dxfId="128" priority="16" operator="equal">
      <formula>"I"</formula>
    </cfRule>
  </conditionalFormatting>
  <conditionalFormatting sqref="R11:R19">
    <cfRule type="cellIs" dxfId="127" priority="11" operator="equal">
      <formula>"X"</formula>
    </cfRule>
    <cfRule type="cellIs" dxfId="126" priority="12" operator="equal">
      <formula>"I"</formula>
    </cfRule>
  </conditionalFormatting>
  <conditionalFormatting sqref="R21:R31">
    <cfRule type="cellIs" dxfId="125" priority="13" operator="equal">
      <formula>"X"</formula>
    </cfRule>
    <cfRule type="cellIs" dxfId="124" priority="14" operator="equal">
      <formula>"I"</formula>
    </cfRule>
  </conditionalFormatting>
  <hyperlinks>
    <hyperlink ref="B4" location="'Cost Summary'!A1" display="BACK TO SUMMARY SHEET" xr:uid="{6724ACFB-C768-4F2F-B186-AB6DF9E367AF}"/>
    <hyperlink ref="N8:O8" r:id="rId1" display="jkomis@powerdesigninc.us" xr:uid="{283E3412-D070-4705-BCDC-298436122832}"/>
    <hyperlink ref="P8" r:id="rId2" display="mailto:tgoff@randallconstruction.com" xr:uid="{E3809443-A069-4538-91F7-0A7FE20D0CC7}"/>
    <hyperlink ref="R8" r:id="rId3" display="mailto:btrumble@boyselectrical.com" xr:uid="{29624AAE-CA7E-4F67-BF7D-FC127F14EABF}"/>
  </hyperlinks>
  <pageMargins left="0.7" right="0.7" top="0.75" bottom="0.75" header="0.3" footer="0.3"/>
  <pageSetup orientation="portrait" r:id="rId4"/>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779D-48E8-4400-B363-C4675EA23D3B}">
  <sheetPr>
    <tabColor theme="5" tint="0.39997558519241921"/>
  </sheetPr>
  <dimension ref="A1:AU143"/>
  <sheetViews>
    <sheetView zoomScale="90" zoomScaleNormal="90" workbookViewId="0">
      <pane xSplit="2" ySplit="10" topLeftCell="F87" activePane="bottomRight" state="frozen"/>
      <selection pane="topRight" activeCell="C1" sqref="C1"/>
      <selection pane="bottomLeft" activeCell="A11" sqref="A11"/>
      <selection pane="bottomRight"/>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 style="270" bestFit="1"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 min="20" max="20" width="7.7109375" style="270" customWidth="1"/>
    <col min="21" max="21" width="15.7109375" style="270" customWidth="1"/>
    <col min="22" max="22" width="7.7109375" style="270" customWidth="1"/>
    <col min="23" max="23" width="15.7109375" style="270" customWidth="1"/>
    <col min="24" max="24" width="7.7109375" style="270" customWidth="1"/>
    <col min="25" max="25" width="15.7109375" style="270" customWidth="1"/>
  </cols>
  <sheetData>
    <row r="1" spans="1:30">
      <c r="D1" s="260"/>
      <c r="E1" s="68"/>
      <c r="F1" s="275"/>
      <c r="G1" s="269" t="s">
        <v>679</v>
      </c>
      <c r="AD1" s="261"/>
    </row>
    <row r="2" spans="1:30">
      <c r="D2" s="260"/>
      <c r="E2" s="68"/>
      <c r="F2" s="276" t="s">
        <v>680</v>
      </c>
      <c r="G2" s="269" t="s">
        <v>681</v>
      </c>
      <c r="H2" s="2386" t="s">
        <v>2550</v>
      </c>
      <c r="I2" s="2386"/>
      <c r="AD2" s="261"/>
    </row>
    <row r="3" spans="1:30" ht="15.75" thickBot="1">
      <c r="D3" s="260"/>
      <c r="E3" s="68"/>
      <c r="F3" s="277" t="s">
        <v>682</v>
      </c>
      <c r="G3" s="269" t="s">
        <v>683</v>
      </c>
      <c r="H3" s="2417">
        <v>7726002926</v>
      </c>
      <c r="I3" s="2417"/>
      <c r="AD3" s="261"/>
    </row>
    <row r="4" spans="1:30" ht="15.75" thickBot="1">
      <c r="B4" s="262" t="s">
        <v>684</v>
      </c>
      <c r="D4" s="260"/>
      <c r="E4" s="68"/>
      <c r="F4" s="278"/>
      <c r="G4" s="270" t="s">
        <v>685</v>
      </c>
      <c r="H4" s="2410" t="s">
        <v>686</v>
      </c>
      <c r="I4" s="2411"/>
      <c r="J4" s="2410" t="s">
        <v>687</v>
      </c>
      <c r="K4" s="2411"/>
      <c r="L4" s="2410" t="s">
        <v>688</v>
      </c>
      <c r="M4" s="2411"/>
      <c r="N4" s="2319" t="s">
        <v>689</v>
      </c>
      <c r="O4" s="2320"/>
      <c r="P4" s="2319" t="s">
        <v>689</v>
      </c>
      <c r="Q4" s="2320"/>
      <c r="R4" s="2319" t="s">
        <v>690</v>
      </c>
      <c r="S4" s="2320"/>
      <c r="T4" s="2323" t="s">
        <v>691</v>
      </c>
      <c r="U4" s="2324"/>
      <c r="V4" s="2319" t="s">
        <v>1332</v>
      </c>
      <c r="W4" s="2320"/>
      <c r="X4" s="2319" t="s">
        <v>774</v>
      </c>
      <c r="Y4" s="2320"/>
      <c r="AD4" s="261"/>
    </row>
    <row r="5" spans="1:30" ht="15.75" thickTop="1">
      <c r="A5" s="292" t="s">
        <v>692</v>
      </c>
      <c r="B5" s="299" t="str">
        <f>'Area Calculations'!B4</f>
        <v>ERAU Residential Hall &amp; Garage Building</v>
      </c>
      <c r="C5" s="294"/>
      <c r="D5" s="263"/>
      <c r="E5" s="264"/>
      <c r="F5" s="279"/>
      <c r="G5" s="271" t="s">
        <v>693</v>
      </c>
      <c r="H5" s="2400" t="s">
        <v>2551</v>
      </c>
      <c r="I5" s="2401"/>
      <c r="J5" s="2400" t="s">
        <v>2424</v>
      </c>
      <c r="K5" s="2401"/>
      <c r="L5" s="2400" t="s">
        <v>2552</v>
      </c>
      <c r="M5" s="2401"/>
      <c r="N5" s="2400" t="s">
        <v>2553</v>
      </c>
      <c r="O5" s="2401"/>
      <c r="P5" s="2333" t="s">
        <v>2554</v>
      </c>
      <c r="Q5" s="2334"/>
      <c r="R5" s="2400" t="s">
        <v>2555</v>
      </c>
      <c r="S5" s="2401"/>
      <c r="T5" s="2400" t="s">
        <v>2556</v>
      </c>
      <c r="U5" s="2401"/>
      <c r="V5" s="2333" t="s">
        <v>2557</v>
      </c>
      <c r="W5" s="2334"/>
      <c r="X5" s="2333" t="s">
        <v>2558</v>
      </c>
      <c r="Y5" s="2334"/>
      <c r="AD5" s="261"/>
    </row>
    <row r="6" spans="1:30">
      <c r="A6" s="1978" t="s">
        <v>700</v>
      </c>
      <c r="B6" s="1351" t="s">
        <v>364</v>
      </c>
      <c r="C6" s="415"/>
      <c r="D6" s="416"/>
      <c r="E6" s="417"/>
      <c r="F6" s="418"/>
      <c r="G6" s="419" t="s">
        <v>702</v>
      </c>
      <c r="H6" s="2313" t="s">
        <v>2559</v>
      </c>
      <c r="I6" s="2314"/>
      <c r="J6" s="2313" t="s">
        <v>2430</v>
      </c>
      <c r="K6" s="2314"/>
      <c r="L6" s="2313" t="s">
        <v>2560</v>
      </c>
      <c r="M6" s="2314"/>
      <c r="N6" s="2313" t="s">
        <v>2561</v>
      </c>
      <c r="O6" s="2314"/>
      <c r="P6" s="2313" t="s">
        <v>2561</v>
      </c>
      <c r="Q6" s="2314"/>
      <c r="R6" s="2313" t="s">
        <v>2562</v>
      </c>
      <c r="S6" s="2314"/>
      <c r="T6" s="2313" t="s">
        <v>2563</v>
      </c>
      <c r="U6" s="2314"/>
      <c r="V6" s="2313" t="s">
        <v>2564</v>
      </c>
      <c r="W6" s="2314"/>
      <c r="X6" s="2313"/>
      <c r="Y6" s="2314"/>
      <c r="AD6" s="261"/>
    </row>
    <row r="7" spans="1:30">
      <c r="A7" s="1978" t="s">
        <v>706</v>
      </c>
      <c r="B7" s="1352" t="s">
        <v>363</v>
      </c>
      <c r="C7" s="415"/>
      <c r="D7" s="416"/>
      <c r="E7" s="417"/>
      <c r="F7" s="418"/>
      <c r="G7" s="829" t="s">
        <v>708</v>
      </c>
      <c r="H7" s="2398">
        <v>7722832000</v>
      </c>
      <c r="I7" s="2399"/>
      <c r="J7" s="2398">
        <v>3212691124</v>
      </c>
      <c r="K7" s="2399"/>
      <c r="L7" s="2398">
        <v>3212280799</v>
      </c>
      <c r="M7" s="2399"/>
      <c r="N7" s="2398">
        <v>5614026838</v>
      </c>
      <c r="O7" s="2399"/>
      <c r="P7" s="2398">
        <v>5614026838</v>
      </c>
      <c r="Q7" s="2399"/>
      <c r="R7" s="2398">
        <v>4072468080</v>
      </c>
      <c r="S7" s="2399"/>
      <c r="T7" s="2398">
        <v>9292800069</v>
      </c>
      <c r="U7" s="2399"/>
      <c r="V7" s="2398">
        <v>3216892678</v>
      </c>
      <c r="W7" s="2399"/>
      <c r="X7" s="2313"/>
      <c r="Y7" s="2314"/>
      <c r="AD7" s="261"/>
    </row>
    <row r="8" spans="1:30">
      <c r="A8" s="1978" t="s">
        <v>712</v>
      </c>
      <c r="B8" s="1353"/>
      <c r="C8" s="415"/>
      <c r="D8" s="416"/>
      <c r="E8" s="417"/>
      <c r="F8" s="418"/>
      <c r="G8" s="829" t="s">
        <v>713</v>
      </c>
      <c r="H8" s="2343" t="s">
        <v>2565</v>
      </c>
      <c r="I8" s="2316"/>
      <c r="J8" s="2409" t="s">
        <v>2436</v>
      </c>
      <c r="K8" s="2408"/>
      <c r="L8" s="2409" t="s">
        <v>2566</v>
      </c>
      <c r="M8" s="2408"/>
      <c r="N8" s="2409" t="s">
        <v>2567</v>
      </c>
      <c r="O8" s="2408"/>
      <c r="P8" s="2409" t="s">
        <v>2567</v>
      </c>
      <c r="Q8" s="2408"/>
      <c r="R8" s="2409" t="s">
        <v>2568</v>
      </c>
      <c r="S8" s="2408"/>
      <c r="T8" s="2409" t="s">
        <v>2569</v>
      </c>
      <c r="U8" s="2408"/>
      <c r="V8" s="2409" t="s">
        <v>2570</v>
      </c>
      <c r="W8" s="2408"/>
      <c r="X8" s="2315"/>
      <c r="Y8" s="2316"/>
      <c r="AD8" s="261"/>
    </row>
    <row r="9" spans="1:30" ht="15.75" thickBot="1">
      <c r="A9" s="420"/>
      <c r="B9" s="421"/>
      <c r="C9" s="23"/>
      <c r="D9" s="265"/>
      <c r="E9" s="266"/>
      <c r="F9" s="283"/>
      <c r="G9" s="284" t="s">
        <v>717</v>
      </c>
      <c r="H9" s="2396">
        <f>I106</f>
        <v>1641380.07</v>
      </c>
      <c r="I9" s="2397"/>
      <c r="J9" s="2396">
        <f>K102</f>
        <v>1920936</v>
      </c>
      <c r="K9" s="2397"/>
      <c r="L9" s="2396">
        <f>M102</f>
        <v>1666361</v>
      </c>
      <c r="M9" s="2397"/>
      <c r="N9" s="2396">
        <f>O106</f>
        <v>1835826.5</v>
      </c>
      <c r="O9" s="2397"/>
      <c r="P9" s="2396">
        <f>Q106</f>
        <v>2007000</v>
      </c>
      <c r="Q9" s="2397"/>
      <c r="R9" s="2396">
        <f>S106</f>
        <v>2018587</v>
      </c>
      <c r="S9" s="2397"/>
      <c r="T9" s="2396">
        <f>U106</f>
        <v>1981698</v>
      </c>
      <c r="U9" s="2397"/>
      <c r="V9" s="2396">
        <f>W106</f>
        <v>2048628</v>
      </c>
      <c r="W9" s="2397"/>
      <c r="X9" s="2317">
        <f>Y106</f>
        <v>0</v>
      </c>
      <c r="Y9" s="2318"/>
      <c r="AD9" s="261"/>
    </row>
    <row r="10" spans="1:30"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0" t="s">
        <v>724</v>
      </c>
      <c r="T10" s="290" t="s">
        <v>723</v>
      </c>
      <c r="U10" s="290" t="s">
        <v>724</v>
      </c>
      <c r="V10" s="290" t="s">
        <v>723</v>
      </c>
      <c r="W10" s="290" t="s">
        <v>724</v>
      </c>
      <c r="X10" s="290" t="s">
        <v>723</v>
      </c>
      <c r="Y10" s="291" t="s">
        <v>724</v>
      </c>
      <c r="AD10" s="268"/>
    </row>
    <row r="11" spans="1:30" ht="15.75">
      <c r="A11" s="1979"/>
      <c r="B11" s="1980" t="s">
        <v>725</v>
      </c>
      <c r="C11" s="1398"/>
      <c r="D11" s="1981"/>
      <c r="E11" s="1981"/>
      <c r="F11" s="1982"/>
      <c r="G11" s="1983"/>
      <c r="H11" s="1984"/>
      <c r="I11" s="1985"/>
      <c r="J11" s="1984"/>
      <c r="K11" s="285"/>
      <c r="L11" s="1984"/>
      <c r="M11" s="1986"/>
      <c r="N11" s="1984"/>
      <c r="O11" s="1986"/>
      <c r="P11" s="1984"/>
      <c r="Q11" s="1986"/>
      <c r="R11" s="1984"/>
      <c r="S11" s="1986"/>
      <c r="T11" s="1984"/>
      <c r="U11" s="1986"/>
      <c r="V11" s="1984"/>
      <c r="W11" s="1986"/>
      <c r="X11" s="1984"/>
      <c r="Y11" s="1986"/>
    </row>
    <row r="12" spans="1:30">
      <c r="A12" s="1979"/>
      <c r="B12" s="1363" t="s">
        <v>726</v>
      </c>
      <c r="C12" s="446"/>
      <c r="D12" s="422"/>
      <c r="E12" s="422"/>
      <c r="F12" s="418"/>
      <c r="G12" s="423"/>
      <c r="H12" s="1364" t="s">
        <v>727</v>
      </c>
      <c r="I12" s="1985">
        <v>46209</v>
      </c>
      <c r="J12" s="1364"/>
      <c r="K12" s="1986"/>
      <c r="L12" s="1364"/>
      <c r="M12" s="1986"/>
      <c r="N12" s="1364"/>
      <c r="O12" s="1986"/>
      <c r="P12" s="1364"/>
      <c r="Q12" s="1986"/>
      <c r="R12" s="1364"/>
      <c r="S12" s="1986"/>
      <c r="T12" s="1364" t="s">
        <v>727</v>
      </c>
      <c r="U12" s="1986"/>
      <c r="V12" s="1364"/>
      <c r="W12" s="1986"/>
      <c r="X12" s="1364"/>
      <c r="Y12" s="1986"/>
    </row>
    <row r="13" spans="1:30">
      <c r="A13" s="1097"/>
      <c r="B13" s="1363" t="s">
        <v>728</v>
      </c>
      <c r="C13" s="446"/>
      <c r="D13" s="422"/>
      <c r="E13" s="422"/>
      <c r="F13" s="418"/>
      <c r="G13" s="423"/>
      <c r="H13" s="1364" t="s">
        <v>727</v>
      </c>
      <c r="I13" s="1985"/>
      <c r="J13" s="1364"/>
      <c r="K13" s="1986"/>
      <c r="L13" s="1364"/>
      <c r="M13" s="1986"/>
      <c r="N13" s="1364"/>
      <c r="O13" s="1986"/>
      <c r="P13" s="1364"/>
      <c r="Q13" s="1986"/>
      <c r="R13" s="1364"/>
      <c r="S13" s="1986"/>
      <c r="T13" s="1364" t="s">
        <v>727</v>
      </c>
      <c r="U13" s="1986"/>
      <c r="V13" s="1364"/>
      <c r="W13" s="1986"/>
      <c r="X13" s="1364"/>
      <c r="Y13" s="1986"/>
    </row>
    <row r="14" spans="1:30">
      <c r="A14" s="1979"/>
      <c r="B14" s="1365" t="s">
        <v>729</v>
      </c>
      <c r="C14" s="446"/>
      <c r="D14" s="422"/>
      <c r="E14" s="422"/>
      <c r="F14" s="418"/>
      <c r="G14" s="423"/>
      <c r="H14" s="1364" t="s">
        <v>730</v>
      </c>
      <c r="I14" s="1987" t="s">
        <v>837</v>
      </c>
      <c r="J14" s="1364"/>
      <c r="K14" s="1986"/>
      <c r="L14" s="1364"/>
      <c r="M14" s="1986"/>
      <c r="N14" s="1364"/>
      <c r="O14" s="1986"/>
      <c r="P14" s="1364"/>
      <c r="Q14" s="1986"/>
      <c r="R14" s="1364"/>
      <c r="S14" s="1986"/>
      <c r="T14" s="1364" t="s">
        <v>730</v>
      </c>
      <c r="U14" s="1986"/>
      <c r="V14" s="1364"/>
      <c r="W14" s="1986"/>
      <c r="X14" s="1364"/>
      <c r="Y14" s="1986"/>
    </row>
    <row r="15" spans="1:30">
      <c r="A15" s="1097"/>
      <c r="B15" s="1365" t="s">
        <v>731</v>
      </c>
      <c r="C15" s="446"/>
      <c r="D15" s="422"/>
      <c r="E15" s="422"/>
      <c r="F15" s="418"/>
      <c r="G15" s="423"/>
      <c r="H15" s="1364" t="s">
        <v>727</v>
      </c>
      <c r="I15" s="1985"/>
      <c r="J15" s="1364"/>
      <c r="K15" s="1985"/>
      <c r="L15" s="1364"/>
      <c r="M15" s="1985"/>
      <c r="N15" s="1364"/>
      <c r="O15" s="1985"/>
      <c r="P15" s="1364"/>
      <c r="Q15" s="1985"/>
      <c r="R15" s="1364"/>
      <c r="S15" s="1985"/>
      <c r="T15" s="1364" t="s">
        <v>727</v>
      </c>
      <c r="U15" s="1985"/>
      <c r="V15" s="1364"/>
      <c r="W15" s="1985"/>
      <c r="X15" s="1364"/>
      <c r="Y15" s="1985"/>
    </row>
    <row r="16" spans="1:30">
      <c r="A16" s="1979"/>
      <c r="B16" s="1365" t="s">
        <v>732</v>
      </c>
      <c r="C16" s="446"/>
      <c r="D16" s="422"/>
      <c r="E16" s="422"/>
      <c r="F16" s="418"/>
      <c r="G16" s="423"/>
      <c r="H16" s="1364" t="s">
        <v>727</v>
      </c>
      <c r="I16" s="1985"/>
      <c r="J16" s="1364"/>
      <c r="K16" s="1986"/>
      <c r="L16" s="1364"/>
      <c r="M16" s="1986"/>
      <c r="N16" s="1364"/>
      <c r="O16" s="1986"/>
      <c r="P16" s="1364"/>
      <c r="Q16" s="1986"/>
      <c r="R16" s="1364"/>
      <c r="S16" s="1986"/>
      <c r="T16" s="1364" t="s">
        <v>727</v>
      </c>
      <c r="U16" s="1986"/>
      <c r="V16" s="1364"/>
      <c r="W16" s="1986"/>
      <c r="X16" s="1364"/>
      <c r="Y16" s="1986"/>
    </row>
    <row r="17" spans="1:47">
      <c r="A17" s="1097"/>
      <c r="B17" s="1365" t="s">
        <v>733</v>
      </c>
      <c r="C17" s="446"/>
      <c r="D17" s="422"/>
      <c r="E17" s="422"/>
      <c r="F17" s="418"/>
      <c r="G17" s="423"/>
      <c r="H17" s="1364" t="s">
        <v>727</v>
      </c>
      <c r="I17" s="1985"/>
      <c r="J17" s="1364"/>
      <c r="K17" s="1986"/>
      <c r="L17" s="1364"/>
      <c r="M17" s="1986"/>
      <c r="N17" s="1364"/>
      <c r="O17" s="1986"/>
      <c r="P17" s="1364"/>
      <c r="Q17" s="1986"/>
      <c r="R17" s="1364"/>
      <c r="S17" s="1986"/>
      <c r="T17" s="1364" t="s">
        <v>727</v>
      </c>
      <c r="U17" s="1986"/>
      <c r="V17" s="1364"/>
      <c r="W17" s="1986"/>
      <c r="X17" s="1364"/>
      <c r="Y17" s="1986"/>
    </row>
    <row r="18" spans="1:47">
      <c r="A18" s="1979"/>
      <c r="B18" s="534" t="s">
        <v>734</v>
      </c>
      <c r="C18" s="446"/>
      <c r="D18" s="422"/>
      <c r="E18" s="422"/>
      <c r="F18" s="418"/>
      <c r="G18" s="423"/>
      <c r="H18" s="1364" t="s">
        <v>730</v>
      </c>
      <c r="I18" s="1985" t="s">
        <v>838</v>
      </c>
      <c r="J18" s="1364"/>
      <c r="K18" s="1986"/>
      <c r="L18" s="1364"/>
      <c r="M18" s="1986"/>
      <c r="N18" s="1364"/>
      <c r="O18" s="1986"/>
      <c r="P18" s="1364"/>
      <c r="Q18" s="1986"/>
      <c r="R18" s="1364"/>
      <c r="S18" s="1986"/>
      <c r="T18" s="1364" t="s">
        <v>727</v>
      </c>
      <c r="U18" s="1986" t="s">
        <v>917</v>
      </c>
      <c r="V18" s="1364"/>
      <c r="W18" s="1986"/>
      <c r="X18" s="1364"/>
      <c r="Y18" s="1986"/>
    </row>
    <row r="19" spans="1:47">
      <c r="A19" s="1979"/>
      <c r="B19" s="1988" t="s">
        <v>736</v>
      </c>
      <c r="C19" s="446"/>
      <c r="D19" s="422"/>
      <c r="E19" s="422"/>
      <c r="F19" s="418"/>
      <c r="G19" s="423"/>
      <c r="H19" s="1364"/>
      <c r="I19" s="1985"/>
      <c r="J19" s="1364"/>
      <c r="K19" s="1986"/>
      <c r="L19" s="1364"/>
      <c r="M19" s="1986"/>
      <c r="N19" s="1364"/>
      <c r="O19" s="1986"/>
      <c r="P19" s="1364"/>
      <c r="Q19" s="1986"/>
      <c r="R19" s="1364"/>
      <c r="S19" s="1986"/>
      <c r="T19" s="1364"/>
      <c r="U19" s="1986"/>
      <c r="V19" s="1364"/>
      <c r="W19" s="1986"/>
      <c r="X19" s="1364"/>
      <c r="Y19" s="1986"/>
    </row>
    <row r="20" spans="1:47">
      <c r="A20" s="1097"/>
      <c r="B20" s="1959" t="s">
        <v>737</v>
      </c>
      <c r="C20" s="447"/>
      <c r="D20" s="425"/>
      <c r="E20" s="425"/>
      <c r="F20" s="426"/>
      <c r="G20" s="427"/>
      <c r="H20" s="1989"/>
      <c r="I20" s="1961"/>
      <c r="J20" s="1989"/>
      <c r="K20" s="1960">
        <v>1045936</v>
      </c>
      <c r="L20" s="1989"/>
      <c r="M20" s="1960">
        <v>791361</v>
      </c>
      <c r="N20" s="1989"/>
      <c r="O20" s="1960">
        <f>1242650-300000</f>
        <v>942650</v>
      </c>
      <c r="P20" s="1989"/>
      <c r="Q20" s="1960">
        <f>1352000-220000</f>
        <v>1132000</v>
      </c>
      <c r="R20" s="1989"/>
      <c r="S20" s="1960"/>
      <c r="T20" s="1989"/>
      <c r="U20" s="1960"/>
      <c r="V20" s="1989"/>
      <c r="W20" s="1960">
        <v>2048628</v>
      </c>
      <c r="X20" s="1989"/>
      <c r="Y20" s="1960"/>
    </row>
    <row r="21" spans="1:47">
      <c r="A21" s="1979"/>
      <c r="B21" s="1990"/>
      <c r="C21" s="70"/>
      <c r="D21" s="86"/>
      <c r="E21" s="86"/>
      <c r="F21" s="280"/>
      <c r="G21" s="274"/>
      <c r="H21" s="1364"/>
      <c r="I21" s="428"/>
      <c r="J21" s="1364"/>
      <c r="K21" s="428"/>
      <c r="L21" s="1364"/>
      <c r="M21" s="428"/>
      <c r="N21" s="1364"/>
      <c r="O21" s="428"/>
      <c r="P21" s="1364"/>
      <c r="Q21" s="428"/>
      <c r="R21" s="1364"/>
      <c r="S21" s="428"/>
      <c r="T21" s="1364"/>
      <c r="U21" s="428"/>
      <c r="V21" s="1364"/>
      <c r="W21" s="428"/>
      <c r="X21" s="1364"/>
      <c r="Y21" s="428"/>
    </row>
    <row r="22" spans="1:47" s="69" customFormat="1">
      <c r="A22" s="1097"/>
      <c r="B22" s="1991" t="s">
        <v>2571</v>
      </c>
      <c r="C22" s="415"/>
      <c r="D22" s="422"/>
      <c r="E22" s="422"/>
      <c r="F22" s="429"/>
      <c r="G22" s="423"/>
      <c r="H22" s="1364" t="s">
        <v>727</v>
      </c>
      <c r="I22" s="1568"/>
      <c r="J22" s="1364"/>
      <c r="K22" s="1992"/>
      <c r="L22" s="1364" t="s">
        <v>727</v>
      </c>
      <c r="M22" s="1992"/>
      <c r="N22" s="1364" t="s">
        <v>727</v>
      </c>
      <c r="O22" s="1568"/>
      <c r="P22" s="1364" t="s">
        <v>727</v>
      </c>
      <c r="Q22" s="1568"/>
      <c r="R22" s="1364" t="s">
        <v>727</v>
      </c>
      <c r="S22" s="1568">
        <v>999175</v>
      </c>
      <c r="T22" s="1364" t="s">
        <v>727</v>
      </c>
      <c r="U22" s="1568">
        <f>1325071-168104-104875-89806</f>
        <v>962286</v>
      </c>
      <c r="V22" s="1364" t="s">
        <v>727</v>
      </c>
      <c r="W22" s="1568"/>
      <c r="X22" s="1364"/>
      <c r="Y22" s="1992"/>
      <c r="Z22"/>
      <c r="AA22"/>
      <c r="AB22"/>
      <c r="AC22"/>
      <c r="AD22"/>
      <c r="AE22"/>
      <c r="AF22"/>
      <c r="AG22"/>
      <c r="AH22"/>
      <c r="AI22"/>
      <c r="AJ22"/>
      <c r="AK22"/>
      <c r="AL22"/>
      <c r="AM22"/>
      <c r="AN22"/>
      <c r="AO22"/>
      <c r="AP22"/>
      <c r="AQ22"/>
      <c r="AR22"/>
      <c r="AS22"/>
      <c r="AT22"/>
      <c r="AU22"/>
    </row>
    <row r="23" spans="1:47">
      <c r="A23" s="1979"/>
      <c r="B23" s="1993" t="s">
        <v>2572</v>
      </c>
      <c r="C23" s="1396"/>
      <c r="D23" s="1981"/>
      <c r="E23" s="1981"/>
      <c r="F23" s="1994"/>
      <c r="G23" s="1983"/>
      <c r="H23" s="1364" t="s">
        <v>727</v>
      </c>
      <c r="I23" s="1242">
        <v>587750</v>
      </c>
      <c r="J23" s="1364"/>
      <c r="K23" s="1986"/>
      <c r="L23" s="1364" t="s">
        <v>727</v>
      </c>
      <c r="M23" s="1986"/>
      <c r="N23" s="1364" t="s">
        <v>727</v>
      </c>
      <c r="O23" s="1242"/>
      <c r="P23" s="1364" t="s">
        <v>727</v>
      </c>
      <c r="Q23" s="1242"/>
      <c r="R23" s="1364" t="s">
        <v>727</v>
      </c>
      <c r="S23" s="1242"/>
      <c r="T23" s="1364" t="s">
        <v>727</v>
      </c>
      <c r="U23" s="1242"/>
      <c r="V23" s="1364" t="s">
        <v>727</v>
      </c>
      <c r="W23" s="1242"/>
      <c r="X23" s="1364"/>
      <c r="Y23" s="1986"/>
    </row>
    <row r="24" spans="1:47">
      <c r="A24" s="1979"/>
      <c r="B24" s="1993" t="s">
        <v>2573</v>
      </c>
      <c r="C24" s="1396"/>
      <c r="D24" s="1981"/>
      <c r="E24" s="1981"/>
      <c r="F24" s="1994"/>
      <c r="G24" s="1983"/>
      <c r="H24" s="1364" t="s">
        <v>727</v>
      </c>
      <c r="I24" s="1242">
        <v>124255</v>
      </c>
      <c r="J24" s="1364"/>
      <c r="K24" s="1986"/>
      <c r="L24" s="1364" t="s">
        <v>727</v>
      </c>
      <c r="M24" s="1986"/>
      <c r="N24" s="1364" t="s">
        <v>727</v>
      </c>
      <c r="O24" s="1242"/>
      <c r="P24" s="1364" t="s">
        <v>727</v>
      </c>
      <c r="Q24" s="1242"/>
      <c r="R24" s="1364" t="s">
        <v>727</v>
      </c>
      <c r="S24" s="1242"/>
      <c r="T24" s="1364" t="s">
        <v>727</v>
      </c>
      <c r="U24" s="1242"/>
      <c r="V24" s="1364" t="s">
        <v>727</v>
      </c>
      <c r="W24" s="1242"/>
      <c r="X24" s="1364"/>
      <c r="Y24" s="1986"/>
    </row>
    <row r="25" spans="1:47">
      <c r="A25" s="1979"/>
      <c r="B25" s="1972" t="s">
        <v>2574</v>
      </c>
      <c r="C25" s="1396"/>
      <c r="D25" s="1981"/>
      <c r="E25" s="1981"/>
      <c r="F25" s="1994"/>
      <c r="G25" s="1983"/>
      <c r="H25" s="1364" t="s">
        <v>727</v>
      </c>
      <c r="I25" s="1242"/>
      <c r="J25" s="1364"/>
      <c r="K25" s="1986"/>
      <c r="L25" s="1364" t="s">
        <v>727</v>
      </c>
      <c r="M25" s="1986"/>
      <c r="N25" s="1364" t="s">
        <v>727</v>
      </c>
      <c r="O25" s="1242"/>
      <c r="P25" s="1364" t="s">
        <v>727</v>
      </c>
      <c r="Q25" s="1242"/>
      <c r="R25" s="1364" t="s">
        <v>727</v>
      </c>
      <c r="S25" s="1242"/>
      <c r="T25" s="1364" t="s">
        <v>727</v>
      </c>
      <c r="U25" s="1242"/>
      <c r="V25" s="1364" t="s">
        <v>727</v>
      </c>
      <c r="W25" s="1242"/>
      <c r="X25" s="1364"/>
      <c r="Y25" s="1986"/>
    </row>
    <row r="26" spans="1:47">
      <c r="A26" s="1979"/>
      <c r="B26" s="1972" t="s">
        <v>2575</v>
      </c>
      <c r="C26" s="1396"/>
      <c r="D26" s="1981"/>
      <c r="E26" s="1981"/>
      <c r="F26" s="1994"/>
      <c r="G26" s="1983"/>
      <c r="H26" s="1364" t="s">
        <v>727</v>
      </c>
      <c r="I26" s="1242"/>
      <c r="J26" s="1364"/>
      <c r="K26" s="1986"/>
      <c r="L26" s="1364" t="s">
        <v>727</v>
      </c>
      <c r="M26" s="1986"/>
      <c r="N26" s="1364" t="s">
        <v>727</v>
      </c>
      <c r="O26" s="1242"/>
      <c r="P26" s="1364" t="s">
        <v>727</v>
      </c>
      <c r="Q26" s="1242"/>
      <c r="R26" s="1364" t="s">
        <v>727</v>
      </c>
      <c r="S26" s="1242"/>
      <c r="T26" s="1364" t="s">
        <v>727</v>
      </c>
      <c r="U26" s="1242"/>
      <c r="V26" s="1364" t="s">
        <v>727</v>
      </c>
      <c r="W26" s="1242"/>
      <c r="X26" s="1364"/>
      <c r="Y26" s="1986"/>
    </row>
    <row r="27" spans="1:47">
      <c r="A27" s="1979"/>
      <c r="B27" s="1972" t="s">
        <v>2576</v>
      </c>
      <c r="C27" s="1396"/>
      <c r="D27" s="1981"/>
      <c r="E27" s="1981"/>
      <c r="F27" s="1994"/>
      <c r="G27" s="1983"/>
      <c r="H27" s="1364" t="s">
        <v>727</v>
      </c>
      <c r="I27" s="1242"/>
      <c r="J27" s="1364"/>
      <c r="K27" s="1986"/>
      <c r="L27" s="1364" t="s">
        <v>727</v>
      </c>
      <c r="M27" s="1986"/>
      <c r="N27" s="1364"/>
      <c r="O27" s="1242"/>
      <c r="P27" s="1364"/>
      <c r="Q27" s="1242"/>
      <c r="R27" s="1364"/>
      <c r="S27" s="1242"/>
      <c r="T27" s="1364"/>
      <c r="U27" s="1242"/>
      <c r="V27" s="1364"/>
      <c r="W27" s="1242"/>
      <c r="X27" s="1364"/>
      <c r="Y27" s="1986"/>
    </row>
    <row r="28" spans="1:47">
      <c r="A28" s="1979"/>
      <c r="B28" s="1972" t="s">
        <v>2577</v>
      </c>
      <c r="C28" s="1396"/>
      <c r="D28" s="1981"/>
      <c r="E28" s="1981"/>
      <c r="F28" s="1994"/>
      <c r="G28" s="1983"/>
      <c r="H28" s="1364" t="s">
        <v>730</v>
      </c>
      <c r="I28" s="1242"/>
      <c r="J28" s="1364"/>
      <c r="K28" s="1986"/>
      <c r="L28" s="1364"/>
      <c r="M28" s="1986"/>
      <c r="N28" s="1364"/>
      <c r="O28" s="1242"/>
      <c r="P28" s="1364"/>
      <c r="Q28" s="1242"/>
      <c r="R28" s="1364"/>
      <c r="S28" s="1242"/>
      <c r="T28" s="1364"/>
      <c r="U28" s="1242"/>
      <c r="V28" s="1364"/>
      <c r="W28" s="1242"/>
      <c r="X28" s="1364"/>
      <c r="Y28" s="1986"/>
    </row>
    <row r="29" spans="1:47">
      <c r="A29" s="1979"/>
      <c r="B29" s="1972"/>
      <c r="C29" s="1396"/>
      <c r="D29" s="1981"/>
      <c r="E29" s="1981"/>
      <c r="F29" s="1994"/>
      <c r="G29" s="1983"/>
      <c r="H29" s="1364" t="s">
        <v>730</v>
      </c>
      <c r="I29" s="1242"/>
      <c r="J29" s="1364"/>
      <c r="K29" s="1986"/>
      <c r="L29" s="1364"/>
      <c r="M29" s="1986"/>
      <c r="N29" s="1364"/>
      <c r="O29" s="1242"/>
      <c r="P29" s="1364"/>
      <c r="Q29" s="1242"/>
      <c r="R29" s="1364"/>
      <c r="S29" s="1242"/>
      <c r="T29" s="1364"/>
      <c r="U29" s="1242"/>
      <c r="V29" s="1364"/>
      <c r="W29" s="1242"/>
      <c r="X29" s="1364"/>
      <c r="Y29" s="1986"/>
    </row>
    <row r="30" spans="1:47">
      <c r="A30" s="1979"/>
      <c r="B30" s="1993"/>
      <c r="C30" s="1396"/>
      <c r="D30" s="1981"/>
      <c r="E30" s="1981"/>
      <c r="F30" s="1994"/>
      <c r="G30" s="1983"/>
      <c r="H30" s="1364"/>
      <c r="I30" s="1242"/>
      <c r="J30" s="1364"/>
      <c r="K30" s="1986"/>
      <c r="L30" s="1364"/>
      <c r="M30" s="1986"/>
      <c r="N30" s="1364"/>
      <c r="O30" s="1242"/>
      <c r="P30" s="1364"/>
      <c r="Q30" s="1242"/>
      <c r="R30" s="1364"/>
      <c r="S30" s="1242"/>
      <c r="T30" s="1364"/>
      <c r="U30" s="1242"/>
      <c r="V30" s="1364"/>
      <c r="W30" s="1242"/>
      <c r="X30" s="1364"/>
      <c r="Y30" s="1986"/>
    </row>
    <row r="31" spans="1:47">
      <c r="A31" s="1979"/>
      <c r="B31" s="1993" t="s">
        <v>2578</v>
      </c>
      <c r="C31" s="1396"/>
      <c r="D31" s="1981"/>
      <c r="E31" s="1981"/>
      <c r="F31" s="1994"/>
      <c r="G31" s="1983"/>
      <c r="H31" s="1364" t="s">
        <v>727</v>
      </c>
      <c r="I31" s="1242"/>
      <c r="J31" s="1364"/>
      <c r="K31" s="1986"/>
      <c r="L31" s="1364"/>
      <c r="M31" s="1986"/>
      <c r="N31" s="1364" t="s">
        <v>727</v>
      </c>
      <c r="O31" s="1242"/>
      <c r="P31" s="1364" t="s">
        <v>727</v>
      </c>
      <c r="Q31" s="1242"/>
      <c r="R31" s="1364" t="s">
        <v>727</v>
      </c>
      <c r="S31" s="1242">
        <f>119218+25194</f>
        <v>144412</v>
      </c>
      <c r="T31" s="1364" t="s">
        <v>727</v>
      </c>
      <c r="U31" s="1242">
        <f>119218+25194</f>
        <v>144412</v>
      </c>
      <c r="V31" s="1364" t="s">
        <v>727</v>
      </c>
      <c r="W31" s="1242"/>
      <c r="X31" s="1364"/>
      <c r="Y31" s="1986"/>
    </row>
    <row r="32" spans="1:47">
      <c r="A32" s="1979"/>
      <c r="B32" s="1962" t="s">
        <v>2579</v>
      </c>
      <c r="C32" s="1396"/>
      <c r="D32" s="1963"/>
      <c r="E32" s="1981"/>
      <c r="F32" s="1964"/>
      <c r="G32" s="1965"/>
      <c r="H32" s="1364"/>
      <c r="I32" s="1986"/>
      <c r="J32" s="1364"/>
      <c r="K32" s="1986"/>
      <c r="L32" s="1364"/>
      <c r="M32" s="1986"/>
      <c r="N32" s="1364" t="s">
        <v>727</v>
      </c>
      <c r="O32" s="1986"/>
      <c r="P32" s="1364" t="s">
        <v>727</v>
      </c>
      <c r="Q32" s="1986"/>
      <c r="R32" s="1364" t="s">
        <v>727</v>
      </c>
      <c r="S32" s="1986"/>
      <c r="T32" s="1364" t="s">
        <v>727</v>
      </c>
      <c r="U32" s="1986"/>
      <c r="V32" s="1364" t="s">
        <v>727</v>
      </c>
      <c r="W32" s="1986"/>
      <c r="X32" s="1364"/>
      <c r="Y32" s="1986"/>
    </row>
    <row r="33" spans="1:25">
      <c r="A33" s="1097"/>
      <c r="B33" s="1962" t="s">
        <v>2580</v>
      </c>
      <c r="C33" s="415"/>
      <c r="D33" s="430"/>
      <c r="E33" s="422"/>
      <c r="F33" s="431"/>
      <c r="G33" s="1965"/>
      <c r="H33" s="1364"/>
      <c r="I33" s="1986"/>
      <c r="J33" s="1364"/>
      <c r="K33" s="1986"/>
      <c r="L33" s="1364"/>
      <c r="M33" s="1986"/>
      <c r="N33" s="1364" t="s">
        <v>727</v>
      </c>
      <c r="O33" s="1986"/>
      <c r="P33" s="1364" t="s">
        <v>727</v>
      </c>
      <c r="Q33" s="1986"/>
      <c r="R33" s="1364" t="s">
        <v>727</v>
      </c>
      <c r="S33" s="1986"/>
      <c r="T33" s="1364" t="s">
        <v>727</v>
      </c>
      <c r="U33" s="1986"/>
      <c r="V33" s="1364" t="s">
        <v>727</v>
      </c>
      <c r="W33" s="1986"/>
      <c r="X33" s="1364"/>
      <c r="Y33" s="1986"/>
    </row>
    <row r="34" spans="1:25">
      <c r="A34" s="1979"/>
      <c r="B34" s="1962" t="s">
        <v>2581</v>
      </c>
      <c r="C34" s="415"/>
      <c r="D34" s="430"/>
      <c r="E34" s="422"/>
      <c r="F34" s="431"/>
      <c r="G34" s="1965"/>
      <c r="H34" s="1364"/>
      <c r="I34" s="1986"/>
      <c r="J34" s="1364"/>
      <c r="K34" s="1986"/>
      <c r="L34" s="1364"/>
      <c r="M34" s="1986"/>
      <c r="N34" s="1364" t="s">
        <v>727</v>
      </c>
      <c r="O34" s="1986"/>
      <c r="P34" s="1364" t="s">
        <v>727</v>
      </c>
      <c r="Q34" s="1986"/>
      <c r="R34" s="1364" t="s">
        <v>727</v>
      </c>
      <c r="S34" s="1986"/>
      <c r="T34" s="1364" t="s">
        <v>727</v>
      </c>
      <c r="U34" s="1986"/>
      <c r="V34" s="1364" t="s">
        <v>727</v>
      </c>
      <c r="W34" s="1986"/>
      <c r="X34" s="1364"/>
      <c r="Y34" s="1986"/>
    </row>
    <row r="35" spans="1:25">
      <c r="A35" s="1979"/>
      <c r="B35" s="1962" t="s">
        <v>2582</v>
      </c>
      <c r="C35" s="415"/>
      <c r="D35" s="430"/>
      <c r="E35" s="422"/>
      <c r="F35" s="431"/>
      <c r="G35" s="1965"/>
      <c r="H35" s="1364"/>
      <c r="I35" s="1986"/>
      <c r="J35" s="1364"/>
      <c r="K35" s="1986"/>
      <c r="L35" s="1364"/>
      <c r="M35" s="1986"/>
      <c r="N35" s="1364" t="s">
        <v>727</v>
      </c>
      <c r="O35" s="1986"/>
      <c r="P35" s="1364" t="s">
        <v>727</v>
      </c>
      <c r="Q35" s="1986"/>
      <c r="R35" s="1364" t="s">
        <v>727</v>
      </c>
      <c r="S35" s="1986"/>
      <c r="T35" s="1364" t="s">
        <v>727</v>
      </c>
      <c r="U35" s="1986"/>
      <c r="V35" s="1364" t="s">
        <v>727</v>
      </c>
      <c r="W35" s="1986"/>
      <c r="X35" s="1364"/>
      <c r="Y35" s="1986"/>
    </row>
    <row r="36" spans="1:25" ht="25.5">
      <c r="A36" s="1097"/>
      <c r="B36" s="1962" t="s">
        <v>2583</v>
      </c>
      <c r="C36" s="415"/>
      <c r="D36" s="430"/>
      <c r="E36" s="422"/>
      <c r="F36" s="431"/>
      <c r="G36" s="1965"/>
      <c r="H36" s="1364"/>
      <c r="I36" s="1986"/>
      <c r="J36" s="1364"/>
      <c r="K36" s="1986"/>
      <c r="L36" s="1364"/>
      <c r="M36" s="1986"/>
      <c r="N36" s="1364" t="s">
        <v>727</v>
      </c>
      <c r="O36" s="1986"/>
      <c r="P36" s="1364" t="s">
        <v>727</v>
      </c>
      <c r="Q36" s="1986"/>
      <c r="R36" s="1364" t="s">
        <v>727</v>
      </c>
      <c r="S36" s="1986"/>
      <c r="T36" s="1364" t="s">
        <v>727</v>
      </c>
      <c r="U36" s="1986"/>
      <c r="V36" s="1364" t="s">
        <v>727</v>
      </c>
      <c r="W36" s="1986"/>
      <c r="X36" s="1364"/>
      <c r="Y36" s="1986"/>
    </row>
    <row r="37" spans="1:25">
      <c r="A37" s="1979"/>
      <c r="B37" s="1962"/>
      <c r="C37" s="415"/>
      <c r="D37" s="430"/>
      <c r="E37" s="422"/>
      <c r="F37" s="431"/>
      <c r="G37" s="1965"/>
      <c r="H37" s="1364"/>
      <c r="I37" s="1986"/>
      <c r="J37" s="1364"/>
      <c r="K37" s="1986"/>
      <c r="L37" s="1364"/>
      <c r="M37" s="1986"/>
      <c r="N37" s="1364"/>
      <c r="O37" s="1986"/>
      <c r="P37" s="1364"/>
      <c r="Q37" s="1986"/>
      <c r="R37" s="1364"/>
      <c r="S37" s="1986"/>
      <c r="T37" s="1364"/>
      <c r="U37" s="1986"/>
      <c r="V37" s="1364"/>
      <c r="W37" s="1986"/>
      <c r="X37" s="1364"/>
      <c r="Y37" s="1986"/>
    </row>
    <row r="38" spans="1:25">
      <c r="A38" s="1979"/>
      <c r="B38" s="1995" t="s">
        <v>368</v>
      </c>
      <c r="C38" s="415"/>
      <c r="D38" s="430"/>
      <c r="E38" s="422"/>
      <c r="F38" s="431"/>
      <c r="G38" s="1965"/>
      <c r="H38" s="1996"/>
      <c r="I38" s="1997">
        <v>500000</v>
      </c>
      <c r="J38" s="1996"/>
      <c r="K38" s="1997">
        <v>500000</v>
      </c>
      <c r="L38" s="1996"/>
      <c r="M38" s="1997">
        <v>500000</v>
      </c>
      <c r="N38" s="1996"/>
      <c r="O38" s="1997">
        <v>500000</v>
      </c>
      <c r="P38" s="1996"/>
      <c r="Q38" s="1997">
        <v>500000</v>
      </c>
      <c r="R38" s="1996"/>
      <c r="S38" s="1997">
        <v>500000</v>
      </c>
      <c r="T38" s="1996"/>
      <c r="U38" s="1997">
        <v>500000</v>
      </c>
      <c r="V38" s="1996"/>
      <c r="W38" s="1986"/>
      <c r="X38" s="1364"/>
      <c r="Y38" s="1986"/>
    </row>
    <row r="39" spans="1:25">
      <c r="A39" s="1097"/>
      <c r="B39" s="1962" t="s">
        <v>2584</v>
      </c>
      <c r="C39" s="415"/>
      <c r="D39" s="430"/>
      <c r="E39" s="422"/>
      <c r="F39" s="431"/>
      <c r="G39" s="1965"/>
      <c r="H39" s="1364"/>
      <c r="I39" s="1986"/>
      <c r="J39" s="1364"/>
      <c r="K39" s="1986"/>
      <c r="L39" s="1364"/>
      <c r="M39" s="1986"/>
      <c r="N39" s="1996"/>
      <c r="O39" s="1986"/>
      <c r="P39" s="1996"/>
      <c r="Q39" s="1986"/>
      <c r="R39" s="1996"/>
      <c r="S39" s="1986"/>
      <c r="T39" s="1996"/>
      <c r="U39" s="1986"/>
      <c r="V39" s="1996"/>
      <c r="W39" s="1986"/>
      <c r="X39" s="1364"/>
      <c r="Y39" s="1986"/>
    </row>
    <row r="40" spans="1:25">
      <c r="A40" s="1979"/>
      <c r="B40" s="1962" t="s">
        <v>2585</v>
      </c>
      <c r="C40" s="415"/>
      <c r="D40" s="430"/>
      <c r="E40" s="422"/>
      <c r="F40" s="431"/>
      <c r="G40" s="1965"/>
      <c r="H40" s="1364"/>
      <c r="I40" s="1986"/>
      <c r="J40" s="1364"/>
      <c r="K40" s="1986"/>
      <c r="L40" s="1364"/>
      <c r="M40" s="1986"/>
      <c r="N40" s="1996"/>
      <c r="O40" s="1986"/>
      <c r="P40" s="1996"/>
      <c r="Q40" s="1986"/>
      <c r="R40" s="1996"/>
      <c r="S40" s="1986"/>
      <c r="T40" s="1996"/>
      <c r="U40" s="1986"/>
      <c r="V40" s="1996"/>
      <c r="W40" s="1986"/>
      <c r="X40" s="1364"/>
      <c r="Y40" s="1986"/>
    </row>
    <row r="41" spans="1:25">
      <c r="A41" s="1097"/>
      <c r="B41" s="1962" t="s">
        <v>2586</v>
      </c>
      <c r="C41" s="415"/>
      <c r="D41" s="430"/>
      <c r="E41" s="422"/>
      <c r="F41" s="431"/>
      <c r="G41" s="1965"/>
      <c r="H41" s="1364"/>
      <c r="I41" s="1986"/>
      <c r="J41" s="1364"/>
      <c r="K41" s="1986"/>
      <c r="L41" s="1364"/>
      <c r="M41" s="1986"/>
      <c r="N41" s="1996"/>
      <c r="O41" s="1986"/>
      <c r="P41" s="1996"/>
      <c r="Q41" s="1986"/>
      <c r="R41" s="1996"/>
      <c r="S41" s="1986"/>
      <c r="T41" s="1996"/>
      <c r="U41" s="1986"/>
      <c r="V41" s="1996"/>
      <c r="W41" s="1986"/>
      <c r="X41" s="1364"/>
      <c r="Y41" s="1986"/>
    </row>
    <row r="42" spans="1:25">
      <c r="A42" s="1979"/>
      <c r="B42" s="1962" t="s">
        <v>2587</v>
      </c>
      <c r="C42" s="415"/>
      <c r="D42" s="430"/>
      <c r="E42" s="422"/>
      <c r="F42" s="431"/>
      <c r="G42" s="1965"/>
      <c r="H42" s="1364"/>
      <c r="I42" s="1986"/>
      <c r="J42" s="1364"/>
      <c r="K42" s="1986"/>
      <c r="L42" s="1364"/>
      <c r="M42" s="1986"/>
      <c r="N42" s="1996"/>
      <c r="O42" s="1986"/>
      <c r="P42" s="1996"/>
      <c r="Q42" s="1986"/>
      <c r="R42" s="1996"/>
      <c r="S42" s="1986"/>
      <c r="T42" s="1996"/>
      <c r="U42" s="1986"/>
      <c r="V42" s="1996"/>
      <c r="W42" s="1986"/>
      <c r="X42" s="1364"/>
      <c r="Y42" s="1986"/>
    </row>
    <row r="43" spans="1:25">
      <c r="A43" s="1979"/>
      <c r="B43" s="1962" t="s">
        <v>2588</v>
      </c>
      <c r="C43" s="415"/>
      <c r="D43" s="430"/>
      <c r="E43" s="422"/>
      <c r="F43" s="431"/>
      <c r="G43" s="1965"/>
      <c r="H43" s="1364"/>
      <c r="I43" s="1986"/>
      <c r="J43" s="1364"/>
      <c r="K43" s="1986"/>
      <c r="L43" s="1364"/>
      <c r="M43" s="1986"/>
      <c r="N43" s="1996"/>
      <c r="O43" s="1986"/>
      <c r="P43" s="1996"/>
      <c r="Q43" s="1986"/>
      <c r="R43" s="1996"/>
      <c r="S43" s="1986"/>
      <c r="T43" s="1996"/>
      <c r="U43" s="1986"/>
      <c r="V43" s="1996"/>
      <c r="W43" s="1986"/>
      <c r="X43" s="1364"/>
      <c r="Y43" s="1986"/>
    </row>
    <row r="44" spans="1:25">
      <c r="A44" s="1979"/>
      <c r="B44" s="1962" t="s">
        <v>2589</v>
      </c>
      <c r="C44" s="415"/>
      <c r="D44" s="430"/>
      <c r="E44" s="422"/>
      <c r="F44" s="431"/>
      <c r="G44" s="1965"/>
      <c r="H44" s="1364"/>
      <c r="I44" s="1986"/>
      <c r="J44" s="1364"/>
      <c r="K44" s="1986"/>
      <c r="L44" s="1364"/>
      <c r="M44" s="1986"/>
      <c r="N44" s="1996"/>
      <c r="O44" s="1986"/>
      <c r="P44" s="1996"/>
      <c r="Q44" s="1986"/>
      <c r="R44" s="1996"/>
      <c r="S44" s="1986"/>
      <c r="T44" s="1996"/>
      <c r="U44" s="1986"/>
      <c r="V44" s="1996"/>
      <c r="W44" s="1986"/>
      <c r="X44" s="1364"/>
      <c r="Y44" s="1986"/>
    </row>
    <row r="45" spans="1:25" ht="25.5">
      <c r="A45" s="1979"/>
      <c r="B45" s="1962" t="s">
        <v>2590</v>
      </c>
      <c r="C45" s="415"/>
      <c r="D45" s="430"/>
      <c r="E45" s="422"/>
      <c r="F45" s="431"/>
      <c r="G45" s="1965"/>
      <c r="H45" s="1364"/>
      <c r="I45" s="1986"/>
      <c r="J45" s="1364"/>
      <c r="K45" s="1986"/>
      <c r="L45" s="1364"/>
      <c r="M45" s="1986"/>
      <c r="N45" s="1996"/>
      <c r="O45" s="1986"/>
      <c r="P45" s="1996"/>
      <c r="Q45" s="1986"/>
      <c r="R45" s="1996"/>
      <c r="S45" s="1986"/>
      <c r="T45" s="1996"/>
      <c r="U45" s="1986"/>
      <c r="V45" s="1996"/>
      <c r="W45" s="1986"/>
      <c r="X45" s="1364"/>
      <c r="Y45" s="1986"/>
    </row>
    <row r="46" spans="1:25">
      <c r="A46" s="1979"/>
      <c r="B46" s="1995" t="s">
        <v>2591</v>
      </c>
      <c r="C46" s="415"/>
      <c r="D46" s="430"/>
      <c r="E46" s="422"/>
      <c r="F46" s="431"/>
      <c r="G46" s="1965"/>
      <c r="H46" s="1996"/>
      <c r="I46" s="1997">
        <v>375000</v>
      </c>
      <c r="J46" s="1996"/>
      <c r="K46" s="1997">
        <v>375000</v>
      </c>
      <c r="L46" s="1996"/>
      <c r="M46" s="1997">
        <v>375000</v>
      </c>
      <c r="N46" s="1996"/>
      <c r="O46" s="1997">
        <v>375000</v>
      </c>
      <c r="P46" s="1996"/>
      <c r="Q46" s="1997">
        <v>375000</v>
      </c>
      <c r="R46" s="1996"/>
      <c r="S46" s="1997">
        <v>375000</v>
      </c>
      <c r="T46" s="1996"/>
      <c r="U46" s="1997">
        <v>375000</v>
      </c>
      <c r="V46" s="1996"/>
      <c r="W46" s="1986"/>
      <c r="X46" s="1364"/>
      <c r="Y46" s="1986"/>
    </row>
    <row r="47" spans="1:25">
      <c r="A47" s="1097"/>
      <c r="B47" s="1962"/>
      <c r="C47" s="415"/>
      <c r="D47" s="430"/>
      <c r="E47" s="422"/>
      <c r="F47" s="431"/>
      <c r="G47" s="1965"/>
      <c r="H47" s="1364"/>
      <c r="I47" s="1986"/>
      <c r="J47" s="1364"/>
      <c r="K47" s="1986"/>
      <c r="L47" s="1364"/>
      <c r="M47" s="1986"/>
      <c r="N47" s="1364"/>
      <c r="O47" s="1986"/>
      <c r="P47" s="1364"/>
      <c r="Q47" s="1986"/>
      <c r="R47" s="1364"/>
      <c r="S47" s="1986"/>
      <c r="T47" s="1364"/>
      <c r="U47" s="1986"/>
      <c r="V47" s="1364"/>
      <c r="W47" s="1986"/>
      <c r="X47" s="1364"/>
      <c r="Y47" s="1986"/>
    </row>
    <row r="48" spans="1:25">
      <c r="A48" s="1979"/>
      <c r="B48" s="1998" t="s">
        <v>2592</v>
      </c>
      <c r="C48" s="23"/>
      <c r="D48" s="430"/>
      <c r="E48" s="422"/>
      <c r="F48" s="431"/>
      <c r="G48" s="1965"/>
      <c r="H48" s="1364" t="s">
        <v>727</v>
      </c>
      <c r="I48" s="1986"/>
      <c r="J48" s="1364"/>
      <c r="K48" s="1986"/>
      <c r="L48" s="1364"/>
      <c r="M48" s="1986"/>
      <c r="N48" s="1996"/>
      <c r="O48" s="1986"/>
      <c r="P48" s="1996"/>
      <c r="Q48" s="1986"/>
      <c r="R48" s="1996"/>
      <c r="S48" s="1986"/>
      <c r="T48" s="1996"/>
      <c r="U48" s="1986"/>
      <c r="V48" s="1996"/>
      <c r="W48" s="1986"/>
      <c r="X48" s="1364"/>
      <c r="Y48" s="1986"/>
    </row>
    <row r="49" spans="1:25">
      <c r="A49" s="1097"/>
      <c r="B49" s="1999" t="s">
        <v>2593</v>
      </c>
      <c r="C49" s="23"/>
      <c r="D49" s="87"/>
      <c r="E49" s="86"/>
      <c r="F49" s="431"/>
      <c r="G49" s="1965"/>
      <c r="H49" s="1364"/>
      <c r="I49" s="1986"/>
      <c r="J49" s="1364"/>
      <c r="K49" s="1986"/>
      <c r="L49" s="1364"/>
      <c r="M49" s="1986"/>
      <c r="N49" s="1996"/>
      <c r="O49" s="1986"/>
      <c r="P49" s="1996"/>
      <c r="Q49" s="1986"/>
      <c r="R49" s="1996"/>
      <c r="S49" s="1986"/>
      <c r="T49" s="1996"/>
      <c r="U49" s="1986"/>
      <c r="V49" s="1996"/>
      <c r="W49" s="1986"/>
      <c r="X49" s="1364"/>
      <c r="Y49" s="1986"/>
    </row>
    <row r="50" spans="1:25">
      <c r="A50" s="1979"/>
      <c r="B50" s="1999" t="s">
        <v>2594</v>
      </c>
      <c r="C50" s="23"/>
      <c r="D50" s="87"/>
      <c r="E50" s="86"/>
      <c r="F50" s="431"/>
      <c r="G50" s="1965"/>
      <c r="H50" s="1364"/>
      <c r="I50" s="1986"/>
      <c r="J50" s="1364"/>
      <c r="K50" s="1986"/>
      <c r="L50" s="1364"/>
      <c r="M50" s="1986"/>
      <c r="N50" s="1996"/>
      <c r="O50" s="1986"/>
      <c r="P50" s="1996"/>
      <c r="Q50" s="1986"/>
      <c r="R50" s="1996"/>
      <c r="S50" s="1986"/>
      <c r="T50" s="1996"/>
      <c r="U50" s="1986"/>
      <c r="V50" s="1996"/>
      <c r="W50" s="1986"/>
      <c r="X50" s="1364"/>
      <c r="Y50" s="1986"/>
    </row>
    <row r="51" spans="1:25">
      <c r="A51" s="1979"/>
      <c r="B51" s="1999" t="s">
        <v>2595</v>
      </c>
      <c r="C51" s="23"/>
      <c r="D51" s="87"/>
      <c r="E51" s="86"/>
      <c r="F51" s="431"/>
      <c r="G51" s="1965"/>
      <c r="H51" s="1364"/>
      <c r="I51" s="1986"/>
      <c r="J51" s="1364"/>
      <c r="K51" s="1986"/>
      <c r="L51" s="1364"/>
      <c r="M51" s="1986"/>
      <c r="N51" s="1996"/>
      <c r="O51" s="1986"/>
      <c r="P51" s="1996"/>
      <c r="Q51" s="1986"/>
      <c r="R51" s="1996"/>
      <c r="S51" s="1986"/>
      <c r="T51" s="1996"/>
      <c r="U51" s="1986"/>
      <c r="V51" s="1996"/>
      <c r="W51" s="1986"/>
      <c r="X51" s="1364"/>
      <c r="Y51" s="1986"/>
    </row>
    <row r="52" spans="1:25">
      <c r="A52" s="1979"/>
      <c r="B52" s="1999" t="s">
        <v>2596</v>
      </c>
      <c r="C52" s="23"/>
      <c r="D52" s="87"/>
      <c r="E52" s="86"/>
      <c r="F52" s="431"/>
      <c r="G52" s="1965"/>
      <c r="H52" s="1364"/>
      <c r="I52" s="1986"/>
      <c r="J52" s="1364"/>
      <c r="K52" s="1986"/>
      <c r="L52" s="1364"/>
      <c r="M52" s="1986"/>
      <c r="N52" s="1996"/>
      <c r="O52" s="1986"/>
      <c r="P52" s="1996"/>
      <c r="Q52" s="1986"/>
      <c r="R52" s="1996"/>
      <c r="S52" s="1986"/>
      <c r="T52" s="1996"/>
      <c r="U52" s="1986"/>
      <c r="V52" s="1996"/>
      <c r="W52" s="1986"/>
      <c r="X52" s="1364"/>
      <c r="Y52" s="1986"/>
    </row>
    <row r="53" spans="1:25">
      <c r="A53" s="1979"/>
      <c r="B53" s="1999" t="s">
        <v>2597</v>
      </c>
      <c r="C53" s="23"/>
      <c r="D53" s="87"/>
      <c r="E53" s="86"/>
      <c r="F53" s="431"/>
      <c r="G53" s="1965"/>
      <c r="H53" s="1364"/>
      <c r="I53" s="1986"/>
      <c r="J53" s="1364"/>
      <c r="K53" s="1986"/>
      <c r="L53" s="1364"/>
      <c r="M53" s="1986"/>
      <c r="N53" s="1996"/>
      <c r="O53" s="1986"/>
      <c r="P53" s="1996"/>
      <c r="Q53" s="1986"/>
      <c r="R53" s="1996"/>
      <c r="S53" s="1986"/>
      <c r="T53" s="1996"/>
      <c r="U53" s="1986"/>
      <c r="V53" s="1996"/>
      <c r="W53" s="1986"/>
      <c r="X53" s="1364"/>
      <c r="Y53" s="1986"/>
    </row>
    <row r="54" spans="1:25">
      <c r="A54" s="1979"/>
      <c r="B54" s="1999" t="s">
        <v>2598</v>
      </c>
      <c r="C54" s="23"/>
      <c r="D54" s="87"/>
      <c r="E54" s="86"/>
      <c r="F54" s="431"/>
      <c r="G54" s="1965"/>
      <c r="H54" s="1364"/>
      <c r="I54" s="1986"/>
      <c r="J54" s="1364"/>
      <c r="K54" s="1986"/>
      <c r="L54" s="1364"/>
      <c r="M54" s="1986"/>
      <c r="N54" s="1996"/>
      <c r="O54" s="1986"/>
      <c r="P54" s="1996"/>
      <c r="Q54" s="1986"/>
      <c r="R54" s="1996"/>
      <c r="S54" s="1986"/>
      <c r="T54" s="1996"/>
      <c r="U54" s="1986"/>
      <c r="V54" s="1996"/>
      <c r="W54" s="1986"/>
      <c r="X54" s="1364"/>
      <c r="Y54" s="1986"/>
    </row>
    <row r="55" spans="1:25">
      <c r="A55" s="1979"/>
      <c r="B55" s="1999" t="s">
        <v>2599</v>
      </c>
      <c r="C55" s="23"/>
      <c r="D55" s="87"/>
      <c r="E55" s="86"/>
      <c r="F55" s="431"/>
      <c r="G55" s="1965"/>
      <c r="H55" s="1364"/>
      <c r="I55" s="1986"/>
      <c r="J55" s="1364"/>
      <c r="K55" s="1986"/>
      <c r="L55" s="1364"/>
      <c r="M55" s="1986"/>
      <c r="N55" s="1996"/>
      <c r="O55" s="1986"/>
      <c r="P55" s="1996"/>
      <c r="Q55" s="1986"/>
      <c r="R55" s="1996"/>
      <c r="S55" s="1986"/>
      <c r="T55" s="1996"/>
      <c r="U55" s="1986"/>
      <c r="V55" s="1996"/>
      <c r="W55" s="1986"/>
      <c r="X55" s="1364"/>
      <c r="Y55" s="1986"/>
    </row>
    <row r="56" spans="1:25">
      <c r="A56" s="1979"/>
      <c r="B56" s="1999" t="s">
        <v>2600</v>
      </c>
      <c r="C56" s="23"/>
      <c r="D56" s="87"/>
      <c r="E56" s="86"/>
      <c r="F56" s="431"/>
      <c r="G56" s="1965"/>
      <c r="H56" s="1364"/>
      <c r="I56" s="1986"/>
      <c r="J56" s="1364"/>
      <c r="K56" s="1986"/>
      <c r="L56" s="1364"/>
      <c r="M56" s="1986"/>
      <c r="N56" s="1996"/>
      <c r="O56" s="1986"/>
      <c r="P56" s="1996"/>
      <c r="Q56" s="1986"/>
      <c r="R56" s="1996"/>
      <c r="S56" s="1986"/>
      <c r="T56" s="1996"/>
      <c r="U56" s="1986"/>
      <c r="V56" s="1996"/>
      <c r="W56" s="1986"/>
      <c r="X56" s="1364"/>
      <c r="Y56" s="1986"/>
    </row>
    <row r="57" spans="1:25">
      <c r="A57" s="1979"/>
      <c r="B57" s="1999" t="s">
        <v>2601</v>
      </c>
      <c r="C57" s="23"/>
      <c r="D57" s="87"/>
      <c r="E57" s="86"/>
      <c r="F57" s="431"/>
      <c r="G57" s="1965"/>
      <c r="H57" s="1364"/>
      <c r="I57" s="1986"/>
      <c r="J57" s="1364"/>
      <c r="K57" s="1986"/>
      <c r="L57" s="1364"/>
      <c r="M57" s="1986"/>
      <c r="N57" s="1996"/>
      <c r="O57" s="1986"/>
      <c r="P57" s="1996"/>
      <c r="Q57" s="1986"/>
      <c r="R57" s="1996"/>
      <c r="S57" s="1986"/>
      <c r="T57" s="1996"/>
      <c r="U57" s="1986"/>
      <c r="V57" s="1996"/>
      <c r="W57" s="1986"/>
      <c r="X57" s="1364"/>
      <c r="Y57" s="1986"/>
    </row>
    <row r="58" spans="1:25">
      <c r="A58" s="1979"/>
      <c r="B58" s="1999" t="s">
        <v>2602</v>
      </c>
      <c r="C58" s="23"/>
      <c r="D58" s="87"/>
      <c r="E58" s="86"/>
      <c r="F58" s="431"/>
      <c r="G58" s="1965"/>
      <c r="H58" s="1364"/>
      <c r="I58" s="1986"/>
      <c r="J58" s="1364"/>
      <c r="K58" s="1986"/>
      <c r="L58" s="1364"/>
      <c r="M58" s="1986"/>
      <c r="N58" s="1996"/>
      <c r="O58" s="1986"/>
      <c r="P58" s="1996"/>
      <c r="Q58" s="1986"/>
      <c r="R58" s="1996"/>
      <c r="S58" s="1986"/>
      <c r="T58" s="1996"/>
      <c r="U58" s="1986"/>
      <c r="V58" s="1996"/>
      <c r="W58" s="1986"/>
      <c r="X58" s="1364"/>
      <c r="Y58" s="1986"/>
    </row>
    <row r="59" spans="1:25">
      <c r="A59" s="1979"/>
      <c r="B59" s="1999" t="s">
        <v>2603</v>
      </c>
      <c r="C59" s="23"/>
      <c r="D59" s="87"/>
      <c r="E59" s="86"/>
      <c r="F59" s="431"/>
      <c r="G59" s="1965"/>
      <c r="H59" s="1364"/>
      <c r="I59" s="1986"/>
      <c r="J59" s="1364"/>
      <c r="K59" s="1986"/>
      <c r="L59" s="1364"/>
      <c r="M59" s="1986"/>
      <c r="N59" s="1996"/>
      <c r="O59" s="1986"/>
      <c r="P59" s="1996"/>
      <c r="Q59" s="1986"/>
      <c r="R59" s="1996"/>
      <c r="S59" s="1986"/>
      <c r="T59" s="1996"/>
      <c r="U59" s="1986"/>
      <c r="V59" s="1996"/>
      <c r="W59" s="1986"/>
      <c r="X59" s="1364"/>
      <c r="Y59" s="1986"/>
    </row>
    <row r="60" spans="1:25">
      <c r="A60" s="1979"/>
      <c r="B60" s="1999" t="s">
        <v>2604</v>
      </c>
      <c r="C60" s="23"/>
      <c r="D60" s="87"/>
      <c r="E60" s="86"/>
      <c r="F60" s="431"/>
      <c r="G60" s="1965"/>
      <c r="H60" s="1364"/>
      <c r="I60" s="1986"/>
      <c r="J60" s="1364"/>
      <c r="K60" s="1986"/>
      <c r="L60" s="1364"/>
      <c r="M60" s="1986"/>
      <c r="N60" s="1996"/>
      <c r="O60" s="1986"/>
      <c r="P60" s="1996"/>
      <c r="Q60" s="1986"/>
      <c r="R60" s="1996"/>
      <c r="S60" s="1986"/>
      <c r="T60" s="1996"/>
      <c r="U60" s="1986"/>
      <c r="V60" s="1996"/>
      <c r="W60" s="1986"/>
      <c r="X60" s="1364"/>
      <c r="Y60" s="1986"/>
    </row>
    <row r="61" spans="1:25">
      <c r="A61" s="1979"/>
      <c r="B61" s="1998"/>
      <c r="C61" s="23"/>
      <c r="D61" s="87"/>
      <c r="E61" s="86"/>
      <c r="F61" s="431"/>
      <c r="G61" s="1965"/>
      <c r="H61" s="1364"/>
      <c r="I61" s="1986"/>
      <c r="J61" s="1364"/>
      <c r="K61" s="1986"/>
      <c r="L61" s="1364"/>
      <c r="M61" s="1986"/>
      <c r="N61" s="1364"/>
      <c r="O61" s="1986"/>
      <c r="P61" s="1364"/>
      <c r="Q61" s="1986"/>
      <c r="R61" s="1364"/>
      <c r="S61" s="1986"/>
      <c r="T61" s="1364"/>
      <c r="U61" s="1986"/>
      <c r="V61" s="1364"/>
      <c r="W61" s="1986"/>
      <c r="X61" s="1364"/>
      <c r="Y61" s="1986"/>
    </row>
    <row r="62" spans="1:25">
      <c r="A62" s="1979"/>
      <c r="B62" s="1998" t="s">
        <v>2605</v>
      </c>
      <c r="C62" s="23"/>
      <c r="D62" s="87"/>
      <c r="E62" s="86"/>
      <c r="F62" s="431"/>
      <c r="G62" s="1965"/>
      <c r="H62" s="1364" t="s">
        <v>727</v>
      </c>
      <c r="I62" s="1986"/>
      <c r="J62" s="1364"/>
      <c r="K62" s="1986"/>
      <c r="L62" s="1364"/>
      <c r="M62" s="1986"/>
      <c r="N62" s="1996"/>
      <c r="O62" s="1986"/>
      <c r="P62" s="1996"/>
      <c r="Q62" s="1986"/>
      <c r="R62" s="1996"/>
      <c r="S62" s="1986"/>
      <c r="T62" s="1996"/>
      <c r="U62" s="1986"/>
      <c r="V62" s="1996"/>
      <c r="W62" s="1986"/>
      <c r="X62" s="1364"/>
      <c r="Y62" s="1986"/>
    </row>
    <row r="63" spans="1:25">
      <c r="A63" s="1979"/>
      <c r="B63" s="1999" t="s">
        <v>2606</v>
      </c>
      <c r="C63" s="23"/>
      <c r="D63" s="87"/>
      <c r="E63" s="86"/>
      <c r="F63" s="431"/>
      <c r="G63" s="1965"/>
      <c r="H63" s="1364"/>
      <c r="I63" s="1986"/>
      <c r="J63" s="1364"/>
      <c r="K63" s="1986"/>
      <c r="L63" s="1364"/>
      <c r="M63" s="1986"/>
      <c r="N63" s="1996"/>
      <c r="O63" s="1986"/>
      <c r="P63" s="1996"/>
      <c r="Q63" s="1986"/>
      <c r="R63" s="1996"/>
      <c r="S63" s="1986"/>
      <c r="T63" s="1996"/>
      <c r="U63" s="1986"/>
      <c r="V63" s="1996"/>
      <c r="W63" s="1986"/>
      <c r="X63" s="1364"/>
      <c r="Y63" s="1986"/>
    </row>
    <row r="64" spans="1:25">
      <c r="A64" s="1979"/>
      <c r="B64" s="1999" t="s">
        <v>2607</v>
      </c>
      <c r="C64" s="23"/>
      <c r="D64" s="87"/>
      <c r="E64" s="86"/>
      <c r="F64" s="431"/>
      <c r="G64" s="1965"/>
      <c r="H64" s="1364"/>
      <c r="I64" s="1986"/>
      <c r="J64" s="1364"/>
      <c r="K64" s="1986"/>
      <c r="L64" s="1364"/>
      <c r="M64" s="1986"/>
      <c r="N64" s="1996"/>
      <c r="O64" s="1986"/>
      <c r="P64" s="1996"/>
      <c r="Q64" s="1986"/>
      <c r="R64" s="1996"/>
      <c r="S64" s="1986"/>
      <c r="T64" s="1996"/>
      <c r="U64" s="1986"/>
      <c r="V64" s="1996"/>
      <c r="W64" s="1986"/>
      <c r="X64" s="1364"/>
      <c r="Y64" s="1986"/>
    </row>
    <row r="65" spans="1:25">
      <c r="A65" s="1979"/>
      <c r="B65" s="1999" t="s">
        <v>2608</v>
      </c>
      <c r="C65" s="23"/>
      <c r="D65" s="87"/>
      <c r="E65" s="86"/>
      <c r="F65" s="431"/>
      <c r="G65" s="1965"/>
      <c r="H65" s="1364"/>
      <c r="I65" s="1986"/>
      <c r="J65" s="1364"/>
      <c r="K65" s="1986"/>
      <c r="L65" s="1364"/>
      <c r="M65" s="1986"/>
      <c r="N65" s="1996"/>
      <c r="O65" s="1986"/>
      <c r="P65" s="1996"/>
      <c r="Q65" s="1986"/>
      <c r="R65" s="1996"/>
      <c r="S65" s="1986"/>
      <c r="T65" s="1996"/>
      <c r="U65" s="1986"/>
      <c r="V65" s="1996"/>
      <c r="W65" s="1986"/>
      <c r="X65" s="1364"/>
      <c r="Y65" s="1986"/>
    </row>
    <row r="66" spans="1:25">
      <c r="A66" s="1979"/>
      <c r="B66" s="1999" t="s">
        <v>2609</v>
      </c>
      <c r="C66" s="23"/>
      <c r="D66" s="87"/>
      <c r="E66" s="86"/>
      <c r="F66" s="431"/>
      <c r="G66" s="1965"/>
      <c r="H66" s="1364"/>
      <c r="I66" s="1986"/>
      <c r="J66" s="1364"/>
      <c r="K66" s="1986"/>
      <c r="L66" s="1364"/>
      <c r="M66" s="1986"/>
      <c r="N66" s="1996"/>
      <c r="O66" s="1986"/>
      <c r="P66" s="1996"/>
      <c r="Q66" s="1986"/>
      <c r="R66" s="1996"/>
      <c r="S66" s="1986"/>
      <c r="T66" s="1996"/>
      <c r="U66" s="1986"/>
      <c r="V66" s="1996"/>
      <c r="W66" s="1986"/>
      <c r="X66" s="1364"/>
      <c r="Y66" s="1986"/>
    </row>
    <row r="67" spans="1:25">
      <c r="A67" s="1979"/>
      <c r="B67" s="1999"/>
      <c r="C67" s="23"/>
      <c r="D67" s="87"/>
      <c r="E67" s="86"/>
      <c r="F67" s="431"/>
      <c r="G67" s="1965"/>
      <c r="H67" s="1364"/>
      <c r="I67" s="1986"/>
      <c r="J67" s="1364"/>
      <c r="K67" s="1986"/>
      <c r="L67" s="1364"/>
      <c r="M67" s="1986"/>
      <c r="N67" s="1364"/>
      <c r="O67" s="1986"/>
      <c r="P67" s="1364"/>
      <c r="Q67" s="1986"/>
      <c r="R67" s="1364"/>
      <c r="S67" s="1986"/>
      <c r="T67" s="1364"/>
      <c r="U67" s="1986"/>
      <c r="V67" s="1364"/>
      <c r="W67" s="1986"/>
      <c r="X67" s="1364"/>
      <c r="Y67" s="1986"/>
    </row>
    <row r="68" spans="1:25">
      <c r="A68" s="1979"/>
      <c r="B68" s="1998" t="s">
        <v>2610</v>
      </c>
      <c r="C68" s="23"/>
      <c r="D68" s="87"/>
      <c r="E68" s="86"/>
      <c r="F68" s="431"/>
      <c r="G68" s="1965"/>
      <c r="H68" s="1364" t="s">
        <v>727</v>
      </c>
      <c r="I68" s="1986"/>
      <c r="J68" s="1364"/>
      <c r="K68" s="1986"/>
      <c r="L68" s="1364"/>
      <c r="M68" s="1986"/>
      <c r="N68" s="1364" t="s">
        <v>727</v>
      </c>
      <c r="O68" s="1986"/>
      <c r="P68" s="1364" t="s">
        <v>727</v>
      </c>
      <c r="Q68" s="1986"/>
      <c r="R68" s="1364" t="s">
        <v>727</v>
      </c>
      <c r="S68" s="1986"/>
      <c r="T68" s="1364" t="s">
        <v>727</v>
      </c>
      <c r="U68" s="1986"/>
      <c r="V68" s="1364" t="s">
        <v>727</v>
      </c>
      <c r="W68" s="1986"/>
      <c r="X68" s="1364"/>
      <c r="Y68" s="1986"/>
    </row>
    <row r="69" spans="1:25">
      <c r="A69" s="1979"/>
      <c r="B69" s="1999" t="s">
        <v>2611</v>
      </c>
      <c r="C69" s="23"/>
      <c r="D69" s="87"/>
      <c r="E69" s="86"/>
      <c r="F69" s="431"/>
      <c r="G69" s="1965"/>
      <c r="H69" s="1364"/>
      <c r="I69" s="1986"/>
      <c r="J69" s="1364"/>
      <c r="K69" s="1986"/>
      <c r="L69" s="1364"/>
      <c r="M69" s="1986"/>
      <c r="N69" s="1364" t="s">
        <v>727</v>
      </c>
      <c r="O69" s="1986"/>
      <c r="P69" s="1364" t="s">
        <v>727</v>
      </c>
      <c r="Q69" s="1986"/>
      <c r="R69" s="1364" t="s">
        <v>727</v>
      </c>
      <c r="S69" s="1986"/>
      <c r="T69" s="1364" t="s">
        <v>727</v>
      </c>
      <c r="U69" s="1986"/>
      <c r="V69" s="1364" t="s">
        <v>727</v>
      </c>
      <c r="W69" s="1986"/>
      <c r="X69" s="1364"/>
      <c r="Y69" s="1986"/>
    </row>
    <row r="70" spans="1:25">
      <c r="A70" s="1979"/>
      <c r="B70" s="1999" t="s">
        <v>2612</v>
      </c>
      <c r="C70" s="23"/>
      <c r="D70" s="87"/>
      <c r="E70" s="86"/>
      <c r="F70" s="431"/>
      <c r="G70" s="1965"/>
      <c r="H70" s="1364"/>
      <c r="I70" s="1986"/>
      <c r="J70" s="1364"/>
      <c r="K70" s="1986"/>
      <c r="L70" s="1364"/>
      <c r="M70" s="1986"/>
      <c r="N70" s="1364" t="s">
        <v>727</v>
      </c>
      <c r="O70" s="1986"/>
      <c r="P70" s="1364" t="s">
        <v>727</v>
      </c>
      <c r="Q70" s="1986"/>
      <c r="R70" s="1364" t="s">
        <v>727</v>
      </c>
      <c r="S70" s="1986"/>
      <c r="T70" s="1364" t="s">
        <v>727</v>
      </c>
      <c r="U70" s="1986"/>
      <c r="V70" s="1364" t="s">
        <v>727</v>
      </c>
      <c r="W70" s="1986"/>
      <c r="X70" s="1364"/>
      <c r="Y70" s="1986"/>
    </row>
    <row r="71" spans="1:25">
      <c r="A71" s="1979"/>
      <c r="B71" s="1999"/>
      <c r="C71" s="23"/>
      <c r="D71" s="87"/>
      <c r="E71" s="86"/>
      <c r="F71" s="431"/>
      <c r="G71" s="1965"/>
      <c r="H71" s="1364"/>
      <c r="I71" s="1986"/>
      <c r="J71" s="1364"/>
      <c r="K71" s="1986"/>
      <c r="L71" s="1364"/>
      <c r="M71" s="1986"/>
      <c r="N71" s="1364"/>
      <c r="O71" s="1986"/>
      <c r="P71" s="1364"/>
      <c r="Q71" s="1986"/>
      <c r="R71" s="1364"/>
      <c r="S71" s="1986"/>
      <c r="T71" s="1364"/>
      <c r="U71" s="1986"/>
      <c r="V71" s="1364"/>
      <c r="W71" s="1986"/>
      <c r="X71" s="1364"/>
      <c r="Y71" s="1986"/>
    </row>
    <row r="72" spans="1:25">
      <c r="A72" s="1979"/>
      <c r="B72" s="1998" t="s">
        <v>2613</v>
      </c>
      <c r="C72" s="23"/>
      <c r="D72" s="87"/>
      <c r="E72" s="86"/>
      <c r="F72" s="431"/>
      <c r="G72" s="1965"/>
      <c r="H72" s="1364" t="s">
        <v>727</v>
      </c>
      <c r="I72" s="1986"/>
      <c r="J72" s="1364"/>
      <c r="K72" s="1986"/>
      <c r="L72" s="1364"/>
      <c r="M72" s="1986"/>
      <c r="N72" s="1364" t="s">
        <v>727</v>
      </c>
      <c r="O72" s="1986"/>
      <c r="P72" s="1364" t="s">
        <v>727</v>
      </c>
      <c r="Q72" s="1986"/>
      <c r="R72" s="1364" t="s">
        <v>727</v>
      </c>
      <c r="S72" s="1986"/>
      <c r="T72" s="1364" t="s">
        <v>727</v>
      </c>
      <c r="U72" s="1986"/>
      <c r="V72" s="1364" t="s">
        <v>727</v>
      </c>
      <c r="W72" s="1986"/>
      <c r="X72" s="1364"/>
      <c r="Y72" s="1986"/>
    </row>
    <row r="73" spans="1:25">
      <c r="A73" s="1979"/>
      <c r="B73" s="1999" t="s">
        <v>2614</v>
      </c>
      <c r="C73" s="23"/>
      <c r="D73" s="87"/>
      <c r="E73" s="86"/>
      <c r="F73" s="431"/>
      <c r="G73" s="1965"/>
      <c r="H73" s="1364"/>
      <c r="I73" s="1986"/>
      <c r="J73" s="1364"/>
      <c r="K73" s="1986"/>
      <c r="L73" s="1364"/>
      <c r="M73" s="1986"/>
      <c r="N73" s="1364" t="s">
        <v>727</v>
      </c>
      <c r="O73" s="1986"/>
      <c r="P73" s="1364" t="s">
        <v>727</v>
      </c>
      <c r="Q73" s="1986"/>
      <c r="R73" s="1364" t="s">
        <v>727</v>
      </c>
      <c r="S73" s="1986"/>
      <c r="T73" s="1364" t="s">
        <v>727</v>
      </c>
      <c r="U73" s="1986"/>
      <c r="V73" s="1364" t="s">
        <v>727</v>
      </c>
      <c r="W73" s="1986"/>
      <c r="X73" s="1364"/>
      <c r="Y73" s="1986"/>
    </row>
    <row r="74" spans="1:25">
      <c r="A74" s="1979"/>
      <c r="B74" s="1999" t="s">
        <v>2615</v>
      </c>
      <c r="C74" s="23"/>
      <c r="D74" s="87"/>
      <c r="E74" s="86"/>
      <c r="F74" s="431"/>
      <c r="G74" s="1965"/>
      <c r="H74" s="1364"/>
      <c r="I74" s="1986"/>
      <c r="J74" s="1364"/>
      <c r="K74" s="1986"/>
      <c r="L74" s="1364"/>
      <c r="M74" s="1986"/>
      <c r="N74" s="1364" t="s">
        <v>727</v>
      </c>
      <c r="O74" s="1986"/>
      <c r="P74" s="1364" t="s">
        <v>727</v>
      </c>
      <c r="Q74" s="1986"/>
      <c r="R74" s="1364" t="s">
        <v>727</v>
      </c>
      <c r="S74" s="1986"/>
      <c r="T74" s="1364" t="s">
        <v>727</v>
      </c>
      <c r="U74" s="1986"/>
      <c r="V74" s="1364" t="s">
        <v>727</v>
      </c>
      <c r="W74" s="1986"/>
      <c r="X74" s="1364"/>
      <c r="Y74" s="1986"/>
    </row>
    <row r="75" spans="1:25">
      <c r="A75" s="1979"/>
      <c r="B75" s="1999" t="s">
        <v>2616</v>
      </c>
      <c r="C75" s="23"/>
      <c r="D75" s="87"/>
      <c r="E75" s="86"/>
      <c r="F75" s="431"/>
      <c r="G75" s="1965"/>
      <c r="H75" s="1364"/>
      <c r="I75" s="1986"/>
      <c r="J75" s="1364"/>
      <c r="K75" s="1986"/>
      <c r="L75" s="1364"/>
      <c r="M75" s="1986"/>
      <c r="N75" s="1364" t="s">
        <v>727</v>
      </c>
      <c r="O75" s="1986"/>
      <c r="P75" s="1364" t="s">
        <v>727</v>
      </c>
      <c r="Q75" s="1986"/>
      <c r="R75" s="1364" t="s">
        <v>727</v>
      </c>
      <c r="S75" s="1986"/>
      <c r="T75" s="1364" t="s">
        <v>727</v>
      </c>
      <c r="U75" s="1986"/>
      <c r="V75" s="1364" t="s">
        <v>727</v>
      </c>
      <c r="W75" s="1986"/>
      <c r="X75" s="1364"/>
      <c r="Y75" s="1986"/>
    </row>
    <row r="76" spans="1:25">
      <c r="A76" s="1979"/>
      <c r="B76" s="1999" t="s">
        <v>2617</v>
      </c>
      <c r="C76" s="23"/>
      <c r="D76" s="87"/>
      <c r="E76" s="86"/>
      <c r="F76" s="431"/>
      <c r="G76" s="1965"/>
      <c r="H76" s="1364"/>
      <c r="I76" s="1986"/>
      <c r="J76" s="1364"/>
      <c r="K76" s="1986"/>
      <c r="L76" s="1364"/>
      <c r="M76" s="1986"/>
      <c r="N76" s="1364" t="s">
        <v>727</v>
      </c>
      <c r="O76" s="1986"/>
      <c r="P76" s="1364" t="s">
        <v>727</v>
      </c>
      <c r="Q76" s="1986"/>
      <c r="R76" s="1364" t="s">
        <v>727</v>
      </c>
      <c r="S76" s="1986"/>
      <c r="T76" s="1364" t="s">
        <v>727</v>
      </c>
      <c r="U76" s="1986"/>
      <c r="V76" s="1364" t="s">
        <v>727</v>
      </c>
      <c r="W76" s="1986"/>
      <c r="X76" s="1364"/>
      <c r="Y76" s="1986"/>
    </row>
    <row r="77" spans="1:25">
      <c r="A77" s="1979"/>
      <c r="B77" s="1999" t="s">
        <v>2618</v>
      </c>
      <c r="C77" s="23"/>
      <c r="D77" s="87"/>
      <c r="E77" s="86"/>
      <c r="F77" s="431"/>
      <c r="G77" s="1965"/>
      <c r="H77" s="1364"/>
      <c r="I77" s="1986"/>
      <c r="J77" s="1364"/>
      <c r="K77" s="1986"/>
      <c r="L77" s="1364"/>
      <c r="M77" s="1986"/>
      <c r="N77" s="1364" t="s">
        <v>727</v>
      </c>
      <c r="O77" s="1986"/>
      <c r="P77" s="1364" t="s">
        <v>727</v>
      </c>
      <c r="Q77" s="1986"/>
      <c r="R77" s="1364" t="s">
        <v>727</v>
      </c>
      <c r="S77" s="1986"/>
      <c r="T77" s="1364" t="s">
        <v>727</v>
      </c>
      <c r="U77" s="1986"/>
      <c r="V77" s="1364" t="s">
        <v>727</v>
      </c>
      <c r="W77" s="1986"/>
      <c r="X77" s="1364"/>
      <c r="Y77" s="1986"/>
    </row>
    <row r="78" spans="1:25">
      <c r="A78" s="1979"/>
      <c r="B78" s="1999" t="s">
        <v>2619</v>
      </c>
      <c r="C78" s="23"/>
      <c r="D78" s="87"/>
      <c r="E78" s="86"/>
      <c r="F78" s="431"/>
      <c r="G78" s="1965"/>
      <c r="H78" s="1364"/>
      <c r="I78" s="1986"/>
      <c r="J78" s="1364"/>
      <c r="K78" s="1986"/>
      <c r="L78" s="1364"/>
      <c r="M78" s="1986"/>
      <c r="N78" s="1364" t="s">
        <v>727</v>
      </c>
      <c r="O78" s="1986"/>
      <c r="P78" s="1364" t="s">
        <v>727</v>
      </c>
      <c r="Q78" s="1986"/>
      <c r="R78" s="1364" t="s">
        <v>727</v>
      </c>
      <c r="S78" s="1986"/>
      <c r="T78" s="1364" t="s">
        <v>727</v>
      </c>
      <c r="U78" s="1986"/>
      <c r="V78" s="1364" t="s">
        <v>727</v>
      </c>
      <c r="W78" s="1986"/>
      <c r="X78" s="1364"/>
      <c r="Y78" s="1986"/>
    </row>
    <row r="79" spans="1:25">
      <c r="A79" s="1979"/>
      <c r="B79" s="1999" t="s">
        <v>2620</v>
      </c>
      <c r="C79" s="23"/>
      <c r="D79" s="87"/>
      <c r="E79" s="86"/>
      <c r="F79" s="431"/>
      <c r="G79" s="1965"/>
      <c r="H79" s="1364"/>
      <c r="I79" s="1986"/>
      <c r="J79" s="1364"/>
      <c r="K79" s="1986"/>
      <c r="L79" s="1364"/>
      <c r="M79" s="1986"/>
      <c r="N79" s="1364" t="s">
        <v>727</v>
      </c>
      <c r="O79" s="1986"/>
      <c r="P79" s="1364" t="s">
        <v>727</v>
      </c>
      <c r="Q79" s="1986"/>
      <c r="R79" s="1364" t="s">
        <v>727</v>
      </c>
      <c r="S79" s="1986"/>
      <c r="T79" s="1364" t="s">
        <v>727</v>
      </c>
      <c r="U79" s="1986"/>
      <c r="V79" s="1364" t="s">
        <v>727</v>
      </c>
      <c r="W79" s="1986"/>
      <c r="X79" s="1364"/>
      <c r="Y79" s="1986"/>
    </row>
    <row r="80" spans="1:25">
      <c r="A80" s="1979"/>
      <c r="B80" s="1999" t="s">
        <v>2621</v>
      </c>
      <c r="C80" s="23"/>
      <c r="D80" s="87"/>
      <c r="E80" s="86"/>
      <c r="F80" s="431"/>
      <c r="G80" s="1965"/>
      <c r="H80" s="1364"/>
      <c r="I80" s="1986"/>
      <c r="J80" s="1364"/>
      <c r="K80" s="1986"/>
      <c r="L80" s="1364"/>
      <c r="M80" s="1986"/>
      <c r="N80" s="1364" t="s">
        <v>727</v>
      </c>
      <c r="O80" s="1986"/>
      <c r="P80" s="1364" t="s">
        <v>727</v>
      </c>
      <c r="Q80" s="1986"/>
      <c r="R80" s="1364" t="s">
        <v>727</v>
      </c>
      <c r="S80" s="1986"/>
      <c r="T80" s="1364" t="s">
        <v>727</v>
      </c>
      <c r="U80" s="1986"/>
      <c r="V80" s="1364" t="s">
        <v>727</v>
      </c>
      <c r="W80" s="1986"/>
      <c r="X80" s="1364"/>
      <c r="Y80" s="1986"/>
    </row>
    <row r="81" spans="1:25">
      <c r="A81" s="1979"/>
      <c r="B81" s="1999" t="s">
        <v>2622</v>
      </c>
      <c r="C81" s="23"/>
      <c r="D81" s="87"/>
      <c r="E81" s="86"/>
      <c r="F81" s="431"/>
      <c r="G81" s="1965"/>
      <c r="H81" s="1364"/>
      <c r="I81" s="1986"/>
      <c r="J81" s="1364"/>
      <c r="K81" s="1986"/>
      <c r="L81" s="1364"/>
      <c r="M81" s="1986"/>
      <c r="N81" s="1364" t="s">
        <v>727</v>
      </c>
      <c r="O81" s="1986"/>
      <c r="P81" s="1364" t="s">
        <v>727</v>
      </c>
      <c r="Q81" s="1986"/>
      <c r="R81" s="1364" t="s">
        <v>727</v>
      </c>
      <c r="S81" s="1986"/>
      <c r="T81" s="1364" t="s">
        <v>727</v>
      </c>
      <c r="U81" s="1986"/>
      <c r="V81" s="1364" t="s">
        <v>727</v>
      </c>
      <c r="W81" s="1986"/>
      <c r="X81" s="1364"/>
      <c r="Y81" s="1986"/>
    </row>
    <row r="82" spans="1:25">
      <c r="A82" s="1979"/>
      <c r="B82" s="1999" t="s">
        <v>2623</v>
      </c>
      <c r="C82" s="23"/>
      <c r="D82" s="87"/>
      <c r="E82" s="86"/>
      <c r="F82" s="431"/>
      <c r="G82" s="1965"/>
      <c r="H82" s="1364"/>
      <c r="I82" s="1986"/>
      <c r="J82" s="1364"/>
      <c r="K82" s="1986"/>
      <c r="L82" s="1364"/>
      <c r="M82" s="1986"/>
      <c r="N82" s="1364" t="s">
        <v>727</v>
      </c>
      <c r="O82" s="1986"/>
      <c r="P82" s="1364" t="s">
        <v>727</v>
      </c>
      <c r="Q82" s="1986"/>
      <c r="R82" s="1364" t="s">
        <v>727</v>
      </c>
      <c r="S82" s="1986"/>
      <c r="T82" s="1364" t="s">
        <v>727</v>
      </c>
      <c r="U82" s="1986"/>
      <c r="V82" s="1364" t="s">
        <v>727</v>
      </c>
      <c r="W82" s="1986"/>
      <c r="X82" s="1364"/>
      <c r="Y82" s="1986"/>
    </row>
    <row r="83" spans="1:25">
      <c r="A83" s="1979"/>
      <c r="B83" s="1999"/>
      <c r="C83" s="23"/>
      <c r="D83" s="87"/>
      <c r="E83" s="86"/>
      <c r="F83" s="431"/>
      <c r="G83" s="1965"/>
      <c r="H83" s="1364"/>
      <c r="I83" s="1986"/>
      <c r="J83" s="1364"/>
      <c r="K83" s="1986"/>
      <c r="L83" s="1364"/>
      <c r="M83" s="1986"/>
      <c r="N83" s="1364"/>
      <c r="O83" s="1986"/>
      <c r="P83" s="1364"/>
      <c r="Q83" s="1986"/>
      <c r="R83" s="1364"/>
      <c r="S83" s="1986"/>
      <c r="T83" s="1364"/>
      <c r="U83" s="1986"/>
      <c r="V83" s="1364"/>
      <c r="W83" s="1986"/>
      <c r="X83" s="1364"/>
      <c r="Y83" s="1986"/>
    </row>
    <row r="84" spans="1:25">
      <c r="A84" s="1979"/>
      <c r="B84" s="1998" t="s">
        <v>2624</v>
      </c>
      <c r="C84" s="23"/>
      <c r="D84" s="87"/>
      <c r="E84" s="86"/>
      <c r="F84" s="431"/>
      <c r="G84" s="1965"/>
      <c r="H84" s="1364" t="s">
        <v>727</v>
      </c>
      <c r="I84" s="1986"/>
      <c r="J84" s="1364"/>
      <c r="K84" s="1986"/>
      <c r="L84" s="1364"/>
      <c r="M84" s="1986"/>
      <c r="N84" s="1364" t="s">
        <v>727</v>
      </c>
      <c r="O84" s="1986"/>
      <c r="P84" s="1364" t="s">
        <v>727</v>
      </c>
      <c r="Q84" s="1986"/>
      <c r="R84" s="1364" t="s">
        <v>727</v>
      </c>
      <c r="S84" s="1986"/>
      <c r="T84" s="1364" t="s">
        <v>727</v>
      </c>
      <c r="U84" s="1986"/>
      <c r="V84" s="1364" t="s">
        <v>727</v>
      </c>
      <c r="W84" s="1986"/>
      <c r="X84" s="1364"/>
      <c r="Y84" s="1986"/>
    </row>
    <row r="85" spans="1:25">
      <c r="A85" s="1979"/>
      <c r="B85" s="1999" t="s">
        <v>2625</v>
      </c>
      <c r="C85" s="23"/>
      <c r="D85" s="87"/>
      <c r="E85" s="86"/>
      <c r="F85" s="431"/>
      <c r="G85" s="1965"/>
      <c r="H85" s="1364"/>
      <c r="I85" s="1986"/>
      <c r="J85" s="1364"/>
      <c r="K85" s="1986"/>
      <c r="L85" s="1364"/>
      <c r="M85" s="1986"/>
      <c r="N85" s="1364" t="s">
        <v>727</v>
      </c>
      <c r="O85" s="1986"/>
      <c r="P85" s="1364" t="s">
        <v>727</v>
      </c>
      <c r="Q85" s="1986"/>
      <c r="R85" s="1364" t="s">
        <v>727</v>
      </c>
      <c r="S85" s="1986"/>
      <c r="T85" s="1364" t="s">
        <v>727</v>
      </c>
      <c r="U85" s="1986"/>
      <c r="V85" s="1364" t="s">
        <v>727</v>
      </c>
      <c r="W85" s="1986"/>
      <c r="X85" s="1364"/>
      <c r="Y85" s="1986"/>
    </row>
    <row r="86" spans="1:25">
      <c r="A86" s="1979"/>
      <c r="B86" s="1999" t="s">
        <v>2626</v>
      </c>
      <c r="C86" s="23"/>
      <c r="D86" s="87"/>
      <c r="E86" s="86"/>
      <c r="F86" s="431"/>
      <c r="G86" s="1965"/>
      <c r="H86" s="1364"/>
      <c r="I86" s="1986"/>
      <c r="J86" s="1364"/>
      <c r="K86" s="1986"/>
      <c r="L86" s="1364"/>
      <c r="M86" s="1986"/>
      <c r="N86" s="1364" t="s">
        <v>727</v>
      </c>
      <c r="O86" s="1986"/>
      <c r="P86" s="1364" t="s">
        <v>727</v>
      </c>
      <c r="Q86" s="1986"/>
      <c r="R86" s="1364" t="s">
        <v>727</v>
      </c>
      <c r="S86" s="1986"/>
      <c r="T86" s="1364" t="s">
        <v>727</v>
      </c>
      <c r="U86" s="1986"/>
      <c r="V86" s="1364" t="s">
        <v>727</v>
      </c>
      <c r="W86" s="1986"/>
      <c r="X86" s="1364"/>
      <c r="Y86" s="1986"/>
    </row>
    <row r="87" spans="1:25">
      <c r="A87" s="1979"/>
      <c r="B87" s="1999" t="s">
        <v>2627</v>
      </c>
      <c r="C87" s="23"/>
      <c r="D87" s="87"/>
      <c r="E87" s="86"/>
      <c r="F87" s="431"/>
      <c r="G87" s="1965"/>
      <c r="H87" s="1364"/>
      <c r="I87" s="1986"/>
      <c r="J87" s="1364"/>
      <c r="K87" s="1986"/>
      <c r="L87" s="1364"/>
      <c r="M87" s="1986"/>
      <c r="N87" s="1364" t="s">
        <v>727</v>
      </c>
      <c r="O87" s="1986"/>
      <c r="P87" s="1364" t="s">
        <v>727</v>
      </c>
      <c r="Q87" s="1986"/>
      <c r="R87" s="1364" t="s">
        <v>727</v>
      </c>
      <c r="S87" s="1986"/>
      <c r="T87" s="1364" t="s">
        <v>727</v>
      </c>
      <c r="U87" s="1986"/>
      <c r="V87" s="1364" t="s">
        <v>727</v>
      </c>
      <c r="W87" s="1986"/>
      <c r="X87" s="1364"/>
      <c r="Y87" s="1986"/>
    </row>
    <row r="88" spans="1:25">
      <c r="A88" s="1979"/>
      <c r="B88" s="1999" t="s">
        <v>2628</v>
      </c>
      <c r="C88" s="23"/>
      <c r="D88" s="87"/>
      <c r="E88" s="86"/>
      <c r="F88" s="431"/>
      <c r="G88" s="1965"/>
      <c r="H88" s="1364"/>
      <c r="I88" s="1986"/>
      <c r="J88" s="1364"/>
      <c r="K88" s="1986"/>
      <c r="L88" s="1364"/>
      <c r="M88" s="1986"/>
      <c r="N88" s="1364" t="s">
        <v>727</v>
      </c>
      <c r="O88" s="1986"/>
      <c r="P88" s="1364" t="s">
        <v>727</v>
      </c>
      <c r="Q88" s="1986"/>
      <c r="R88" s="1364" t="s">
        <v>727</v>
      </c>
      <c r="S88" s="1986"/>
      <c r="T88" s="1364" t="s">
        <v>727</v>
      </c>
      <c r="U88" s="1986"/>
      <c r="V88" s="1364" t="s">
        <v>727</v>
      </c>
      <c r="W88" s="1986"/>
      <c r="X88" s="1364"/>
      <c r="Y88" s="1986"/>
    </row>
    <row r="89" spans="1:25">
      <c r="A89" s="1979"/>
      <c r="B89" s="1999" t="s">
        <v>2629</v>
      </c>
      <c r="C89" s="23"/>
      <c r="D89" s="87"/>
      <c r="E89" s="86"/>
      <c r="F89" s="431"/>
      <c r="G89" s="1965"/>
      <c r="H89" s="1364"/>
      <c r="I89" s="1986"/>
      <c r="J89" s="1364"/>
      <c r="K89" s="1986"/>
      <c r="L89" s="1364"/>
      <c r="M89" s="1986"/>
      <c r="N89" s="1364" t="s">
        <v>727</v>
      </c>
      <c r="O89" s="1986"/>
      <c r="P89" s="1364" t="s">
        <v>727</v>
      </c>
      <c r="Q89" s="1986"/>
      <c r="R89" s="1364" t="s">
        <v>727</v>
      </c>
      <c r="S89" s="1986"/>
      <c r="T89" s="1364" t="s">
        <v>727</v>
      </c>
      <c r="U89" s="1986"/>
      <c r="V89" s="1364" t="s">
        <v>727</v>
      </c>
      <c r="W89" s="1986"/>
      <c r="X89" s="1364"/>
      <c r="Y89" s="1986"/>
    </row>
    <row r="90" spans="1:25">
      <c r="A90" s="1979"/>
      <c r="B90" s="1999" t="s">
        <v>2630</v>
      </c>
      <c r="C90" s="23"/>
      <c r="D90" s="87"/>
      <c r="E90" s="86"/>
      <c r="F90" s="431"/>
      <c r="G90" s="1965"/>
      <c r="H90" s="1364"/>
      <c r="I90" s="1986"/>
      <c r="J90" s="1364"/>
      <c r="K90" s="1986"/>
      <c r="L90" s="1364"/>
      <c r="M90" s="1986"/>
      <c r="N90" s="1364" t="s">
        <v>727</v>
      </c>
      <c r="O90" s="1986"/>
      <c r="P90" s="1364" t="s">
        <v>727</v>
      </c>
      <c r="Q90" s="1986"/>
      <c r="R90" s="1364" t="s">
        <v>727</v>
      </c>
      <c r="S90" s="1986"/>
      <c r="T90" s="1364" t="s">
        <v>727</v>
      </c>
      <c r="U90" s="1986"/>
      <c r="V90" s="1364" t="s">
        <v>727</v>
      </c>
      <c r="W90" s="1986"/>
      <c r="X90" s="1364"/>
      <c r="Y90" s="1986"/>
    </row>
    <row r="91" spans="1:25">
      <c r="A91" s="1979"/>
      <c r="B91" s="1999" t="s">
        <v>2631</v>
      </c>
      <c r="C91" s="23"/>
      <c r="D91" s="87"/>
      <c r="E91" s="86"/>
      <c r="F91" s="431"/>
      <c r="G91" s="1965"/>
      <c r="H91" s="1364"/>
      <c r="I91" s="1986"/>
      <c r="J91" s="1364"/>
      <c r="K91" s="1986"/>
      <c r="L91" s="1364"/>
      <c r="M91" s="1986"/>
      <c r="N91" s="1364" t="s">
        <v>727</v>
      </c>
      <c r="O91" s="1986"/>
      <c r="P91" s="1364" t="s">
        <v>727</v>
      </c>
      <c r="Q91" s="1986"/>
      <c r="R91" s="1364" t="s">
        <v>727</v>
      </c>
      <c r="S91" s="1986"/>
      <c r="T91" s="1364" t="s">
        <v>727</v>
      </c>
      <c r="U91" s="1986"/>
      <c r="V91" s="1364" t="s">
        <v>727</v>
      </c>
      <c r="W91" s="1986"/>
      <c r="X91" s="1364"/>
      <c r="Y91" s="1986"/>
    </row>
    <row r="92" spans="1:25">
      <c r="A92" s="1979"/>
      <c r="B92" s="1999" t="s">
        <v>2632</v>
      </c>
      <c r="C92" s="23"/>
      <c r="D92" s="87"/>
      <c r="E92" s="86"/>
      <c r="F92" s="431"/>
      <c r="G92" s="1965"/>
      <c r="H92" s="1364"/>
      <c r="I92" s="1986"/>
      <c r="J92" s="1364"/>
      <c r="K92" s="1986"/>
      <c r="L92" s="1364"/>
      <c r="M92" s="1986"/>
      <c r="N92" s="1364" t="s">
        <v>727</v>
      </c>
      <c r="O92" s="1986"/>
      <c r="P92" s="1364" t="s">
        <v>727</v>
      </c>
      <c r="Q92" s="1986"/>
      <c r="R92" s="1364" t="s">
        <v>727</v>
      </c>
      <c r="S92" s="1986"/>
      <c r="T92" s="1364" t="s">
        <v>727</v>
      </c>
      <c r="U92" s="1986"/>
      <c r="V92" s="1364" t="s">
        <v>727</v>
      </c>
      <c r="W92" s="1986"/>
      <c r="X92" s="1364"/>
      <c r="Y92" s="1986"/>
    </row>
    <row r="93" spans="1:25">
      <c r="A93" s="1979"/>
      <c r="B93" s="1999" t="s">
        <v>2633</v>
      </c>
      <c r="C93" s="23"/>
      <c r="D93" s="87"/>
      <c r="E93" s="86"/>
      <c r="F93" s="431"/>
      <c r="G93" s="1965"/>
      <c r="H93" s="1364"/>
      <c r="I93" s="1986"/>
      <c r="J93" s="1364"/>
      <c r="K93" s="1986"/>
      <c r="L93" s="1364"/>
      <c r="M93" s="1986"/>
      <c r="N93" s="1364" t="s">
        <v>727</v>
      </c>
      <c r="O93" s="1986"/>
      <c r="P93" s="1364" t="s">
        <v>727</v>
      </c>
      <c r="Q93" s="1986"/>
      <c r="R93" s="1364" t="s">
        <v>727</v>
      </c>
      <c r="S93" s="1986"/>
      <c r="T93" s="1364" t="s">
        <v>727</v>
      </c>
      <c r="U93" s="1986"/>
      <c r="V93" s="1364" t="s">
        <v>727</v>
      </c>
      <c r="W93" s="1986"/>
      <c r="X93" s="1364"/>
      <c r="Y93" s="1986"/>
    </row>
    <row r="94" spans="1:25">
      <c r="A94" s="1979"/>
      <c r="B94" s="1999" t="s">
        <v>2634</v>
      </c>
      <c r="C94" s="23"/>
      <c r="D94" s="87"/>
      <c r="E94" s="86"/>
      <c r="F94" s="431"/>
      <c r="G94" s="1965"/>
      <c r="H94" s="1364"/>
      <c r="I94" s="1986"/>
      <c r="J94" s="1364"/>
      <c r="K94" s="1986"/>
      <c r="L94" s="1364"/>
      <c r="M94" s="1986"/>
      <c r="N94" s="1364" t="s">
        <v>727</v>
      </c>
      <c r="O94" s="1986"/>
      <c r="P94" s="1364" t="s">
        <v>727</v>
      </c>
      <c r="Q94" s="1986"/>
      <c r="R94" s="1364" t="s">
        <v>727</v>
      </c>
      <c r="S94" s="1986"/>
      <c r="T94" s="1364" t="s">
        <v>727</v>
      </c>
      <c r="U94" s="1986"/>
      <c r="V94" s="1364" t="s">
        <v>727</v>
      </c>
      <c r="W94" s="1986"/>
      <c r="X94" s="1364"/>
      <c r="Y94" s="1986"/>
    </row>
    <row r="95" spans="1:25">
      <c r="A95" s="1979"/>
      <c r="B95" s="1999" t="s">
        <v>2635</v>
      </c>
      <c r="C95" s="23"/>
      <c r="D95" s="87"/>
      <c r="E95" s="86"/>
      <c r="F95" s="431"/>
      <c r="G95" s="1965"/>
      <c r="H95" s="1364"/>
      <c r="I95" s="1986"/>
      <c r="J95" s="1364"/>
      <c r="K95" s="1986"/>
      <c r="L95" s="1364"/>
      <c r="M95" s="1986"/>
      <c r="N95" s="1364" t="s">
        <v>727</v>
      </c>
      <c r="O95" s="1986"/>
      <c r="P95" s="1364" t="s">
        <v>727</v>
      </c>
      <c r="Q95" s="1986"/>
      <c r="R95" s="1364" t="s">
        <v>727</v>
      </c>
      <c r="S95" s="1986"/>
      <c r="T95" s="1364" t="s">
        <v>727</v>
      </c>
      <c r="U95" s="1986"/>
      <c r="V95" s="1364" t="s">
        <v>727</v>
      </c>
      <c r="W95" s="1986"/>
      <c r="X95" s="1364"/>
      <c r="Y95" s="1986"/>
    </row>
    <row r="96" spans="1:25">
      <c r="A96" s="1979"/>
      <c r="B96" s="1999" t="s">
        <v>2636</v>
      </c>
      <c r="C96" s="23"/>
      <c r="D96" s="87"/>
      <c r="E96" s="86"/>
      <c r="F96" s="431"/>
      <c r="G96" s="1965"/>
      <c r="H96" s="1364"/>
      <c r="I96" s="1986"/>
      <c r="J96" s="1364"/>
      <c r="K96" s="1986"/>
      <c r="L96" s="1364"/>
      <c r="M96" s="1986"/>
      <c r="N96" s="1364" t="s">
        <v>727</v>
      </c>
      <c r="O96" s="1986"/>
      <c r="P96" s="1364" t="s">
        <v>727</v>
      </c>
      <c r="Q96" s="1986"/>
      <c r="R96" s="1364" t="s">
        <v>727</v>
      </c>
      <c r="S96" s="1986"/>
      <c r="T96" s="1364" t="s">
        <v>727</v>
      </c>
      <c r="U96" s="1986"/>
      <c r="V96" s="1364" t="s">
        <v>727</v>
      </c>
      <c r="W96" s="1986"/>
      <c r="X96" s="1364"/>
      <c r="Y96" s="1986"/>
    </row>
    <row r="97" spans="1:25">
      <c r="A97" s="1979"/>
      <c r="B97" s="1999" t="s">
        <v>2637</v>
      </c>
      <c r="C97" s="23"/>
      <c r="D97" s="87"/>
      <c r="E97" s="86"/>
      <c r="F97" s="431"/>
      <c r="G97" s="1965"/>
      <c r="H97" s="1364"/>
      <c r="I97" s="1986"/>
      <c r="J97" s="1364"/>
      <c r="K97" s="1986"/>
      <c r="L97" s="1364"/>
      <c r="M97" s="1986"/>
      <c r="N97" s="1364" t="s">
        <v>727</v>
      </c>
      <c r="O97" s="1986"/>
      <c r="P97" s="1364" t="s">
        <v>727</v>
      </c>
      <c r="Q97" s="1986"/>
      <c r="R97" s="1364" t="s">
        <v>727</v>
      </c>
      <c r="S97" s="1986"/>
      <c r="T97" s="1364" t="s">
        <v>727</v>
      </c>
      <c r="U97" s="1986"/>
      <c r="V97" s="1364" t="s">
        <v>727</v>
      </c>
      <c r="W97" s="1986"/>
      <c r="X97" s="1364"/>
      <c r="Y97" s="1986"/>
    </row>
    <row r="98" spans="1:25">
      <c r="A98" s="1979"/>
      <c r="B98" s="1999" t="s">
        <v>2638</v>
      </c>
      <c r="C98" s="23"/>
      <c r="D98" s="87"/>
      <c r="E98" s="86"/>
      <c r="F98" s="431"/>
      <c r="G98" s="1965"/>
      <c r="H98" s="1364"/>
      <c r="I98" s="1986"/>
      <c r="J98" s="1364"/>
      <c r="K98" s="1986"/>
      <c r="L98" s="1364"/>
      <c r="M98" s="1986"/>
      <c r="N98" s="1364" t="s">
        <v>727</v>
      </c>
      <c r="O98" s="1986"/>
      <c r="P98" s="1364" t="s">
        <v>727</v>
      </c>
      <c r="Q98" s="1986"/>
      <c r="R98" s="1364" t="s">
        <v>727</v>
      </c>
      <c r="S98" s="1986"/>
      <c r="T98" s="1364" t="s">
        <v>727</v>
      </c>
      <c r="U98" s="1986"/>
      <c r="V98" s="1364" t="s">
        <v>727</v>
      </c>
      <c r="W98" s="1986"/>
      <c r="X98" s="1364"/>
      <c r="Y98" s="1986"/>
    </row>
    <row r="99" spans="1:25">
      <c r="A99" s="1979"/>
      <c r="B99" s="1999"/>
      <c r="C99" s="23"/>
      <c r="D99" s="87"/>
      <c r="E99" s="86"/>
      <c r="F99" s="431"/>
      <c r="G99" s="1965"/>
      <c r="H99" s="1364"/>
      <c r="I99" s="1986"/>
      <c r="J99" s="1364"/>
      <c r="K99" s="1986"/>
      <c r="L99" s="1364"/>
      <c r="M99" s="1986"/>
      <c r="N99" s="1364"/>
      <c r="O99" s="1986"/>
      <c r="P99" s="1364"/>
      <c r="Q99" s="1986"/>
      <c r="R99" s="1364"/>
      <c r="S99" s="1986"/>
      <c r="T99" s="1364"/>
      <c r="U99" s="1986"/>
      <c r="V99" s="1364"/>
      <c r="W99" s="1986"/>
      <c r="X99" s="1364"/>
      <c r="Y99" s="1986"/>
    </row>
    <row r="100" spans="1:25">
      <c r="A100" s="1979"/>
      <c r="B100" s="1999"/>
      <c r="C100" s="23"/>
      <c r="D100" s="87"/>
      <c r="E100" s="86"/>
      <c r="F100" s="431"/>
      <c r="G100" s="830"/>
      <c r="H100" s="1364"/>
      <c r="I100" s="1986"/>
      <c r="J100" s="1364"/>
      <c r="K100" s="1986"/>
      <c r="L100" s="1364"/>
      <c r="M100" s="1986"/>
      <c r="N100" s="1364"/>
      <c r="O100" s="1986"/>
      <c r="P100" s="1364"/>
      <c r="Q100" s="1986"/>
      <c r="R100" s="1364"/>
      <c r="S100" s="1986"/>
      <c r="T100" s="1364"/>
      <c r="U100" s="1986"/>
      <c r="V100" s="1364"/>
      <c r="W100" s="1986"/>
      <c r="X100" s="1364"/>
      <c r="Y100" s="1986"/>
    </row>
    <row r="101" spans="1:25" ht="15.75" thickBot="1">
      <c r="A101" s="1979"/>
      <c r="B101" s="1999"/>
      <c r="C101" s="23"/>
      <c r="D101" s="87"/>
      <c r="E101" s="86"/>
      <c r="F101" s="431"/>
      <c r="G101" s="830"/>
      <c r="H101" s="1364"/>
      <c r="I101" s="1986"/>
      <c r="J101" s="1364"/>
      <c r="K101" s="1986"/>
      <c r="L101" s="1364"/>
      <c r="M101" s="1986"/>
      <c r="N101" s="1364"/>
      <c r="O101" s="1986"/>
      <c r="P101" s="1364"/>
      <c r="Q101" s="1986"/>
      <c r="R101" s="1364"/>
      <c r="S101" s="1986"/>
      <c r="T101" s="1364"/>
      <c r="U101" s="1986"/>
      <c r="V101" s="1364"/>
      <c r="W101" s="1986"/>
      <c r="X101" s="1364"/>
      <c r="Y101" s="1986"/>
    </row>
    <row r="102" spans="1:25" ht="15.75" thickTop="1">
      <c r="A102" s="296"/>
      <c r="B102" s="301"/>
      <c r="C102" s="297"/>
      <c r="D102" s="15"/>
      <c r="E102" s="16"/>
      <c r="F102" s="282" t="s">
        <v>753</v>
      </c>
      <c r="G102" s="272"/>
      <c r="H102" s="273"/>
      <c r="I102" s="273">
        <f>SUM(I12:I101)</f>
        <v>1633214</v>
      </c>
      <c r="J102" s="273"/>
      <c r="K102" s="273">
        <f>SUM(K12:K101)</f>
        <v>1920936</v>
      </c>
      <c r="L102" s="273"/>
      <c r="M102" s="273">
        <f>SUM(M12:M101)</f>
        <v>1666361</v>
      </c>
      <c r="N102" s="273"/>
      <c r="O102" s="273">
        <f>SUM(O12:O101)</f>
        <v>1817650</v>
      </c>
      <c r="P102" s="273"/>
      <c r="Q102" s="273">
        <f>SUM(Q12:Q101)</f>
        <v>2007000</v>
      </c>
      <c r="R102" s="273"/>
      <c r="S102" s="273">
        <f>SUM(S12:S101)</f>
        <v>2018587</v>
      </c>
      <c r="T102" s="273"/>
      <c r="U102" s="273">
        <f>SUM(U12:U101)</f>
        <v>1981698</v>
      </c>
      <c r="V102" s="273"/>
      <c r="W102" s="273">
        <f>SUM(W12:W101)</f>
        <v>2048628</v>
      </c>
      <c r="X102" s="273"/>
      <c r="Y102" s="273">
        <f>SUM(Y12:Y101)</f>
        <v>0</v>
      </c>
    </row>
    <row r="103" spans="1:25">
      <c r="A103" s="1114"/>
      <c r="B103" s="2000"/>
      <c r="C103" s="432"/>
      <c r="D103" s="433"/>
      <c r="E103" s="434"/>
      <c r="F103" s="435" t="s">
        <v>754</v>
      </c>
      <c r="G103" s="436"/>
      <c r="H103" s="2001">
        <v>5.0000000000000001E-3</v>
      </c>
      <c r="I103" s="2002"/>
      <c r="J103" s="2003">
        <v>0</v>
      </c>
      <c r="K103" s="2002"/>
      <c r="L103" s="2003">
        <v>0</v>
      </c>
      <c r="M103" s="2002"/>
      <c r="N103" s="2003">
        <v>0.01</v>
      </c>
      <c r="O103" s="2002"/>
      <c r="P103" s="2003">
        <v>0</v>
      </c>
      <c r="Q103" s="2002"/>
      <c r="R103" s="2003">
        <v>0</v>
      </c>
      <c r="S103" s="2002"/>
      <c r="T103" s="2003">
        <v>0</v>
      </c>
      <c r="U103" s="2002"/>
      <c r="V103" s="2003">
        <v>0</v>
      </c>
      <c r="W103" s="2002"/>
      <c r="X103" s="2003">
        <v>0</v>
      </c>
      <c r="Y103" s="2002"/>
    </row>
    <row r="104" spans="1:25">
      <c r="A104" s="1114"/>
      <c r="B104" s="2000"/>
      <c r="C104" s="432"/>
      <c r="D104" s="433"/>
      <c r="E104" s="434"/>
      <c r="F104" s="435" t="s">
        <v>755</v>
      </c>
      <c r="G104" s="436"/>
      <c r="H104" s="2002"/>
      <c r="I104" s="2002">
        <f>I102*H103</f>
        <v>8166.0700000000006</v>
      </c>
      <c r="J104" s="2002"/>
      <c r="K104" s="2002">
        <f>K102*J103</f>
        <v>0</v>
      </c>
      <c r="L104" s="2002"/>
      <c r="M104" s="2002">
        <f>M102*L103</f>
        <v>0</v>
      </c>
      <c r="N104" s="2002"/>
      <c r="O104" s="2002">
        <f>O102*N103</f>
        <v>18176.5</v>
      </c>
      <c r="P104" s="2002"/>
      <c r="Q104" s="2002">
        <f>Q102*P103</f>
        <v>0</v>
      </c>
      <c r="R104" s="2002"/>
      <c r="S104" s="2002">
        <f>S102*R103</f>
        <v>0</v>
      </c>
      <c r="T104" s="2002"/>
      <c r="U104" s="2002">
        <f>U102*T103</f>
        <v>0</v>
      </c>
      <c r="V104" s="2002"/>
      <c r="W104" s="2002">
        <f>W102*V103</f>
        <v>0</v>
      </c>
      <c r="X104" s="2002"/>
      <c r="Y104" s="2002">
        <f>Y102*X103</f>
        <v>0</v>
      </c>
    </row>
    <row r="105" spans="1:25">
      <c r="A105" s="1114"/>
      <c r="B105" s="2000"/>
      <c r="C105" s="432"/>
      <c r="D105" s="433"/>
      <c r="E105" s="434"/>
      <c r="F105" s="435"/>
      <c r="G105" s="436"/>
      <c r="H105" s="2002"/>
      <c r="I105" s="2002"/>
      <c r="J105" s="2002"/>
      <c r="K105" s="2002"/>
      <c r="L105" s="2002"/>
      <c r="M105" s="2002"/>
      <c r="N105" s="2002"/>
      <c r="O105" s="2002"/>
      <c r="P105" s="2002"/>
      <c r="Q105" s="2002"/>
      <c r="R105" s="2002"/>
      <c r="S105" s="2002"/>
      <c r="T105" s="2002"/>
      <c r="U105" s="2002"/>
      <c r="V105" s="2002"/>
      <c r="W105" s="2002"/>
      <c r="X105" s="2002"/>
      <c r="Y105" s="2002"/>
    </row>
    <row r="106" spans="1:25">
      <c r="A106" s="1114"/>
      <c r="B106" s="2000"/>
      <c r="C106" s="432"/>
      <c r="D106" s="433"/>
      <c r="E106" s="434"/>
      <c r="F106" s="435" t="s">
        <v>756</v>
      </c>
      <c r="G106" s="436"/>
      <c r="H106" s="2002"/>
      <c r="I106" s="2002">
        <f>SUM(I102:I104)</f>
        <v>1641380.07</v>
      </c>
      <c r="J106" s="2002"/>
      <c r="K106" s="2002">
        <f>SUM(K102:K104)</f>
        <v>1920936</v>
      </c>
      <c r="L106" s="2002"/>
      <c r="M106" s="2002">
        <f>SUM(M102:M104)</f>
        <v>1666361</v>
      </c>
      <c r="N106" s="2002"/>
      <c r="O106" s="2002">
        <f>SUM(O102:O104)</f>
        <v>1835826.5</v>
      </c>
      <c r="P106" s="2002"/>
      <c r="Q106" s="2002">
        <f>SUM(Q102:Q104)</f>
        <v>2007000</v>
      </c>
      <c r="R106" s="2002"/>
      <c r="S106" s="2002">
        <f>SUM(S102:S104)</f>
        <v>2018587</v>
      </c>
      <c r="T106" s="2002"/>
      <c r="U106" s="2002">
        <f>SUM(U102:U104)</f>
        <v>1981698</v>
      </c>
      <c r="V106" s="2002"/>
      <c r="W106" s="2002">
        <f>SUM(W102:W104)</f>
        <v>2048628</v>
      </c>
      <c r="X106" s="2002"/>
      <c r="Y106" s="2002">
        <f>SUM(Y102:Y104)</f>
        <v>0</v>
      </c>
    </row>
    <row r="107" spans="1:25">
      <c r="A107" s="1114"/>
      <c r="B107" s="2000"/>
      <c r="C107" s="432"/>
      <c r="D107" s="433"/>
      <c r="E107" s="434"/>
      <c r="F107" s="437" t="s">
        <v>757</v>
      </c>
      <c r="G107" s="438"/>
      <c r="H107" s="2004"/>
      <c r="I107" s="2004">
        <f>I106/'Area Calculations'!$G$4</f>
        <v>2.8365042693242875</v>
      </c>
      <c r="J107" s="2004"/>
      <c r="K107" s="2004">
        <f>K106/'Area Calculations'!$G$4</f>
        <v>3.3196108961519917</v>
      </c>
      <c r="L107" s="2004"/>
      <c r="M107" s="2004">
        <f>M106/'Area Calculations'!$G$4</f>
        <v>2.8796743527752766</v>
      </c>
      <c r="N107" s="2004"/>
      <c r="O107" s="2004">
        <f>O106/'Area Calculations'!$G$4</f>
        <v>3.1725313351639901</v>
      </c>
      <c r="P107" s="2004"/>
      <c r="Q107" s="2004">
        <f>Q106/'Area Calculations'!$G$4</f>
        <v>3.4683399491586639</v>
      </c>
      <c r="R107" s="2004"/>
      <c r="S107" s="2004">
        <f>S106/'Area Calculations'!$G$4</f>
        <v>3.4883636935487496</v>
      </c>
      <c r="T107" s="2004"/>
      <c r="U107" s="2004">
        <f>U106/'Area Calculations'!$G$4</f>
        <v>3.4246150177218864</v>
      </c>
      <c r="V107" s="2004"/>
      <c r="W107" s="2004">
        <f>W106/'Area Calculations'!$G$4</f>
        <v>3.5402781930069835</v>
      </c>
      <c r="X107" s="2004"/>
      <c r="Y107" s="2004">
        <f>Y106/'Area Calculations'!$G$4</f>
        <v>0</v>
      </c>
    </row>
    <row r="108" spans="1:25">
      <c r="A108" s="1114"/>
      <c r="B108" s="2000"/>
      <c r="C108" s="432"/>
      <c r="D108" s="433"/>
      <c r="E108" s="434"/>
      <c r="F108" s="437" t="s">
        <v>758</v>
      </c>
      <c r="G108" s="438"/>
      <c r="H108" s="2004"/>
      <c r="I108" s="2004">
        <f>I106/'Area Calculations'!$G$9</f>
        <v>15340.000654205609</v>
      </c>
      <c r="J108" s="2004"/>
      <c r="K108" s="2004">
        <f>K106/'Area Calculations'!$G$9</f>
        <v>17952.672897196262</v>
      </c>
      <c r="L108" s="2004"/>
      <c r="M108" s="2004">
        <f>M106/'Area Calculations'!$G$9</f>
        <v>15573.467289719627</v>
      </c>
      <c r="N108" s="2004"/>
      <c r="O108" s="2004">
        <f>O106/'Area Calculations'!$G$9</f>
        <v>17157.257009345794</v>
      </c>
      <c r="P108" s="2004"/>
      <c r="Q108" s="2004">
        <f>Q106/'Area Calculations'!$G$9</f>
        <v>18757.009345794391</v>
      </c>
      <c r="R108" s="2004"/>
      <c r="S108" s="2004">
        <f>S106/'Area Calculations'!$G$9</f>
        <v>18865.299065420561</v>
      </c>
      <c r="T108" s="2004"/>
      <c r="U108" s="2004">
        <f>U106/'Area Calculations'!$G$9</f>
        <v>18520.542056074766</v>
      </c>
      <c r="V108" s="2004"/>
      <c r="W108" s="2004">
        <f>W106/'Area Calculations'!$G$9</f>
        <v>19146.056074766355</v>
      </c>
      <c r="X108" s="2004"/>
      <c r="Y108" s="2004">
        <f>Y106/'Area Calculations'!$G$9</f>
        <v>0</v>
      </c>
    </row>
    <row r="109" spans="1:25" ht="15.75" thickBot="1">
      <c r="A109" s="1114"/>
      <c r="B109" s="2000"/>
      <c r="C109" s="432"/>
      <c r="D109" s="433"/>
      <c r="E109" s="434"/>
      <c r="F109" s="439"/>
      <c r="G109" s="436"/>
      <c r="H109" s="2005"/>
      <c r="I109" s="2005"/>
      <c r="J109" s="2005"/>
      <c r="K109" s="2005"/>
      <c r="L109" s="2005"/>
      <c r="M109" s="2005"/>
      <c r="N109" s="2005"/>
      <c r="O109" s="2005"/>
      <c r="P109" s="2005"/>
      <c r="Q109" s="2005"/>
      <c r="R109" s="2005"/>
      <c r="S109" s="2005"/>
      <c r="T109" s="2005"/>
      <c r="U109" s="2005"/>
      <c r="V109" s="2005"/>
      <c r="W109" s="2005"/>
      <c r="X109" s="2005"/>
      <c r="Y109" s="2005"/>
    </row>
    <row r="110" spans="1:25" ht="16.5" thickTop="1" thickBot="1">
      <c r="A110" s="2331" t="s">
        <v>759</v>
      </c>
      <c r="B110" s="2332"/>
      <c r="C110" s="298"/>
      <c r="D110" s="12"/>
      <c r="E110" s="12"/>
      <c r="F110" s="12"/>
      <c r="G110" s="26"/>
      <c r="H110" s="24"/>
      <c r="I110" s="20"/>
      <c r="J110" s="20"/>
      <c r="K110" s="20"/>
      <c r="L110" s="20"/>
      <c r="M110" s="20"/>
      <c r="N110" s="20"/>
      <c r="O110" s="20"/>
      <c r="P110" s="20"/>
      <c r="Q110" s="20"/>
      <c r="R110" s="20"/>
      <c r="S110" s="20"/>
      <c r="T110" s="20"/>
      <c r="U110" s="20"/>
      <c r="V110" s="20"/>
      <c r="W110" s="20"/>
      <c r="X110" s="20"/>
      <c r="Y110" s="20"/>
    </row>
    <row r="111" spans="1:25" ht="15.75" thickTop="1">
      <c r="A111" s="1966"/>
      <c r="B111" s="2006"/>
      <c r="C111" s="1396"/>
      <c r="D111" s="1981"/>
      <c r="E111" s="1981"/>
      <c r="F111" s="1981"/>
      <c r="G111" s="1967"/>
      <c r="H111" s="1969"/>
      <c r="I111" s="1968"/>
      <c r="J111" s="1968"/>
      <c r="K111" s="1968"/>
      <c r="L111" s="1968"/>
      <c r="M111" s="1968"/>
      <c r="N111" s="1968"/>
      <c r="O111" s="1968"/>
      <c r="P111" s="1968"/>
      <c r="Q111" s="1968"/>
      <c r="R111" s="1968"/>
      <c r="S111" s="1968"/>
      <c r="T111" s="1968"/>
      <c r="U111" s="1968"/>
      <c r="V111" s="1968"/>
      <c r="W111" s="1968"/>
      <c r="X111" s="1968"/>
      <c r="Y111" s="1968"/>
    </row>
    <row r="112" spans="1:25">
      <c r="A112" s="1966"/>
      <c r="B112" s="2006"/>
      <c r="C112" s="1396"/>
      <c r="D112" s="1981"/>
      <c r="E112" s="1981"/>
      <c r="F112" s="1981"/>
      <c r="G112" s="1967"/>
      <c r="H112" s="1969"/>
      <c r="I112" s="1968"/>
      <c r="J112" s="1968"/>
      <c r="K112" s="1968"/>
      <c r="L112" s="1968"/>
      <c r="M112" s="1968"/>
      <c r="N112" s="1968"/>
      <c r="O112" s="1968"/>
      <c r="P112" s="1968"/>
      <c r="Q112" s="1968"/>
      <c r="R112" s="1968"/>
      <c r="S112" s="1968"/>
      <c r="T112" s="1968"/>
      <c r="U112" s="1968"/>
      <c r="V112" s="1968"/>
      <c r="W112" s="1968"/>
      <c r="X112" s="1968"/>
      <c r="Y112" s="1968"/>
    </row>
    <row r="113" spans="1:40" ht="15.75" thickBot="1">
      <c r="A113" s="1966"/>
      <c r="B113" s="2006"/>
      <c r="C113" s="1396"/>
      <c r="D113" s="1981"/>
      <c r="E113" s="1981"/>
      <c r="F113" s="1981"/>
      <c r="G113" s="1967"/>
      <c r="H113" s="1969"/>
      <c r="I113" s="1968"/>
      <c r="J113" s="1968"/>
      <c r="K113" s="1968"/>
      <c r="L113" s="1968"/>
      <c r="M113" s="1968"/>
      <c r="N113" s="1968"/>
      <c r="O113" s="1968"/>
      <c r="P113" s="1968"/>
      <c r="Q113" s="1968"/>
      <c r="R113" s="1968"/>
      <c r="S113" s="1968"/>
      <c r="T113" s="1968"/>
      <c r="U113" s="1968"/>
      <c r="V113" s="1968"/>
      <c r="W113" s="1968"/>
      <c r="X113" s="1968"/>
      <c r="Y113" s="1968"/>
    </row>
    <row r="114" spans="1:40" s="2" customFormat="1" ht="16.5" thickTop="1" thickBot="1">
      <c r="A114" s="2331" t="s">
        <v>760</v>
      </c>
      <c r="B114" s="2332"/>
      <c r="C114" s="298"/>
      <c r="D114" s="12"/>
      <c r="E114" s="12"/>
      <c r="F114" s="12"/>
      <c r="G114" s="26"/>
      <c r="H114" s="24"/>
      <c r="I114" s="20"/>
      <c r="J114" s="20"/>
      <c r="K114" s="20"/>
      <c r="L114" s="20"/>
      <c r="M114" s="20"/>
      <c r="N114" s="20"/>
      <c r="O114" s="20"/>
      <c r="P114" s="20"/>
      <c r="Q114" s="20"/>
      <c r="R114" s="20"/>
      <c r="S114" s="20"/>
      <c r="T114" s="20"/>
      <c r="U114" s="20"/>
      <c r="V114" s="20"/>
      <c r="W114" s="20"/>
      <c r="X114" s="20"/>
      <c r="Y114" s="20"/>
      <c r="Z114"/>
      <c r="AA114"/>
      <c r="AB114"/>
      <c r="AC114"/>
      <c r="AD114"/>
      <c r="AE114"/>
      <c r="AF114"/>
      <c r="AG114"/>
      <c r="AH114"/>
      <c r="AI114"/>
      <c r="AJ114"/>
      <c r="AK114"/>
      <c r="AL114"/>
      <c r="AM114"/>
      <c r="AN114"/>
    </row>
    <row r="115" spans="1:40" s="2" customFormat="1" ht="15.75" thickTop="1">
      <c r="A115" s="1966"/>
      <c r="B115" s="2006"/>
      <c r="C115" s="1396"/>
      <c r="D115" s="1981"/>
      <c r="E115" s="1981"/>
      <c r="F115" s="1981"/>
      <c r="G115" s="1967"/>
      <c r="H115" s="1969"/>
      <c r="I115" s="1968"/>
      <c r="J115" s="1968"/>
      <c r="K115" s="1968"/>
      <c r="L115" s="1968"/>
      <c r="M115" s="1968"/>
      <c r="N115" s="1968"/>
      <c r="O115" s="1968"/>
      <c r="P115" s="1968"/>
      <c r="Q115" s="1968"/>
      <c r="R115" s="1968"/>
      <c r="S115" s="1968"/>
      <c r="T115" s="1968"/>
      <c r="U115" s="1968"/>
      <c r="V115" s="1968"/>
      <c r="W115" s="1968"/>
      <c r="X115" s="1968"/>
      <c r="Y115" s="1968"/>
      <c r="Z115"/>
      <c r="AA115"/>
      <c r="AB115"/>
      <c r="AC115"/>
      <c r="AD115"/>
      <c r="AE115"/>
      <c r="AF115"/>
      <c r="AG115"/>
      <c r="AH115"/>
      <c r="AI115"/>
      <c r="AJ115"/>
      <c r="AK115"/>
      <c r="AL115"/>
      <c r="AM115"/>
      <c r="AN115"/>
    </row>
    <row r="116" spans="1:40" s="2" customFormat="1">
      <c r="A116" s="1966"/>
      <c r="B116" s="2006"/>
      <c r="C116" s="1396"/>
      <c r="D116" s="1981"/>
      <c r="E116" s="1981"/>
      <c r="F116" s="1981"/>
      <c r="G116" s="1967"/>
      <c r="H116" s="1969"/>
      <c r="I116" s="1968"/>
      <c r="J116" s="1968"/>
      <c r="K116" s="1968"/>
      <c r="L116" s="1968"/>
      <c r="M116" s="1968"/>
      <c r="N116" s="1968"/>
      <c r="O116" s="1968"/>
      <c r="P116" s="1968"/>
      <c r="Q116" s="1968"/>
      <c r="R116" s="1968"/>
      <c r="S116" s="1968"/>
      <c r="T116" s="1968"/>
      <c r="U116" s="1968"/>
      <c r="V116" s="1968"/>
      <c r="W116" s="1968"/>
      <c r="X116" s="1968"/>
      <c r="Y116" s="1968"/>
      <c r="Z116"/>
      <c r="AA116"/>
      <c r="AB116"/>
      <c r="AC116"/>
      <c r="AD116"/>
      <c r="AE116"/>
      <c r="AF116"/>
      <c r="AG116"/>
      <c r="AH116"/>
      <c r="AI116"/>
      <c r="AJ116"/>
      <c r="AK116"/>
      <c r="AL116"/>
      <c r="AM116"/>
      <c r="AN116"/>
    </row>
    <row r="117" spans="1:40" ht="15.75" thickBot="1">
      <c r="A117" s="1966"/>
      <c r="B117" s="2006"/>
      <c r="C117" s="1396"/>
      <c r="D117" s="1981"/>
      <c r="E117" s="1981"/>
      <c r="F117" s="1981"/>
      <c r="G117" s="1967"/>
      <c r="H117" s="1969"/>
      <c r="I117" s="1968"/>
      <c r="J117" s="1968"/>
      <c r="K117" s="1968"/>
      <c r="L117" s="1968"/>
      <c r="M117" s="1968"/>
      <c r="N117" s="1968"/>
      <c r="O117" s="1968"/>
      <c r="P117" s="1968"/>
      <c r="Q117" s="1968"/>
      <c r="R117" s="1968"/>
      <c r="S117" s="1968"/>
      <c r="T117" s="1968"/>
      <c r="U117" s="1968"/>
      <c r="V117" s="1968"/>
      <c r="W117" s="1968"/>
      <c r="X117" s="1968"/>
      <c r="Y117" s="1968"/>
    </row>
    <row r="118" spans="1:40" s="2" customFormat="1" ht="16.5" thickTop="1" thickBot="1">
      <c r="A118" s="2331" t="s">
        <v>761</v>
      </c>
      <c r="B118" s="2332"/>
      <c r="C118" s="298"/>
      <c r="D118" s="12"/>
      <c r="E118" s="12"/>
      <c r="F118" s="12"/>
      <c r="G118" s="26"/>
      <c r="H118" s="24"/>
      <c r="I118" s="20"/>
      <c r="J118" s="20"/>
      <c r="K118" s="20"/>
      <c r="L118" s="20"/>
      <c r="M118" s="20"/>
      <c r="N118" s="20"/>
      <c r="O118" s="20"/>
      <c r="P118" s="20"/>
      <c r="Q118" s="20"/>
      <c r="R118" s="20"/>
      <c r="S118" s="20"/>
      <c r="T118" s="20"/>
      <c r="U118" s="20"/>
      <c r="V118" s="20"/>
      <c r="W118" s="20"/>
      <c r="X118" s="20"/>
      <c r="Y118" s="20"/>
      <c r="Z118"/>
      <c r="AA118"/>
      <c r="AB118"/>
      <c r="AC118"/>
      <c r="AD118"/>
      <c r="AE118"/>
      <c r="AF118"/>
      <c r="AG118"/>
      <c r="AH118"/>
      <c r="AI118"/>
      <c r="AJ118"/>
      <c r="AK118"/>
      <c r="AL118"/>
      <c r="AM118"/>
      <c r="AN118"/>
    </row>
    <row r="119" spans="1:40" s="2" customFormat="1" ht="15.75" thickTop="1">
      <c r="A119" s="1966"/>
      <c r="B119" s="2006"/>
      <c r="C119" s="1396"/>
      <c r="D119" s="1981"/>
      <c r="E119" s="1981"/>
      <c r="F119" s="1981"/>
      <c r="G119" s="1967"/>
      <c r="H119" s="1969"/>
      <c r="I119" s="1968"/>
      <c r="J119" s="1968"/>
      <c r="K119" s="1968"/>
      <c r="L119" s="1968"/>
      <c r="M119" s="1968"/>
      <c r="N119" s="1968"/>
      <c r="O119" s="1968"/>
      <c r="P119" s="1968"/>
      <c r="Q119" s="1968"/>
      <c r="R119" s="1968"/>
      <c r="S119" s="1968"/>
      <c r="T119" s="1968"/>
      <c r="U119" s="1968"/>
      <c r="V119" s="1968"/>
      <c r="W119" s="1968"/>
      <c r="X119" s="1968"/>
      <c r="Y119" s="1968"/>
      <c r="Z119"/>
      <c r="AA119"/>
      <c r="AB119"/>
      <c r="AC119"/>
      <c r="AD119"/>
      <c r="AE119"/>
      <c r="AF119"/>
      <c r="AG119"/>
      <c r="AH119"/>
      <c r="AI119"/>
      <c r="AJ119"/>
      <c r="AK119"/>
      <c r="AL119"/>
      <c r="AM119"/>
      <c r="AN119"/>
    </row>
    <row r="120" spans="1:40" s="2" customFormat="1">
      <c r="A120" s="1124"/>
      <c r="B120" s="2006"/>
      <c r="C120" s="415"/>
      <c r="D120" s="422"/>
      <c r="E120" s="422"/>
      <c r="F120" s="422"/>
      <c r="G120" s="831"/>
      <c r="H120" s="440"/>
      <c r="I120" s="2007"/>
      <c r="J120" s="2007"/>
      <c r="K120" s="2007"/>
      <c r="L120" s="2007"/>
      <c r="M120" s="2007"/>
      <c r="N120" s="2007"/>
      <c r="O120" s="2007"/>
      <c r="P120" s="2007"/>
      <c r="Q120" s="2007"/>
      <c r="R120" s="2007"/>
      <c r="S120" s="2007"/>
      <c r="T120" s="2007"/>
      <c r="U120" s="2007"/>
      <c r="V120" s="2007"/>
      <c r="W120" s="2007"/>
      <c r="X120" s="2007"/>
      <c r="Y120" s="2007"/>
      <c r="Z120"/>
      <c r="AA120"/>
      <c r="AB120"/>
      <c r="AC120"/>
      <c r="AD120"/>
      <c r="AE120"/>
      <c r="AF120"/>
      <c r="AG120"/>
      <c r="AH120"/>
      <c r="AI120"/>
      <c r="AJ120"/>
      <c r="AK120"/>
      <c r="AL120"/>
      <c r="AM120"/>
      <c r="AN120"/>
    </row>
    <row r="121" spans="1:40" s="2" customFormat="1" ht="15.75" thickBot="1">
      <c r="A121" s="1126"/>
      <c r="B121" s="2008"/>
      <c r="C121" s="415"/>
      <c r="D121" s="422"/>
      <c r="E121" s="422"/>
      <c r="F121" s="422"/>
      <c r="G121" s="831"/>
      <c r="H121" s="441"/>
      <c r="I121" s="2009"/>
      <c r="J121" s="2009"/>
      <c r="K121" s="2009"/>
      <c r="L121" s="2009"/>
      <c r="M121" s="2009"/>
      <c r="N121" s="2009"/>
      <c r="O121" s="2009"/>
      <c r="P121" s="2009"/>
      <c r="Q121" s="2009"/>
      <c r="R121" s="2009"/>
      <c r="S121" s="2009"/>
      <c r="T121" s="2009"/>
      <c r="U121" s="2009"/>
      <c r="V121" s="2009"/>
      <c r="W121" s="2009"/>
      <c r="X121" s="2009"/>
      <c r="Y121" s="2009"/>
    </row>
    <row r="122" spans="1:40" s="2" customFormat="1" ht="16.5" thickTop="1" thickBot="1">
      <c r="A122" s="2331" t="s">
        <v>762</v>
      </c>
      <c r="B122" s="2332"/>
      <c r="C122" s="298"/>
      <c r="D122" s="12"/>
      <c r="E122" s="12"/>
      <c r="F122" s="12"/>
      <c r="G122" s="26"/>
      <c r="H122" s="24"/>
      <c r="I122" s="20"/>
      <c r="J122" s="20"/>
      <c r="K122" s="20"/>
      <c r="L122" s="20"/>
      <c r="M122" s="20"/>
      <c r="N122" s="20"/>
      <c r="O122" s="20"/>
      <c r="P122" s="20"/>
      <c r="Q122" s="20"/>
      <c r="R122" s="20"/>
      <c r="S122" s="20"/>
      <c r="T122" s="20"/>
      <c r="U122" s="20"/>
      <c r="V122" s="20"/>
      <c r="W122" s="20"/>
      <c r="X122" s="20"/>
      <c r="Y122" s="20"/>
      <c r="Z122"/>
      <c r="AA122"/>
      <c r="AB122"/>
      <c r="AC122"/>
      <c r="AD122"/>
      <c r="AE122"/>
      <c r="AF122"/>
      <c r="AG122"/>
      <c r="AH122"/>
      <c r="AI122"/>
      <c r="AJ122"/>
      <c r="AK122"/>
      <c r="AL122"/>
      <c r="AM122"/>
      <c r="AN122"/>
    </row>
    <row r="123" spans="1:40" ht="15.75" thickTop="1">
      <c r="A123" s="1970"/>
      <c r="B123" s="1971"/>
      <c r="C123" s="1396"/>
      <c r="D123" s="1981"/>
      <c r="E123" s="1981"/>
      <c r="F123" s="1981"/>
      <c r="G123" s="1967"/>
      <c r="H123" s="1969"/>
      <c r="I123" s="1968"/>
      <c r="J123" s="1968"/>
      <c r="K123" s="1968"/>
      <c r="L123" s="1968"/>
      <c r="M123" s="1968"/>
      <c r="N123" s="1968"/>
      <c r="O123" s="1968"/>
      <c r="P123" s="1968"/>
      <c r="Q123" s="1968"/>
      <c r="R123" s="1968"/>
      <c r="S123" s="1968"/>
      <c r="T123" s="1968"/>
      <c r="U123" s="1968"/>
      <c r="V123" s="1968"/>
      <c r="W123" s="1968"/>
      <c r="X123" s="1968"/>
      <c r="Y123" s="1968"/>
      <c r="Z123" s="2"/>
      <c r="AA123" s="2"/>
      <c r="AB123" s="2"/>
      <c r="AC123" s="2"/>
      <c r="AD123" s="2"/>
      <c r="AE123" s="2"/>
      <c r="AF123" s="2"/>
      <c r="AG123" s="2"/>
      <c r="AH123" s="2"/>
      <c r="AI123" s="2"/>
      <c r="AJ123" s="2"/>
      <c r="AK123" s="2"/>
      <c r="AL123" s="2"/>
      <c r="AM123" s="2"/>
      <c r="AN123" s="2"/>
    </row>
    <row r="124" spans="1:40">
      <c r="A124" s="1126"/>
      <c r="B124" s="2008"/>
      <c r="C124" s="415"/>
      <c r="D124" s="422"/>
      <c r="E124" s="422"/>
      <c r="F124" s="422"/>
      <c r="G124" s="831"/>
      <c r="H124" s="442"/>
      <c r="I124" s="2010"/>
      <c r="J124" s="2010"/>
      <c r="K124" s="2010"/>
      <c r="L124" s="2010"/>
      <c r="M124" s="2010"/>
      <c r="N124" s="2010"/>
      <c r="O124" s="2010"/>
      <c r="P124" s="2010"/>
      <c r="Q124" s="2010"/>
      <c r="R124" s="2010"/>
      <c r="S124" s="2010"/>
      <c r="T124" s="2010"/>
      <c r="U124" s="2010"/>
      <c r="V124" s="2010"/>
      <c r="W124" s="2010"/>
      <c r="X124" s="2010"/>
      <c r="Y124" s="2010"/>
      <c r="Z124" s="2"/>
      <c r="AA124" s="2"/>
      <c r="AB124" s="2"/>
      <c r="AC124" s="2"/>
      <c r="AD124" s="2"/>
      <c r="AE124" s="2"/>
      <c r="AF124" s="2"/>
      <c r="AG124" s="2"/>
      <c r="AH124" s="2"/>
      <c r="AI124" s="2"/>
      <c r="AJ124" s="2"/>
      <c r="AK124" s="2"/>
      <c r="AL124" s="2"/>
      <c r="AM124" s="2"/>
      <c r="AN124" s="2"/>
    </row>
    <row r="125" spans="1:40" ht="15.75" thickBot="1">
      <c r="A125" s="1126"/>
      <c r="B125" s="2008"/>
      <c r="C125" s="415"/>
      <c r="D125" s="422"/>
      <c r="E125" s="422"/>
      <c r="F125" s="422"/>
      <c r="G125" s="831"/>
      <c r="H125" s="442"/>
      <c r="I125" s="2010"/>
      <c r="J125" s="2010"/>
      <c r="K125" s="2010"/>
      <c r="L125" s="2010"/>
      <c r="M125" s="2010"/>
      <c r="N125" s="2010"/>
      <c r="O125" s="2010"/>
      <c r="P125" s="2010"/>
      <c r="Q125" s="2010"/>
      <c r="R125" s="2010"/>
      <c r="S125" s="2010"/>
      <c r="T125" s="2010"/>
      <c r="U125" s="2010"/>
      <c r="V125" s="2010"/>
      <c r="W125" s="2010"/>
      <c r="X125" s="2010"/>
      <c r="Y125" s="2010"/>
      <c r="Z125" s="2"/>
      <c r="AA125" s="2"/>
      <c r="AB125" s="2"/>
      <c r="AC125" s="2"/>
      <c r="AD125" s="2"/>
      <c r="AE125" s="2"/>
      <c r="AF125" s="2"/>
      <c r="AG125" s="2"/>
      <c r="AH125" s="2"/>
      <c r="AI125" s="2"/>
      <c r="AJ125" s="2"/>
      <c r="AK125" s="2"/>
      <c r="AL125" s="2"/>
      <c r="AM125" s="2"/>
      <c r="AN125" s="2"/>
    </row>
    <row r="126" spans="1:40" ht="16.5" thickTop="1" thickBot="1">
      <c r="A126" s="2331" t="s">
        <v>763</v>
      </c>
      <c r="B126" s="2332"/>
      <c r="C126" s="298"/>
      <c r="D126" s="12"/>
      <c r="E126" s="12"/>
      <c r="F126" s="12"/>
      <c r="G126" s="26"/>
      <c r="H126" s="24"/>
      <c r="I126" s="20"/>
      <c r="J126" s="20"/>
      <c r="K126" s="20"/>
      <c r="L126" s="20"/>
      <c r="M126" s="20"/>
      <c r="N126" s="20"/>
      <c r="O126" s="20"/>
      <c r="P126" s="20"/>
      <c r="Q126" s="20"/>
      <c r="R126" s="20"/>
      <c r="S126" s="20"/>
      <c r="T126" s="20"/>
      <c r="U126" s="20"/>
      <c r="V126" s="20"/>
      <c r="W126" s="20"/>
      <c r="X126" s="20"/>
      <c r="Y126" s="20"/>
    </row>
    <row r="127" spans="1:40" ht="15.75" thickTop="1">
      <c r="A127" s="1124"/>
      <c r="B127" s="2006" t="s">
        <v>764</v>
      </c>
      <c r="C127" s="415"/>
      <c r="D127" s="422"/>
      <c r="E127" s="422"/>
      <c r="F127" s="422"/>
      <c r="G127" s="831"/>
      <c r="H127" s="442"/>
      <c r="I127" s="2010"/>
      <c r="J127" s="2010"/>
      <c r="K127" s="2010"/>
      <c r="L127" s="2010"/>
      <c r="M127" s="2010"/>
      <c r="N127" s="2010"/>
      <c r="O127" s="2010"/>
      <c r="P127" s="2010"/>
      <c r="Q127" s="2010"/>
      <c r="R127" s="2010"/>
      <c r="S127" s="2010"/>
      <c r="T127" s="2010"/>
      <c r="U127" s="2010"/>
      <c r="V127" s="2010"/>
      <c r="W127" s="2010"/>
      <c r="X127" s="2010"/>
      <c r="Y127" s="2010"/>
    </row>
    <row r="128" spans="1:40">
      <c r="A128" s="1124"/>
      <c r="B128" s="2006" t="s">
        <v>765</v>
      </c>
      <c r="C128" s="415"/>
      <c r="D128" s="422"/>
      <c r="E128" s="422"/>
      <c r="F128" s="422"/>
      <c r="G128" s="831"/>
      <c r="H128" s="442"/>
      <c r="I128" s="2010"/>
      <c r="J128" s="2010"/>
      <c r="K128" s="2010"/>
      <c r="L128" s="2010"/>
      <c r="M128" s="2010"/>
      <c r="N128" s="2010"/>
      <c r="O128" s="2010"/>
      <c r="P128" s="2010"/>
      <c r="Q128" s="2010"/>
      <c r="R128" s="2010"/>
      <c r="S128" s="2010"/>
      <c r="T128" s="2010"/>
      <c r="U128" s="2010"/>
      <c r="V128" s="2010"/>
      <c r="W128" s="2010"/>
      <c r="X128" s="2010"/>
      <c r="Y128" s="2010"/>
    </row>
    <row r="129" spans="1:25">
      <c r="A129" s="1124"/>
      <c r="B129" s="2006" t="s">
        <v>766</v>
      </c>
      <c r="C129" s="415"/>
      <c r="D129" s="422"/>
      <c r="E129" s="422"/>
      <c r="F129" s="422"/>
      <c r="G129" s="831"/>
      <c r="H129" s="442"/>
      <c r="I129" s="2010"/>
      <c r="J129" s="2010"/>
      <c r="K129" s="2010"/>
      <c r="L129" s="2010"/>
      <c r="M129" s="2010"/>
      <c r="N129" s="2010"/>
      <c r="O129" s="2010"/>
      <c r="P129" s="2010"/>
      <c r="Q129" s="2010"/>
      <c r="R129" s="2010"/>
      <c r="S129" s="2010"/>
      <c r="T129" s="2010"/>
      <c r="U129" s="2010"/>
      <c r="V129" s="2010"/>
      <c r="W129" s="2010"/>
      <c r="X129" s="2010"/>
      <c r="Y129" s="2010"/>
    </row>
    <row r="130" spans="1:25">
      <c r="A130" s="1124"/>
      <c r="B130" s="2006" t="s">
        <v>767</v>
      </c>
      <c r="C130" s="415"/>
      <c r="D130" s="422"/>
      <c r="E130" s="422"/>
      <c r="F130" s="422"/>
      <c r="G130" s="831"/>
      <c r="H130" s="442"/>
      <c r="I130" s="2010"/>
      <c r="J130" s="2010"/>
      <c r="K130" s="2010"/>
      <c r="L130" s="2010"/>
      <c r="M130" s="2010"/>
      <c r="N130" s="2010"/>
      <c r="O130" s="2010"/>
      <c r="P130" s="2010"/>
      <c r="Q130" s="2010"/>
      <c r="R130" s="2010"/>
      <c r="S130" s="2010"/>
      <c r="T130" s="2010"/>
      <c r="U130" s="2010"/>
      <c r="V130" s="2010"/>
      <c r="W130" s="2010"/>
      <c r="X130" s="2010"/>
      <c r="Y130" s="2010"/>
    </row>
    <row r="131" spans="1:25" ht="15.75" thickBot="1">
      <c r="A131" s="443"/>
      <c r="B131" s="421"/>
      <c r="C131" s="23"/>
      <c r="D131" s="86"/>
      <c r="E131" s="86"/>
      <c r="F131" s="86"/>
      <c r="G131" s="27"/>
      <c r="H131" s="25"/>
      <c r="I131" s="444"/>
      <c r="J131" s="444"/>
      <c r="K131" s="444"/>
      <c r="L131" s="444"/>
      <c r="M131" s="444"/>
      <c r="N131" s="444"/>
      <c r="O131" s="444"/>
      <c r="P131" s="444"/>
      <c r="Q131" s="444"/>
      <c r="R131" s="444"/>
      <c r="S131" s="444"/>
      <c r="T131" s="444"/>
      <c r="U131" s="444"/>
      <c r="V131" s="444"/>
      <c r="W131" s="444"/>
      <c r="X131" s="444"/>
      <c r="Y131" s="444"/>
    </row>
    <row r="132" spans="1:25" ht="16.5" thickTop="1" thickBot="1">
      <c r="A132" s="72" t="s">
        <v>768</v>
      </c>
      <c r="B132" s="73"/>
      <c r="C132" s="298"/>
      <c r="D132" s="12"/>
      <c r="E132" s="12"/>
      <c r="F132" s="12"/>
      <c r="G132" s="26"/>
      <c r="H132" s="24"/>
      <c r="I132" s="20"/>
      <c r="J132" s="20"/>
      <c r="K132" s="20"/>
      <c r="L132" s="20"/>
      <c r="M132" s="20"/>
      <c r="N132" s="20"/>
      <c r="O132" s="20"/>
      <c r="P132" s="20"/>
      <c r="Q132" s="20"/>
      <c r="R132" s="20"/>
      <c r="S132" s="20"/>
      <c r="T132" s="20"/>
      <c r="U132" s="20"/>
      <c r="V132" s="20"/>
      <c r="W132" s="20"/>
      <c r="X132" s="20"/>
      <c r="Y132" s="20"/>
    </row>
    <row r="133" spans="1:25" ht="15.75" thickTop="1">
      <c r="A133" s="1966"/>
      <c r="B133" s="1972" t="s">
        <v>769</v>
      </c>
      <c r="C133" s="1396"/>
      <c r="D133" s="1981"/>
      <c r="E133" s="1981"/>
      <c r="F133" s="1981"/>
      <c r="G133" s="1967"/>
      <c r="H133" s="1974"/>
      <c r="I133" s="1973"/>
      <c r="J133" s="1973"/>
      <c r="K133" s="1973"/>
      <c r="L133" s="1973"/>
      <c r="M133" s="1973"/>
      <c r="N133" s="1973"/>
      <c r="O133" s="1973"/>
      <c r="P133" s="1973"/>
      <c r="Q133" s="1973"/>
      <c r="R133" s="1973"/>
      <c r="S133" s="1973"/>
      <c r="T133" s="1973"/>
      <c r="U133" s="1973"/>
      <c r="V133" s="1973"/>
      <c r="W133" s="1973"/>
      <c r="X133" s="1973"/>
      <c r="Y133" s="1973"/>
    </row>
    <row r="134" spans="1:25">
      <c r="A134" s="1124"/>
      <c r="B134" s="2006" t="s">
        <v>770</v>
      </c>
      <c r="C134" s="415"/>
      <c r="D134" s="422"/>
      <c r="E134" s="422"/>
      <c r="F134" s="422"/>
      <c r="G134" s="831"/>
      <c r="H134" s="445"/>
      <c r="I134" s="2011"/>
      <c r="J134" s="2011"/>
      <c r="K134" s="2011"/>
      <c r="L134" s="2011"/>
      <c r="M134" s="2011"/>
      <c r="N134" s="2011"/>
      <c r="O134" s="2011"/>
      <c r="P134" s="2011"/>
      <c r="Q134" s="2011"/>
      <c r="R134" s="2011"/>
      <c r="S134" s="2011"/>
      <c r="T134" s="2011"/>
      <c r="U134" s="2011"/>
      <c r="V134" s="2011"/>
      <c r="W134" s="2011"/>
      <c r="X134" s="2011"/>
      <c r="Y134" s="2011"/>
    </row>
    <row r="135" spans="1:25" ht="15.75" thickBot="1">
      <c r="A135" s="1183"/>
      <c r="B135" s="1184" t="s">
        <v>771</v>
      </c>
      <c r="C135" s="1185"/>
      <c r="D135" s="1186"/>
      <c r="E135" s="1186"/>
      <c r="F135" s="1186"/>
      <c r="G135" s="1187"/>
      <c r="H135" s="1188"/>
      <c r="I135" s="1189"/>
      <c r="J135" s="1189"/>
      <c r="K135" s="1189"/>
      <c r="L135" s="1189"/>
      <c r="M135" s="1189"/>
      <c r="N135" s="1189"/>
      <c r="O135" s="1189"/>
      <c r="P135" s="1189"/>
      <c r="Q135" s="1189"/>
      <c r="R135" s="1189"/>
      <c r="S135" s="1189"/>
      <c r="T135" s="1189"/>
      <c r="U135" s="1189"/>
      <c r="V135" s="1189"/>
      <c r="W135" s="1189"/>
      <c r="X135" s="1189"/>
      <c r="Y135" s="1189"/>
    </row>
    <row r="136" spans="1:25" ht="16.5" thickTop="1" thickBot="1">
      <c r="F136" s="2"/>
      <c r="G136" s="2"/>
      <c r="H136" s="2"/>
      <c r="I136" s="2"/>
      <c r="J136" s="2"/>
      <c r="K136" s="2"/>
      <c r="L136" s="2"/>
      <c r="M136" s="2"/>
      <c r="N136" s="2"/>
      <c r="O136" s="2"/>
      <c r="P136" s="2"/>
      <c r="Q136" s="2"/>
      <c r="R136" s="2"/>
      <c r="S136" s="2"/>
      <c r="T136" s="2"/>
      <c r="U136" s="2"/>
      <c r="V136" s="2"/>
      <c r="W136" s="2"/>
      <c r="X136" s="2"/>
      <c r="Y136" s="2"/>
    </row>
    <row r="137" spans="1:25" ht="16.5" thickTop="1" thickBot="1">
      <c r="A137" s="37" t="s">
        <v>772</v>
      </c>
      <c r="B137" s="39"/>
      <c r="F137" s="2"/>
      <c r="G137" s="2"/>
      <c r="H137" s="2"/>
      <c r="I137" s="2" t="s">
        <v>2639</v>
      </c>
      <c r="J137" s="2"/>
      <c r="K137" s="2"/>
      <c r="L137" s="2"/>
      <c r="M137" s="2"/>
      <c r="N137" s="2"/>
      <c r="O137" s="2"/>
      <c r="P137" s="2"/>
      <c r="Q137" s="2"/>
      <c r="R137" s="2"/>
      <c r="S137" s="2"/>
      <c r="T137" s="2"/>
      <c r="U137" s="2"/>
      <c r="V137" s="2"/>
      <c r="W137" s="2"/>
      <c r="X137" s="2"/>
      <c r="Y137" s="2"/>
    </row>
    <row r="138" spans="1:25" ht="15.75" thickTop="1">
      <c r="A138" s="38" t="s">
        <v>693</v>
      </c>
      <c r="B138" s="2012" t="str">
        <f>P5</f>
        <v>PCS R</v>
      </c>
      <c r="F138" s="2"/>
      <c r="G138" s="2"/>
      <c r="H138" s="2"/>
      <c r="I138" s="2"/>
      <c r="J138" s="2"/>
      <c r="K138" s="2"/>
      <c r="L138" s="2"/>
      <c r="M138" s="2"/>
      <c r="N138" s="2"/>
      <c r="O138" s="2"/>
      <c r="P138" s="2"/>
      <c r="Q138" s="2"/>
      <c r="R138" s="2"/>
      <c r="S138" s="2"/>
      <c r="T138" s="2"/>
      <c r="U138" s="2"/>
      <c r="V138" s="2"/>
      <c r="W138" s="2"/>
      <c r="X138" s="2"/>
      <c r="Y138" s="2"/>
    </row>
    <row r="139" spans="1:25">
      <c r="A139" s="1142" t="s">
        <v>702</v>
      </c>
      <c r="B139" s="2012" t="str">
        <f>P6</f>
        <v>Gary Nugent</v>
      </c>
      <c r="F139" s="2"/>
      <c r="G139" s="2"/>
      <c r="H139" s="2"/>
      <c r="I139" s="2"/>
      <c r="J139" s="2"/>
      <c r="K139" s="2"/>
      <c r="L139" s="2"/>
      <c r="M139" s="2"/>
      <c r="N139" s="2"/>
      <c r="O139" s="2"/>
      <c r="P139" s="2"/>
      <c r="Q139" s="2"/>
      <c r="R139" s="2"/>
      <c r="S139" s="2"/>
      <c r="T139" s="2"/>
      <c r="U139" s="2"/>
      <c r="V139" s="2"/>
      <c r="W139" s="2"/>
      <c r="X139" s="2"/>
      <c r="Y139" s="2"/>
    </row>
    <row r="140" spans="1:25">
      <c r="A140" s="2013" t="s">
        <v>708</v>
      </c>
      <c r="B140" s="2014">
        <f>P7</f>
        <v>5614026838</v>
      </c>
      <c r="F140" s="2"/>
      <c r="G140" s="2"/>
      <c r="H140" s="2"/>
      <c r="I140" s="2"/>
      <c r="J140" s="2"/>
      <c r="K140" s="2"/>
      <c r="L140" s="2"/>
      <c r="M140" s="2"/>
      <c r="N140" s="2"/>
      <c r="O140" s="2"/>
      <c r="P140" s="2"/>
      <c r="Q140" s="2"/>
      <c r="R140" s="2"/>
      <c r="S140" s="2"/>
      <c r="T140" s="2"/>
      <c r="U140" s="2"/>
      <c r="V140" s="2"/>
      <c r="W140" s="2"/>
      <c r="X140" s="2"/>
      <c r="Y140" s="2"/>
    </row>
    <row r="141" spans="1:25">
      <c r="A141" s="2013" t="s">
        <v>713</v>
      </c>
      <c r="B141" s="2015" t="str">
        <f>P8</f>
        <v>garyn@preferredcabling.com</v>
      </c>
      <c r="F141" s="2"/>
      <c r="G141" s="2"/>
      <c r="H141" s="2"/>
      <c r="I141" s="2"/>
      <c r="J141" s="2"/>
      <c r="K141" s="2"/>
      <c r="L141" s="2"/>
      <c r="M141" s="2"/>
      <c r="N141" s="2"/>
      <c r="O141" s="2"/>
      <c r="P141" s="2"/>
      <c r="Q141" s="2"/>
      <c r="R141" s="2"/>
      <c r="S141" s="2"/>
      <c r="T141" s="2"/>
      <c r="U141" s="2"/>
      <c r="V141" s="2"/>
      <c r="W141" s="2"/>
      <c r="X141" s="2"/>
      <c r="Y141" s="2"/>
    </row>
    <row r="142" spans="1:25" ht="15.75" thickBot="1">
      <c r="A142" s="1194" t="s">
        <v>69</v>
      </c>
      <c r="B142" s="1195">
        <f>N9-Q38-Q46</f>
        <v>960826.5</v>
      </c>
      <c r="F142" s="2"/>
      <c r="G142" s="2"/>
      <c r="H142" s="2"/>
      <c r="I142" s="673">
        <f>U38</f>
        <v>500000</v>
      </c>
      <c r="J142" s="2"/>
      <c r="K142" s="2"/>
      <c r="L142" s="2"/>
      <c r="M142" s="2"/>
      <c r="N142" s="2"/>
      <c r="O142" s="2"/>
      <c r="P142" s="2"/>
      <c r="Q142" s="2"/>
      <c r="R142" s="2"/>
      <c r="S142" s="2"/>
      <c r="T142" s="2"/>
      <c r="U142" s="2"/>
      <c r="V142" s="2"/>
      <c r="W142" s="2"/>
      <c r="X142" s="2"/>
      <c r="Y142" s="2"/>
    </row>
    <row r="143" spans="1:25" ht="15.75" thickTop="1">
      <c r="I143" s="270">
        <v>375000</v>
      </c>
    </row>
  </sheetData>
  <mergeCells count="61">
    <mergeCell ref="H2:I2"/>
    <mergeCell ref="H3:I3"/>
    <mergeCell ref="A110:B110"/>
    <mergeCell ref="A114:B114"/>
    <mergeCell ref="A118:B118"/>
    <mergeCell ref="H9:I9"/>
    <mergeCell ref="A122:B122"/>
    <mergeCell ref="A126:B126"/>
    <mergeCell ref="R5:S5"/>
    <mergeCell ref="R6:S6"/>
    <mergeCell ref="R7:S7"/>
    <mergeCell ref="R8:S8"/>
    <mergeCell ref="R9:S9"/>
    <mergeCell ref="L5:M5"/>
    <mergeCell ref="L6:M6"/>
    <mergeCell ref="L7:M7"/>
    <mergeCell ref="L8:M8"/>
    <mergeCell ref="L9:M9"/>
    <mergeCell ref="H5:I5"/>
    <mergeCell ref="H6:I6"/>
    <mergeCell ref="H7:I7"/>
    <mergeCell ref="H8:I8"/>
    <mergeCell ref="X4:Y4"/>
    <mergeCell ref="H4:I4"/>
    <mergeCell ref="J4:K4"/>
    <mergeCell ref="L4:M4"/>
    <mergeCell ref="R4:S4"/>
    <mergeCell ref="V4:W4"/>
    <mergeCell ref="T4:U4"/>
    <mergeCell ref="N4:O4"/>
    <mergeCell ref="P4:Q4"/>
    <mergeCell ref="X5:Y5"/>
    <mergeCell ref="X6:Y6"/>
    <mergeCell ref="X7:Y7"/>
    <mergeCell ref="X8:Y8"/>
    <mergeCell ref="X9:Y9"/>
    <mergeCell ref="V5:W5"/>
    <mergeCell ref="V6:W6"/>
    <mergeCell ref="V7:W7"/>
    <mergeCell ref="V8:W8"/>
    <mergeCell ref="V9:W9"/>
    <mergeCell ref="J5:K5"/>
    <mergeCell ref="J6:K6"/>
    <mergeCell ref="J7:K7"/>
    <mergeCell ref="J8:K8"/>
    <mergeCell ref="J9:K9"/>
    <mergeCell ref="T5:U5"/>
    <mergeCell ref="T6:U6"/>
    <mergeCell ref="T7:U7"/>
    <mergeCell ref="T8:U8"/>
    <mergeCell ref="T9:U9"/>
    <mergeCell ref="N5:O5"/>
    <mergeCell ref="N6:O6"/>
    <mergeCell ref="N7:O7"/>
    <mergeCell ref="N8:O8"/>
    <mergeCell ref="N9:O9"/>
    <mergeCell ref="P5:Q5"/>
    <mergeCell ref="P6:Q6"/>
    <mergeCell ref="P7:Q7"/>
    <mergeCell ref="P8:Q8"/>
    <mergeCell ref="P9:Q9"/>
  </mergeCells>
  <conditionalFormatting sqref="H11:H19 J11:J19 L11:L19 R11:R19 V11:V19 X11:X19 H21:H101 J21:J101 L21:L101 R21:R101 V21:V101 X21:X101">
    <cfRule type="cellIs" dxfId="123" priority="21" operator="equal">
      <formula>"X"</formula>
    </cfRule>
    <cfRule type="cellIs" dxfId="122" priority="22" operator="equal">
      <formula>"I"</formula>
    </cfRule>
  </conditionalFormatting>
  <conditionalFormatting sqref="N11:N19 N21:N101">
    <cfRule type="cellIs" dxfId="121" priority="5" operator="equal">
      <formula>"X"</formula>
    </cfRule>
    <cfRule type="cellIs" dxfId="120" priority="6" operator="equal">
      <formula>"I"</formula>
    </cfRule>
  </conditionalFormatting>
  <conditionalFormatting sqref="P11:P19 P21:P101">
    <cfRule type="cellIs" dxfId="119" priority="1" operator="equal">
      <formula>"X"</formula>
    </cfRule>
    <cfRule type="cellIs" dxfId="118" priority="2" operator="equal">
      <formula>"I"</formula>
    </cfRule>
  </conditionalFormatting>
  <conditionalFormatting sqref="T11:T19">
    <cfRule type="cellIs" dxfId="117" priority="3" operator="equal">
      <formula>"X"</formula>
    </cfRule>
    <cfRule type="cellIs" dxfId="116" priority="4" operator="equal">
      <formula>"I"</formula>
    </cfRule>
  </conditionalFormatting>
  <conditionalFormatting sqref="T21:T101">
    <cfRule type="cellIs" dxfId="115" priority="7" operator="equal">
      <formula>"X"</formula>
    </cfRule>
    <cfRule type="cellIs" dxfId="114" priority="8" operator="equal">
      <formula>"I"</formula>
    </cfRule>
  </conditionalFormatting>
  <hyperlinks>
    <hyperlink ref="B4" location="'Cost Summary'!A1" display="BACK TO SUMMARY SHEET" xr:uid="{85EBB3AB-E1C3-475F-87F5-28B6CC2456A7}"/>
    <hyperlink ref="H8" r:id="rId1" xr:uid="{0138C405-2E24-4FF9-99A2-1D125A1544D4}"/>
    <hyperlink ref="J8" r:id="rId2" display="mailto:tgoff@randallconstruction.com" xr:uid="{69FB579F-3245-475F-B2A2-4E12F84CB2EF}"/>
    <hyperlink ref="L8" r:id="rId3" xr:uid="{5DC7526A-634D-475F-8F3C-FE57C7A1792C}"/>
    <hyperlink ref="V8" r:id="rId4" xr:uid="{7FAEF7AD-1112-43A8-8928-A7FE24DA448C}"/>
    <hyperlink ref="T8" r:id="rId5" xr:uid="{ACDDA8DE-4B96-4299-BE77-1ED9746B8180}"/>
    <hyperlink ref="R8" r:id="rId6" xr:uid="{E2CB44AA-6B5F-48F0-A213-D150375186BE}"/>
    <hyperlink ref="N8" r:id="rId7" xr:uid="{5B81D2B8-F525-4224-BA9F-2678581A9FCF}"/>
    <hyperlink ref="P8" r:id="rId8" display="mailto:garyn@preferredcabling.com" xr:uid="{15BEF4F9-B9DD-4B26-A220-083974076CEE}"/>
  </hyperlinks>
  <pageMargins left="0.7" right="0.7" top="0.75" bottom="0.75" header="0.3" footer="0.3"/>
  <pageSetup scale="70" orientation="portrait" horizontalDpi="300" verticalDpi="300" r:id="rId9"/>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7D0E6-0B72-4638-8C78-23A191CD4ED9}">
  <sheetPr>
    <tabColor theme="5" tint="0.39997558519241921"/>
  </sheetPr>
  <dimension ref="A1:AO93"/>
  <sheetViews>
    <sheetView zoomScale="90" zoomScaleNormal="90" workbookViewId="0">
      <pane xSplit="2" ySplit="10" topLeftCell="C31" activePane="bottomRight" state="frozen"/>
      <selection pane="topRight" activeCell="C1" sqref="C1"/>
      <selection pane="bottomLeft" activeCell="A11" sqref="A11"/>
      <selection pane="bottomRight" activeCell="B4" sqref="B4"/>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hidden="1" customWidth="1"/>
    <col min="17" max="17" width="15.7109375" style="270" hidden="1"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customHeight="1">
      <c r="A5" s="292" t="s">
        <v>692</v>
      </c>
      <c r="B5" s="299" t="str">
        <f>'Area Calculations'!B4</f>
        <v>ERAU Residential Hall &amp; Garage Building</v>
      </c>
      <c r="C5" s="294"/>
      <c r="D5" s="263"/>
      <c r="E5" s="264"/>
      <c r="F5" s="279"/>
      <c r="G5" s="271" t="s">
        <v>693</v>
      </c>
      <c r="H5" s="2413" t="s">
        <v>2640</v>
      </c>
      <c r="I5" s="2414"/>
      <c r="J5" s="2333" t="s">
        <v>2641</v>
      </c>
      <c r="K5" s="2334"/>
      <c r="L5" s="2333" t="s">
        <v>2423</v>
      </c>
      <c r="M5" s="2334"/>
      <c r="N5" s="2333" t="s">
        <v>2552</v>
      </c>
      <c r="O5" s="2334"/>
      <c r="P5" s="2333" t="s">
        <v>2556</v>
      </c>
      <c r="Q5" s="2334"/>
      <c r="R5" s="2333" t="s">
        <v>2558</v>
      </c>
      <c r="S5" s="2334"/>
      <c r="X5" s="261"/>
    </row>
    <row r="6" spans="1:24">
      <c r="A6" s="1082" t="s">
        <v>700</v>
      </c>
      <c r="B6" s="2016" t="s">
        <v>2642</v>
      </c>
      <c r="C6" s="415"/>
      <c r="D6" s="416"/>
      <c r="E6" s="417"/>
      <c r="F6" s="418"/>
      <c r="G6" s="419" t="s">
        <v>702</v>
      </c>
      <c r="H6" s="2313" t="s">
        <v>2643</v>
      </c>
      <c r="I6" s="2314"/>
      <c r="J6" s="2313" t="s">
        <v>2644</v>
      </c>
      <c r="K6" s="2314"/>
      <c r="L6" s="2313" t="s">
        <v>2429</v>
      </c>
      <c r="M6" s="2314"/>
      <c r="N6" s="2313" t="s">
        <v>2560</v>
      </c>
      <c r="O6" s="2314"/>
      <c r="P6" s="2313" t="s">
        <v>2563</v>
      </c>
      <c r="Q6" s="2314"/>
      <c r="R6" s="2313" t="s">
        <v>2561</v>
      </c>
      <c r="S6" s="2314"/>
      <c r="X6" s="261"/>
    </row>
    <row r="7" spans="1:24">
      <c r="A7" s="1082" t="s">
        <v>706</v>
      </c>
      <c r="B7" s="2017" t="s">
        <v>2645</v>
      </c>
      <c r="C7" s="415"/>
      <c r="D7" s="416"/>
      <c r="E7" s="417"/>
      <c r="F7" s="418"/>
      <c r="G7" s="829" t="s">
        <v>708</v>
      </c>
      <c r="H7" s="2398">
        <v>9547608573</v>
      </c>
      <c r="I7" s="2399"/>
      <c r="J7" s="2398">
        <v>2028023400</v>
      </c>
      <c r="K7" s="2399"/>
      <c r="L7" s="2398"/>
      <c r="M7" s="2399"/>
      <c r="N7" s="2398">
        <v>3212280799</v>
      </c>
      <c r="O7" s="2399"/>
      <c r="P7" s="2398">
        <v>9292800069</v>
      </c>
      <c r="Q7" s="2399"/>
      <c r="R7" s="2398">
        <v>5614026838</v>
      </c>
      <c r="S7" s="2399"/>
      <c r="X7" s="261"/>
    </row>
    <row r="8" spans="1:24">
      <c r="A8" s="1082" t="s">
        <v>712</v>
      </c>
      <c r="B8" s="2018"/>
      <c r="C8" s="415"/>
      <c r="D8" s="416"/>
      <c r="E8" s="417"/>
      <c r="F8" s="418"/>
      <c r="G8" s="829" t="s">
        <v>713</v>
      </c>
      <c r="H8" s="2343" t="s">
        <v>2646</v>
      </c>
      <c r="I8" s="2316"/>
      <c r="J8" s="2343" t="s">
        <v>2647</v>
      </c>
      <c r="K8" s="2316"/>
      <c r="L8" s="2343" t="s">
        <v>2435</v>
      </c>
      <c r="M8" s="2316"/>
      <c r="N8" s="2343" t="s">
        <v>2566</v>
      </c>
      <c r="O8" s="2316"/>
      <c r="P8" s="2343" t="s">
        <v>2569</v>
      </c>
      <c r="Q8" s="2316"/>
      <c r="R8" s="2343" t="s">
        <v>2567</v>
      </c>
      <c r="S8" s="2316"/>
      <c r="X8" s="261"/>
    </row>
    <row r="9" spans="1:24" ht="15.75" customHeight="1">
      <c r="A9" s="420"/>
      <c r="B9" s="421"/>
      <c r="C9" s="23"/>
      <c r="D9" s="265"/>
      <c r="E9" s="266"/>
      <c r="F9" s="283"/>
      <c r="G9" s="284" t="s">
        <v>717</v>
      </c>
      <c r="H9" s="2396">
        <f>I56</f>
        <v>254064</v>
      </c>
      <c r="I9" s="2397"/>
      <c r="J9" s="2396">
        <f>K56</f>
        <v>332279</v>
      </c>
      <c r="K9" s="2397"/>
      <c r="L9" s="2396">
        <f>M56</f>
        <v>315000</v>
      </c>
      <c r="M9" s="2397"/>
      <c r="N9" s="2396">
        <f>O56</f>
        <v>280000</v>
      </c>
      <c r="O9" s="2397"/>
      <c r="P9" s="2396">
        <f>Q56</f>
        <v>68104</v>
      </c>
      <c r="Q9" s="2397"/>
      <c r="R9" s="2396">
        <f>S56</f>
        <v>220000</v>
      </c>
      <c r="S9" s="2397"/>
      <c r="X9" s="261"/>
    </row>
    <row r="10" spans="1:24" s="267" customFormat="1" ht="32.1" customHeigh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979"/>
      <c r="B11" s="1980" t="s">
        <v>725</v>
      </c>
      <c r="C11" s="1398"/>
      <c r="D11" s="1981"/>
      <c r="E11" s="1981"/>
      <c r="F11" s="1982"/>
      <c r="G11" s="1983"/>
      <c r="H11" s="1984"/>
      <c r="I11" s="1985"/>
      <c r="J11" s="1984"/>
      <c r="K11" s="285"/>
      <c r="L11" s="1984"/>
      <c r="M11" s="1986"/>
      <c r="N11" s="1984"/>
      <c r="O11" s="1986"/>
      <c r="P11" s="1984"/>
      <c r="Q11" s="1986"/>
      <c r="R11" s="1984"/>
      <c r="S11" s="1986"/>
    </row>
    <row r="12" spans="1:24">
      <c r="A12" s="1979"/>
      <c r="B12" s="2019" t="s">
        <v>726</v>
      </c>
      <c r="C12" s="446"/>
      <c r="D12" s="422"/>
      <c r="E12" s="422"/>
      <c r="F12" s="418"/>
      <c r="G12" s="423"/>
      <c r="H12" s="2020" t="s">
        <v>727</v>
      </c>
      <c r="I12" s="1985"/>
      <c r="J12" s="2020"/>
      <c r="K12" s="1986"/>
      <c r="L12" s="2020"/>
      <c r="M12" s="1986"/>
      <c r="N12" s="2020"/>
      <c r="O12" s="1986"/>
      <c r="P12" s="2020"/>
      <c r="Q12" s="1986"/>
      <c r="R12" s="2020"/>
      <c r="S12" s="1986"/>
    </row>
    <row r="13" spans="1:24">
      <c r="A13" s="1097"/>
      <c r="B13" s="2019" t="s">
        <v>728</v>
      </c>
      <c r="C13" s="446"/>
      <c r="D13" s="422"/>
      <c r="E13" s="422"/>
      <c r="F13" s="418"/>
      <c r="G13" s="423"/>
      <c r="H13" s="2020" t="s">
        <v>727</v>
      </c>
      <c r="J13" s="2020"/>
      <c r="K13" s="1986"/>
      <c r="L13" s="2020"/>
      <c r="M13" s="1986"/>
      <c r="N13" s="2020"/>
      <c r="O13" s="1986"/>
      <c r="P13" s="2020"/>
      <c r="Q13" s="1986"/>
      <c r="R13" s="2020"/>
      <c r="S13" s="1986"/>
    </row>
    <row r="14" spans="1:24">
      <c r="A14" s="1979"/>
      <c r="B14" s="2021" t="s">
        <v>729</v>
      </c>
      <c r="C14" s="446"/>
      <c r="D14" s="422"/>
      <c r="E14" s="422"/>
      <c r="F14" s="418"/>
      <c r="G14" s="423"/>
      <c r="H14" s="2020" t="s">
        <v>730</v>
      </c>
      <c r="I14" s="1987" t="s">
        <v>837</v>
      </c>
      <c r="J14" s="2020"/>
      <c r="K14" s="1986"/>
      <c r="L14" s="2020"/>
      <c r="M14" s="1986"/>
      <c r="N14" s="2020"/>
      <c r="O14" s="1986"/>
      <c r="P14" s="2020"/>
      <c r="Q14" s="1986"/>
      <c r="R14" s="2020"/>
      <c r="S14" s="1986"/>
    </row>
    <row r="15" spans="1:24">
      <c r="A15" s="1097"/>
      <c r="B15" s="2021" t="s">
        <v>731</v>
      </c>
      <c r="C15" s="446"/>
      <c r="D15" s="422"/>
      <c r="E15" s="422"/>
      <c r="F15" s="418"/>
      <c r="G15" s="423"/>
      <c r="H15" s="2020" t="s">
        <v>727</v>
      </c>
      <c r="I15" s="1985"/>
      <c r="J15" s="2020"/>
      <c r="K15" s="1985"/>
      <c r="L15" s="2020"/>
      <c r="M15" s="1985"/>
      <c r="N15" s="2020"/>
      <c r="O15" s="1985"/>
      <c r="P15" s="2020"/>
      <c r="Q15" s="1985"/>
      <c r="R15" s="2020"/>
      <c r="S15" s="1985"/>
    </row>
    <row r="16" spans="1:24">
      <c r="A16" s="1979"/>
      <c r="B16" s="2021" t="s">
        <v>732</v>
      </c>
      <c r="C16" s="446"/>
      <c r="D16" s="422"/>
      <c r="E16" s="422"/>
      <c r="F16" s="418"/>
      <c r="G16" s="423"/>
      <c r="H16" s="2020" t="s">
        <v>727</v>
      </c>
      <c r="I16" s="1985"/>
      <c r="J16" s="2020"/>
      <c r="K16" s="1986"/>
      <c r="L16" s="2020"/>
      <c r="M16" s="1986"/>
      <c r="N16" s="2020"/>
      <c r="O16" s="1986"/>
      <c r="P16" s="2020"/>
      <c r="Q16" s="1986"/>
      <c r="R16" s="2020"/>
      <c r="S16" s="1986"/>
    </row>
    <row r="17" spans="1:41">
      <c r="A17" s="1097"/>
      <c r="B17" s="2021" t="s">
        <v>733</v>
      </c>
      <c r="C17" s="446"/>
      <c r="D17" s="422"/>
      <c r="E17" s="422"/>
      <c r="F17" s="418"/>
      <c r="G17" s="423"/>
      <c r="H17" s="2020" t="s">
        <v>727</v>
      </c>
      <c r="I17" s="1985"/>
      <c r="J17" s="2020"/>
      <c r="K17" s="1986"/>
      <c r="L17" s="2020"/>
      <c r="M17" s="1986"/>
      <c r="N17" s="2020"/>
      <c r="O17" s="1986"/>
      <c r="P17" s="2020"/>
      <c r="Q17" s="1986"/>
      <c r="R17" s="2020"/>
      <c r="S17" s="1986"/>
    </row>
    <row r="18" spans="1:41">
      <c r="A18" s="1979"/>
      <c r="B18" s="534" t="s">
        <v>734</v>
      </c>
      <c r="C18" s="446"/>
      <c r="D18" s="422"/>
      <c r="E18" s="422"/>
      <c r="F18" s="418"/>
      <c r="G18" s="423"/>
      <c r="H18" s="2020" t="s">
        <v>730</v>
      </c>
      <c r="I18" s="1985" t="s">
        <v>735</v>
      </c>
      <c r="J18" s="2020"/>
      <c r="K18" s="1986"/>
      <c r="L18" s="2020"/>
      <c r="M18" s="1986"/>
      <c r="N18" s="2020"/>
      <c r="O18" s="1986"/>
      <c r="P18" s="2020"/>
      <c r="Q18" s="1986"/>
      <c r="R18" s="2020"/>
      <c r="S18" s="1986"/>
    </row>
    <row r="19" spans="1:41">
      <c r="A19" s="1979"/>
      <c r="B19" s="1988" t="s">
        <v>736</v>
      </c>
      <c r="C19" s="446"/>
      <c r="D19" s="422"/>
      <c r="E19" s="422"/>
      <c r="F19" s="418"/>
      <c r="G19" s="423"/>
      <c r="H19" s="2020"/>
      <c r="I19" s="1985"/>
      <c r="J19" s="2020"/>
      <c r="K19" s="1986"/>
      <c r="L19" s="2020"/>
      <c r="M19" s="1986"/>
      <c r="N19" s="2020"/>
      <c r="O19" s="1986"/>
      <c r="P19" s="2020"/>
      <c r="Q19" s="1986"/>
      <c r="R19" s="2020"/>
      <c r="S19" s="1986"/>
    </row>
    <row r="20" spans="1:41">
      <c r="A20" s="1097"/>
      <c r="B20" s="1959" t="s">
        <v>737</v>
      </c>
      <c r="C20" s="447"/>
      <c r="D20" s="425"/>
      <c r="E20" s="425"/>
      <c r="F20" s="426"/>
      <c r="G20" s="427"/>
      <c r="H20" s="1989"/>
      <c r="I20" s="1961"/>
      <c r="J20" s="1989"/>
      <c r="K20" s="1960">
        <v>332279</v>
      </c>
      <c r="L20" s="1989"/>
      <c r="M20" s="1960">
        <v>315000</v>
      </c>
      <c r="N20" s="1989"/>
      <c r="O20" s="1960">
        <v>280000</v>
      </c>
      <c r="P20" s="1989"/>
      <c r="Q20" s="1960">
        <v>68104</v>
      </c>
      <c r="R20" s="1989"/>
      <c r="S20" s="1960">
        <v>220000</v>
      </c>
    </row>
    <row r="21" spans="1:41">
      <c r="A21" s="1979"/>
      <c r="B21" s="1104"/>
      <c r="C21" s="70"/>
      <c r="D21" s="86"/>
      <c r="E21" s="86"/>
      <c r="F21" s="280"/>
      <c r="G21" s="274"/>
      <c r="H21" s="2020"/>
      <c r="I21" s="428"/>
      <c r="J21" s="2020"/>
      <c r="K21" s="428"/>
      <c r="L21" s="2020"/>
      <c r="M21" s="428"/>
      <c r="N21" s="2020"/>
      <c r="O21" s="428"/>
      <c r="P21" s="2020"/>
      <c r="Q21" s="428"/>
      <c r="R21" s="2020"/>
      <c r="S21" s="428"/>
    </row>
    <row r="22" spans="1:41" s="69" customFormat="1">
      <c r="A22" s="1097"/>
      <c r="B22" s="2006" t="s">
        <v>2648</v>
      </c>
      <c r="C22" s="415"/>
      <c r="D22" s="422"/>
      <c r="E22" s="422"/>
      <c r="F22" s="429"/>
      <c r="G22" s="423"/>
      <c r="H22" s="2020" t="s">
        <v>727</v>
      </c>
      <c r="I22" s="1107"/>
      <c r="J22" s="2020" t="s">
        <v>727</v>
      </c>
      <c r="K22" s="1992"/>
      <c r="L22" s="2020" t="s">
        <v>727</v>
      </c>
      <c r="M22" s="1992"/>
      <c r="N22" s="2020" t="s">
        <v>727</v>
      </c>
      <c r="O22" s="1107"/>
      <c r="P22" s="2020" t="s">
        <v>727</v>
      </c>
      <c r="Q22" s="1107"/>
      <c r="R22" s="2020"/>
      <c r="S22" s="1992"/>
      <c r="T22"/>
      <c r="U22"/>
      <c r="V22"/>
      <c r="W22"/>
      <c r="X22"/>
      <c r="Y22"/>
      <c r="Z22"/>
      <c r="AA22"/>
      <c r="AB22"/>
      <c r="AC22"/>
      <c r="AD22"/>
      <c r="AE22"/>
      <c r="AF22"/>
      <c r="AG22"/>
      <c r="AH22"/>
      <c r="AI22"/>
      <c r="AJ22"/>
      <c r="AK22"/>
      <c r="AL22"/>
      <c r="AM22"/>
      <c r="AN22"/>
      <c r="AO22"/>
    </row>
    <row r="23" spans="1:41">
      <c r="A23" s="1979"/>
      <c r="B23" s="1962" t="s">
        <v>2649</v>
      </c>
      <c r="C23" s="1396"/>
      <c r="D23" s="1963"/>
      <c r="E23" s="1981"/>
      <c r="F23" s="1964"/>
      <c r="G23" s="1965"/>
      <c r="H23" s="2020" t="s">
        <v>727</v>
      </c>
      <c r="I23" s="1986">
        <v>5500</v>
      </c>
      <c r="J23" s="2020" t="s">
        <v>727</v>
      </c>
      <c r="K23" s="1986"/>
      <c r="L23" s="2020" t="s">
        <v>727</v>
      </c>
      <c r="M23" s="1986"/>
      <c r="N23" s="2020" t="s">
        <v>727</v>
      </c>
      <c r="O23" s="1986"/>
      <c r="P23" s="2020" t="s">
        <v>727</v>
      </c>
      <c r="Q23" s="1986"/>
      <c r="R23" s="2020"/>
      <c r="S23" s="1986"/>
    </row>
    <row r="24" spans="1:41">
      <c r="A24" s="1097"/>
      <c r="B24" s="1962" t="s">
        <v>2650</v>
      </c>
      <c r="C24" s="415"/>
      <c r="D24" s="430"/>
      <c r="E24" s="422"/>
      <c r="F24" s="431"/>
      <c r="G24" s="1965"/>
      <c r="H24" s="2020" t="s">
        <v>727</v>
      </c>
      <c r="I24" s="1986">
        <v>247300</v>
      </c>
      <c r="J24" s="2020" t="s">
        <v>727</v>
      </c>
      <c r="K24" s="1986"/>
      <c r="L24" s="2020" t="s">
        <v>727</v>
      </c>
      <c r="M24" s="1986"/>
      <c r="N24" s="2020" t="s">
        <v>727</v>
      </c>
      <c r="O24" s="1986"/>
      <c r="P24" s="2020" t="s">
        <v>727</v>
      </c>
      <c r="Q24" s="1986"/>
      <c r="R24" s="2020"/>
      <c r="S24" s="1986"/>
    </row>
    <row r="25" spans="1:41">
      <c r="A25" s="1979"/>
      <c r="B25" s="1962"/>
      <c r="C25" s="415"/>
      <c r="D25" s="430"/>
      <c r="E25" s="422"/>
      <c r="F25" s="431"/>
      <c r="G25" s="1965"/>
      <c r="H25" s="2020"/>
      <c r="I25" s="1986"/>
      <c r="J25" s="2020"/>
      <c r="K25" s="1986"/>
      <c r="L25" s="2020"/>
      <c r="M25" s="1986"/>
      <c r="N25" s="2020"/>
      <c r="O25" s="1986"/>
      <c r="P25" s="2020"/>
      <c r="Q25" s="1986"/>
      <c r="R25" s="2020"/>
      <c r="S25" s="1986"/>
    </row>
    <row r="26" spans="1:41">
      <c r="A26" s="1097"/>
      <c r="B26" s="1962"/>
      <c r="C26" s="415"/>
      <c r="D26" s="430"/>
      <c r="E26" s="422"/>
      <c r="F26" s="431"/>
      <c r="G26" s="1965"/>
      <c r="H26" s="2020"/>
      <c r="I26" s="1986"/>
      <c r="J26" s="2020"/>
      <c r="K26" s="1986"/>
      <c r="L26" s="2020"/>
      <c r="M26" s="1986"/>
      <c r="N26" s="2020"/>
      <c r="O26" s="1986"/>
      <c r="P26" s="2020"/>
      <c r="Q26" s="1986"/>
      <c r="R26" s="2020"/>
      <c r="S26" s="1986"/>
    </row>
    <row r="27" spans="1:41">
      <c r="A27" s="1979"/>
      <c r="B27" s="1962"/>
      <c r="C27" s="415"/>
      <c r="D27" s="430"/>
      <c r="E27" s="422"/>
      <c r="F27" s="431"/>
      <c r="G27" s="1965"/>
      <c r="H27" s="2020"/>
      <c r="I27" s="1986"/>
      <c r="J27" s="2020"/>
      <c r="K27" s="1986"/>
      <c r="L27" s="2020"/>
      <c r="M27" s="1986"/>
      <c r="N27" s="2020"/>
      <c r="O27" s="1986"/>
      <c r="P27" s="2020"/>
      <c r="Q27" s="1986"/>
      <c r="R27" s="2020"/>
      <c r="S27" s="1986"/>
    </row>
    <row r="28" spans="1:41">
      <c r="A28" s="1097"/>
      <c r="B28" s="1962"/>
      <c r="C28" s="415"/>
      <c r="D28" s="430"/>
      <c r="E28" s="422"/>
      <c r="F28" s="431"/>
      <c r="G28" s="1965"/>
      <c r="H28" s="2020"/>
      <c r="I28" s="1986"/>
      <c r="J28" s="2020"/>
      <c r="K28" s="1986"/>
      <c r="L28" s="2020"/>
      <c r="M28" s="1986"/>
      <c r="N28" s="2020"/>
      <c r="O28" s="1986"/>
      <c r="P28" s="2020"/>
      <c r="Q28" s="1986"/>
      <c r="R28" s="2020"/>
      <c r="S28" s="1986"/>
    </row>
    <row r="29" spans="1:41">
      <c r="A29" s="1979"/>
      <c r="B29" s="1962"/>
      <c r="C29" s="415"/>
      <c r="D29" s="430"/>
      <c r="E29" s="422"/>
      <c r="F29" s="431"/>
      <c r="G29" s="1965"/>
      <c r="H29" s="2020"/>
      <c r="I29" s="1986"/>
      <c r="J29" s="2020"/>
      <c r="K29" s="1986"/>
      <c r="L29" s="2020"/>
      <c r="M29" s="1986"/>
      <c r="N29" s="2020"/>
      <c r="O29" s="1986"/>
      <c r="P29" s="2020"/>
      <c r="Q29" s="1986"/>
      <c r="R29" s="2020"/>
      <c r="S29" s="1986"/>
    </row>
    <row r="30" spans="1:41">
      <c r="A30" s="1097"/>
      <c r="B30" s="1962"/>
      <c r="C30" s="415"/>
      <c r="D30" s="430"/>
      <c r="E30" s="422"/>
      <c r="F30" s="431"/>
      <c r="G30" s="1965"/>
      <c r="H30" s="2020"/>
      <c r="I30" s="1986"/>
      <c r="J30" s="2020"/>
      <c r="K30" s="1986"/>
      <c r="L30" s="2020"/>
      <c r="M30" s="1986"/>
      <c r="N30" s="2020"/>
      <c r="O30" s="1986"/>
      <c r="P30" s="2020"/>
      <c r="Q30" s="1986"/>
      <c r="R30" s="2020"/>
      <c r="S30" s="1986"/>
    </row>
    <row r="31" spans="1:41">
      <c r="A31" s="1979"/>
      <c r="B31" s="1962"/>
      <c r="C31" s="415"/>
      <c r="D31" s="430"/>
      <c r="E31" s="422"/>
      <c r="F31" s="431"/>
      <c r="G31" s="1965"/>
      <c r="H31" s="2020"/>
      <c r="I31" s="1986"/>
      <c r="J31" s="2020"/>
      <c r="K31" s="1986"/>
      <c r="L31" s="2020"/>
      <c r="M31" s="1986"/>
      <c r="N31" s="2020"/>
      <c r="O31" s="1986"/>
      <c r="P31" s="2020"/>
      <c r="Q31" s="1986"/>
      <c r="R31" s="2020"/>
      <c r="S31" s="1986"/>
    </row>
    <row r="32" spans="1:41">
      <c r="A32" s="1097"/>
      <c r="B32" s="1962"/>
      <c r="C32" s="415"/>
      <c r="D32" s="430"/>
      <c r="E32" s="422"/>
      <c r="F32" s="431"/>
      <c r="G32" s="1965"/>
      <c r="H32" s="2020"/>
      <c r="I32" s="1986"/>
      <c r="J32" s="2020"/>
      <c r="K32" s="1986"/>
      <c r="L32" s="2020"/>
      <c r="M32" s="1986"/>
      <c r="N32" s="2020"/>
      <c r="O32" s="1986"/>
      <c r="P32" s="2020"/>
      <c r="Q32" s="1986"/>
      <c r="R32" s="2020"/>
      <c r="S32" s="1986"/>
    </row>
    <row r="33" spans="1:19">
      <c r="A33" s="1979"/>
      <c r="B33" s="1999"/>
      <c r="C33" s="23"/>
      <c r="D33" s="430"/>
      <c r="E33" s="422"/>
      <c r="F33" s="431"/>
      <c r="G33" s="1965"/>
      <c r="H33" s="2020"/>
      <c r="I33" s="1986"/>
      <c r="J33" s="2020"/>
      <c r="K33" s="1986"/>
      <c r="L33" s="2020"/>
      <c r="M33" s="1986"/>
      <c r="N33" s="2020"/>
      <c r="O33" s="1986"/>
      <c r="P33" s="2020"/>
      <c r="Q33" s="1986"/>
      <c r="R33" s="2020"/>
      <c r="S33" s="1986"/>
    </row>
    <row r="34" spans="1:19">
      <c r="A34" s="1097"/>
      <c r="B34" s="1999"/>
      <c r="C34" s="23"/>
      <c r="D34" s="87"/>
      <c r="E34" s="86"/>
      <c r="F34" s="431"/>
      <c r="G34" s="1965"/>
      <c r="H34" s="2020"/>
      <c r="I34" s="1986"/>
      <c r="J34" s="2020"/>
      <c r="K34" s="1986"/>
      <c r="L34" s="2020"/>
      <c r="M34" s="1986"/>
      <c r="N34" s="2020"/>
      <c r="O34" s="1986"/>
      <c r="P34" s="2020"/>
      <c r="Q34" s="1986"/>
      <c r="R34" s="2020"/>
      <c r="S34" s="1986"/>
    </row>
    <row r="35" spans="1:19">
      <c r="A35" s="1979"/>
      <c r="B35" s="1999"/>
      <c r="C35" s="23"/>
      <c r="D35" s="87"/>
      <c r="E35" s="86"/>
      <c r="F35" s="431"/>
      <c r="G35" s="1965"/>
      <c r="H35" s="2020"/>
      <c r="I35" s="1986"/>
      <c r="J35" s="2020"/>
      <c r="K35" s="1986"/>
      <c r="L35" s="2020"/>
      <c r="M35" s="1986"/>
      <c r="N35" s="2020"/>
      <c r="O35" s="1986"/>
      <c r="P35" s="2020"/>
      <c r="Q35" s="1986"/>
      <c r="R35" s="2020"/>
      <c r="S35" s="1986"/>
    </row>
    <row r="36" spans="1:19">
      <c r="A36" s="1979"/>
      <c r="B36" s="1999"/>
      <c r="C36" s="23"/>
      <c r="D36" s="87"/>
      <c r="E36" s="86"/>
      <c r="F36" s="431"/>
      <c r="G36" s="1965"/>
      <c r="H36" s="2020"/>
      <c r="I36" s="1986"/>
      <c r="J36" s="2020"/>
      <c r="K36" s="1986"/>
      <c r="L36" s="2020"/>
      <c r="M36" s="1986"/>
      <c r="N36" s="2020"/>
      <c r="O36" s="1986"/>
      <c r="P36" s="2020"/>
      <c r="Q36" s="1986"/>
      <c r="R36" s="2020"/>
      <c r="S36" s="1986"/>
    </row>
    <row r="37" spans="1:19">
      <c r="A37" s="1979"/>
      <c r="B37" s="1999"/>
      <c r="C37" s="23"/>
      <c r="D37" s="87"/>
      <c r="E37" s="86"/>
      <c r="F37" s="431"/>
      <c r="G37" s="1965"/>
      <c r="H37" s="2020"/>
      <c r="I37" s="1986"/>
      <c r="J37" s="2020"/>
      <c r="K37" s="1986"/>
      <c r="L37" s="2020"/>
      <c r="M37" s="1986"/>
      <c r="N37" s="2020"/>
      <c r="O37" s="1986"/>
      <c r="P37" s="2020"/>
      <c r="Q37" s="1986"/>
      <c r="R37" s="2020"/>
      <c r="S37" s="1986"/>
    </row>
    <row r="38" spans="1:19">
      <c r="A38" s="1979"/>
      <c r="B38" s="1999"/>
      <c r="C38" s="23"/>
      <c r="D38" s="87"/>
      <c r="E38" s="86"/>
      <c r="F38" s="431"/>
      <c r="G38" s="1965"/>
      <c r="H38" s="2020"/>
      <c r="I38" s="1986"/>
      <c r="J38" s="2020"/>
      <c r="K38" s="1986"/>
      <c r="L38" s="2020"/>
      <c r="M38" s="1986"/>
      <c r="N38" s="2020"/>
      <c r="O38" s="1986"/>
      <c r="P38" s="2020"/>
      <c r="Q38" s="1986"/>
      <c r="R38" s="2020"/>
      <c r="S38" s="1986"/>
    </row>
    <row r="39" spans="1:19">
      <c r="A39" s="1979"/>
      <c r="B39" s="1999"/>
      <c r="C39" s="23"/>
      <c r="D39" s="87"/>
      <c r="E39" s="86"/>
      <c r="F39" s="431"/>
      <c r="G39" s="1965"/>
      <c r="H39" s="2020"/>
      <c r="I39" s="1986"/>
      <c r="J39" s="2020"/>
      <c r="K39" s="1986"/>
      <c r="L39" s="2020"/>
      <c r="M39" s="1986"/>
      <c r="N39" s="2020"/>
      <c r="O39" s="1986"/>
      <c r="P39" s="2020"/>
      <c r="Q39" s="1986"/>
      <c r="R39" s="2020"/>
      <c r="S39" s="1986"/>
    </row>
    <row r="40" spans="1:19">
      <c r="A40" s="1979"/>
      <c r="B40" s="1999"/>
      <c r="C40" s="23"/>
      <c r="D40" s="87"/>
      <c r="E40" s="86"/>
      <c r="F40" s="431"/>
      <c r="G40" s="1965"/>
      <c r="H40" s="2020"/>
      <c r="I40" s="1986"/>
      <c r="J40" s="2020"/>
      <c r="K40" s="1986"/>
      <c r="L40" s="2020"/>
      <c r="M40" s="1986"/>
      <c r="N40" s="2020"/>
      <c r="O40" s="1986"/>
      <c r="P40" s="2020"/>
      <c r="Q40" s="1986"/>
      <c r="R40" s="2020"/>
      <c r="S40" s="1986"/>
    </row>
    <row r="41" spans="1:19">
      <c r="A41" s="1979"/>
      <c r="B41" s="1999"/>
      <c r="C41" s="23"/>
      <c r="D41" s="87"/>
      <c r="E41" s="86"/>
      <c r="F41" s="431"/>
      <c r="G41" s="1965"/>
      <c r="H41" s="2020"/>
      <c r="I41" s="1986"/>
      <c r="J41" s="2020"/>
      <c r="K41" s="1986"/>
      <c r="L41" s="2020"/>
      <c r="M41" s="1986"/>
      <c r="N41" s="2020"/>
      <c r="O41" s="1986"/>
      <c r="P41" s="2020"/>
      <c r="Q41" s="1986"/>
      <c r="R41" s="2020"/>
      <c r="S41" s="1986"/>
    </row>
    <row r="42" spans="1:19">
      <c r="A42" s="1979"/>
      <c r="B42" s="1999"/>
      <c r="C42" s="23"/>
      <c r="D42" s="87"/>
      <c r="E42" s="86"/>
      <c r="F42" s="431"/>
      <c r="G42" s="1965"/>
      <c r="H42" s="2020"/>
      <c r="I42" s="1986"/>
      <c r="J42" s="2020"/>
      <c r="K42" s="1986"/>
      <c r="L42" s="2020"/>
      <c r="M42" s="1986"/>
      <c r="N42" s="2020"/>
      <c r="O42" s="1986"/>
      <c r="P42" s="2020"/>
      <c r="Q42" s="1986"/>
      <c r="R42" s="2020"/>
      <c r="S42" s="1986"/>
    </row>
    <row r="43" spans="1:19">
      <c r="A43" s="1979"/>
      <c r="B43" s="1999"/>
      <c r="C43" s="23"/>
      <c r="D43" s="87"/>
      <c r="E43" s="86"/>
      <c r="F43" s="431"/>
      <c r="G43" s="1965"/>
      <c r="H43" s="2020"/>
      <c r="I43" s="1986"/>
      <c r="J43" s="2020"/>
      <c r="K43" s="1986"/>
      <c r="L43" s="2020"/>
      <c r="M43" s="1986"/>
      <c r="N43" s="2020"/>
      <c r="O43" s="1986"/>
      <c r="P43" s="2020"/>
      <c r="Q43" s="1986"/>
      <c r="R43" s="2020"/>
      <c r="S43" s="1986"/>
    </row>
    <row r="44" spans="1:19">
      <c r="A44" s="1979"/>
      <c r="B44" s="1999"/>
      <c r="C44" s="23"/>
      <c r="D44" s="87"/>
      <c r="E44" s="86"/>
      <c r="F44" s="431"/>
      <c r="G44" s="1965"/>
      <c r="H44" s="2020"/>
      <c r="I44" s="1986"/>
      <c r="J44" s="2020"/>
      <c r="K44" s="1986"/>
      <c r="L44" s="2020"/>
      <c r="M44" s="1986"/>
      <c r="N44" s="2020"/>
      <c r="O44" s="1986"/>
      <c r="P44" s="2020"/>
      <c r="Q44" s="1986"/>
      <c r="R44" s="2020"/>
      <c r="S44" s="1986"/>
    </row>
    <row r="45" spans="1:19">
      <c r="A45" s="1979"/>
      <c r="B45" s="1999"/>
      <c r="C45" s="23"/>
      <c r="D45" s="87"/>
      <c r="E45" s="86"/>
      <c r="F45" s="431"/>
      <c r="G45" s="1965"/>
      <c r="H45" s="2020"/>
      <c r="I45" s="1986"/>
      <c r="J45" s="2020"/>
      <c r="K45" s="1986"/>
      <c r="L45" s="2020"/>
      <c r="M45" s="1986"/>
      <c r="N45" s="2020"/>
      <c r="O45" s="1986"/>
      <c r="P45" s="2020"/>
      <c r="Q45" s="1986"/>
      <c r="R45" s="2020"/>
      <c r="S45" s="1986"/>
    </row>
    <row r="46" spans="1:19">
      <c r="A46" s="1979"/>
      <c r="B46" s="1999"/>
      <c r="C46" s="23"/>
      <c r="D46" s="87"/>
      <c r="E46" s="86"/>
      <c r="F46" s="431"/>
      <c r="G46" s="1965"/>
      <c r="H46" s="2020"/>
      <c r="I46" s="1986"/>
      <c r="J46" s="2020"/>
      <c r="K46" s="1986"/>
      <c r="L46" s="2020"/>
      <c r="M46" s="1986"/>
      <c r="N46" s="2020"/>
      <c r="O46" s="1986"/>
      <c r="P46" s="2020"/>
      <c r="Q46" s="1986"/>
      <c r="R46" s="2020"/>
      <c r="S46" s="1986"/>
    </row>
    <row r="47" spans="1:19">
      <c r="A47" s="1979"/>
      <c r="B47" s="1999"/>
      <c r="C47" s="23"/>
      <c r="D47" s="87"/>
      <c r="E47" s="86"/>
      <c r="F47" s="431"/>
      <c r="G47" s="1965"/>
      <c r="H47" s="2020"/>
      <c r="I47" s="1986"/>
      <c r="J47" s="2020"/>
      <c r="K47" s="1986"/>
      <c r="L47" s="2020"/>
      <c r="M47" s="1986"/>
      <c r="N47" s="2020"/>
      <c r="O47" s="1986"/>
      <c r="P47" s="2020"/>
      <c r="Q47" s="1986"/>
      <c r="R47" s="2020"/>
      <c r="S47" s="1986"/>
    </row>
    <row r="48" spans="1:19">
      <c r="A48" s="1979"/>
      <c r="B48" s="1999"/>
      <c r="C48" s="23"/>
      <c r="D48" s="87"/>
      <c r="E48" s="86"/>
      <c r="F48" s="431"/>
      <c r="G48" s="1965"/>
      <c r="H48" s="2020"/>
      <c r="I48" s="1986"/>
      <c r="J48" s="2020"/>
      <c r="K48" s="1986"/>
      <c r="L48" s="2020"/>
      <c r="M48" s="1986"/>
      <c r="N48" s="2020"/>
      <c r="O48" s="1986"/>
      <c r="P48" s="2020"/>
      <c r="Q48" s="1986"/>
      <c r="R48" s="2020"/>
      <c r="S48" s="1986"/>
    </row>
    <row r="49" spans="1:34">
      <c r="A49" s="1979"/>
      <c r="B49" s="1999"/>
      <c r="C49" s="23"/>
      <c r="D49" s="87"/>
      <c r="E49" s="86"/>
      <c r="F49" s="431"/>
      <c r="G49" s="1965"/>
      <c r="H49" s="2020"/>
      <c r="I49" s="1986"/>
      <c r="J49" s="2020"/>
      <c r="K49" s="1986"/>
      <c r="L49" s="2020"/>
      <c r="M49" s="1986"/>
      <c r="N49" s="2020"/>
      <c r="O49" s="1986"/>
      <c r="P49" s="2020"/>
      <c r="Q49" s="1986"/>
      <c r="R49" s="2020"/>
      <c r="S49" s="1986"/>
    </row>
    <row r="50" spans="1:34">
      <c r="A50" s="1979"/>
      <c r="B50" s="1999"/>
      <c r="C50" s="23"/>
      <c r="D50" s="87"/>
      <c r="E50" s="86"/>
      <c r="F50" s="431"/>
      <c r="G50" s="830"/>
      <c r="H50" s="2020"/>
      <c r="I50" s="1986"/>
      <c r="J50" s="2020"/>
      <c r="K50" s="1986"/>
      <c r="L50" s="2020"/>
      <c r="M50" s="1986"/>
      <c r="N50" s="2020"/>
      <c r="O50" s="1986"/>
      <c r="P50" s="2020"/>
      <c r="Q50" s="1986"/>
      <c r="R50" s="2020"/>
      <c r="S50" s="1986"/>
    </row>
    <row r="51" spans="1:34" ht="15.75" thickBot="1">
      <c r="A51" s="1979"/>
      <c r="B51" s="1999"/>
      <c r="C51" s="23"/>
      <c r="D51" s="87"/>
      <c r="E51" s="86"/>
      <c r="F51" s="431"/>
      <c r="G51" s="830"/>
      <c r="H51" s="2020"/>
      <c r="I51" s="1986"/>
      <c r="J51" s="2020"/>
      <c r="K51" s="1986"/>
      <c r="L51" s="2020"/>
      <c r="M51" s="1986"/>
      <c r="N51" s="2020"/>
      <c r="O51" s="1986"/>
      <c r="P51" s="2020"/>
      <c r="Q51" s="1986"/>
      <c r="R51" s="2020"/>
      <c r="S51" s="1986"/>
    </row>
    <row r="52" spans="1:34" ht="15.75" thickTop="1">
      <c r="A52" s="296"/>
      <c r="B52" s="301"/>
      <c r="C52" s="297"/>
      <c r="D52" s="15"/>
      <c r="E52" s="16"/>
      <c r="F52" s="282" t="s">
        <v>753</v>
      </c>
      <c r="G52" s="272"/>
      <c r="H52" s="273"/>
      <c r="I52" s="273">
        <f>SUM(I12:I51)</f>
        <v>252800</v>
      </c>
      <c r="J52" s="273"/>
      <c r="K52" s="273">
        <f>SUM(K12:K51)</f>
        <v>332279</v>
      </c>
      <c r="L52" s="273"/>
      <c r="M52" s="273">
        <f>SUM(M12:M51)</f>
        <v>315000</v>
      </c>
      <c r="N52" s="273"/>
      <c r="O52" s="273">
        <f>SUM(O12:O51)</f>
        <v>280000</v>
      </c>
      <c r="P52" s="273"/>
      <c r="Q52" s="273">
        <f>SUM(Q12:Q51)</f>
        <v>68104</v>
      </c>
      <c r="R52" s="273"/>
      <c r="S52" s="273">
        <f>SUM(S12:S51)</f>
        <v>220000</v>
      </c>
    </row>
    <row r="53" spans="1:34">
      <c r="A53" s="1114"/>
      <c r="B53" s="2000"/>
      <c r="C53" s="432"/>
      <c r="D53" s="433"/>
      <c r="E53" s="434"/>
      <c r="F53" s="435" t="s">
        <v>754</v>
      </c>
      <c r="G53" s="436"/>
      <c r="H53" s="2001">
        <v>5.0000000000000001E-3</v>
      </c>
      <c r="I53" s="2002"/>
      <c r="J53" s="2003">
        <v>0</v>
      </c>
      <c r="K53" s="2002"/>
      <c r="L53" s="2003">
        <v>0</v>
      </c>
      <c r="M53" s="2002"/>
      <c r="N53" s="2003">
        <v>0</v>
      </c>
      <c r="O53" s="2002"/>
      <c r="P53" s="2003">
        <v>0</v>
      </c>
      <c r="Q53" s="2002"/>
      <c r="R53" s="2003">
        <v>0</v>
      </c>
      <c r="S53" s="2002"/>
    </row>
    <row r="54" spans="1:34">
      <c r="A54" s="1114"/>
      <c r="B54" s="2000"/>
      <c r="C54" s="432"/>
      <c r="D54" s="433"/>
      <c r="E54" s="434"/>
      <c r="F54" s="435" t="s">
        <v>755</v>
      </c>
      <c r="G54" s="436"/>
      <c r="H54" s="2002"/>
      <c r="I54" s="2002">
        <f>I52*H53</f>
        <v>1264</v>
      </c>
      <c r="J54" s="2002"/>
      <c r="K54" s="2002">
        <f>K52*J53</f>
        <v>0</v>
      </c>
      <c r="L54" s="2002"/>
      <c r="M54" s="2002">
        <f>M52*L53</f>
        <v>0</v>
      </c>
      <c r="N54" s="2002"/>
      <c r="O54" s="2002">
        <f>O52*N53</f>
        <v>0</v>
      </c>
      <c r="P54" s="2002"/>
      <c r="Q54" s="2002">
        <f>Q52*P53</f>
        <v>0</v>
      </c>
      <c r="R54" s="2002"/>
      <c r="S54" s="2002">
        <f>S52*R53</f>
        <v>0</v>
      </c>
    </row>
    <row r="55" spans="1:34">
      <c r="A55" s="1114"/>
      <c r="B55" s="2000"/>
      <c r="C55" s="432"/>
      <c r="D55" s="433"/>
      <c r="E55" s="434"/>
      <c r="F55" s="435"/>
      <c r="G55" s="436"/>
      <c r="H55" s="2002"/>
      <c r="I55" s="2002"/>
      <c r="J55" s="2002"/>
      <c r="K55" s="2002"/>
      <c r="L55" s="2002"/>
      <c r="M55" s="2002"/>
      <c r="N55" s="2002"/>
      <c r="O55" s="2002"/>
      <c r="P55" s="2002"/>
      <c r="Q55" s="2002"/>
      <c r="R55" s="2002"/>
      <c r="S55" s="2002"/>
    </row>
    <row r="56" spans="1:34">
      <c r="A56" s="1114"/>
      <c r="B56" s="2000"/>
      <c r="C56" s="432"/>
      <c r="D56" s="433"/>
      <c r="E56" s="434"/>
      <c r="F56" s="435" t="s">
        <v>756</v>
      </c>
      <c r="G56" s="436"/>
      <c r="H56" s="2002"/>
      <c r="I56" s="2002">
        <f>SUM(I52:I54)</f>
        <v>254064</v>
      </c>
      <c r="J56" s="2002"/>
      <c r="K56" s="2002">
        <f>SUM(K52:K54)</f>
        <v>332279</v>
      </c>
      <c r="L56" s="2002"/>
      <c r="M56" s="2002">
        <f>SUM(M52:M54)</f>
        <v>315000</v>
      </c>
      <c r="N56" s="2002"/>
      <c r="O56" s="2002">
        <f>SUM(O52:O54)</f>
        <v>280000</v>
      </c>
      <c r="P56" s="2002"/>
      <c r="Q56" s="2002">
        <f>SUM(Q52:Q54)</f>
        <v>68104</v>
      </c>
      <c r="R56" s="2002"/>
      <c r="S56" s="2002">
        <f>SUM(S52:S54)</f>
        <v>220000</v>
      </c>
    </row>
    <row r="57" spans="1:34">
      <c r="A57" s="1114"/>
      <c r="B57" s="2000"/>
      <c r="C57" s="432"/>
      <c r="D57" s="433"/>
      <c r="E57" s="434"/>
      <c r="F57" s="437" t="s">
        <v>757</v>
      </c>
      <c r="G57" s="438"/>
      <c r="H57" s="2004"/>
      <c r="I57" s="2004">
        <f>I56/'Area Calculations'!$G$4</f>
        <v>0.43905347326509558</v>
      </c>
      <c r="J57" s="2004"/>
      <c r="K57" s="2004">
        <f>K56/'Area Calculations'!$G$4</f>
        <v>0.57421850023243237</v>
      </c>
      <c r="L57" s="2004"/>
      <c r="M57" s="2004">
        <f>M56/'Area Calculations'!$G$4</f>
        <v>0.54435828798454367</v>
      </c>
      <c r="N57" s="2004"/>
      <c r="O57" s="2004">
        <f>O56/'Area Calculations'!$G$4</f>
        <v>0.48387403376403881</v>
      </c>
      <c r="P57" s="2004"/>
      <c r="Q57" s="2004">
        <f>Q56/'Area Calculations'!$G$4</f>
        <v>0.1176919899838075</v>
      </c>
      <c r="R57" s="2004"/>
      <c r="S57" s="2004">
        <f>S56/'Area Calculations'!$G$4</f>
        <v>0.38018674081460191</v>
      </c>
    </row>
    <row r="58" spans="1:34">
      <c r="A58" s="1114"/>
      <c r="B58" s="2000"/>
      <c r="C58" s="432"/>
      <c r="D58" s="433"/>
      <c r="E58" s="434"/>
      <c r="F58" s="437" t="s">
        <v>758</v>
      </c>
      <c r="G58" s="438"/>
      <c r="H58" s="2004"/>
      <c r="I58" s="2004">
        <f>I56/'Area Calculations'!$G$9</f>
        <v>2374.429906542056</v>
      </c>
      <c r="J58" s="2004"/>
      <c r="K58" s="2004">
        <f>K56/'Area Calculations'!$G$9</f>
        <v>3105.4112149532712</v>
      </c>
      <c r="L58" s="2004"/>
      <c r="M58" s="2004">
        <f>M56/'Area Calculations'!$G$9</f>
        <v>2943.9252336448599</v>
      </c>
      <c r="N58" s="2004"/>
      <c r="O58" s="2004">
        <f>O56/'Area Calculations'!$G$9</f>
        <v>2616.8224299065419</v>
      </c>
      <c r="P58" s="2004"/>
      <c r="Q58" s="2004">
        <f>Q56/'Area Calculations'!$G$9</f>
        <v>636.48598130841117</v>
      </c>
      <c r="R58" s="2004"/>
      <c r="S58" s="2004">
        <f>S56/'Area Calculations'!$G$9</f>
        <v>2056.0747663551401</v>
      </c>
    </row>
    <row r="59" spans="1:34" ht="15.75" thickBot="1">
      <c r="A59" s="1114"/>
      <c r="B59" s="2000"/>
      <c r="C59" s="432"/>
      <c r="D59" s="433"/>
      <c r="E59" s="434"/>
      <c r="F59" s="439"/>
      <c r="G59" s="436"/>
      <c r="H59" s="2005"/>
      <c r="I59" s="2005"/>
      <c r="J59" s="2005"/>
      <c r="K59" s="2005"/>
      <c r="L59" s="2005"/>
      <c r="M59" s="2005"/>
      <c r="N59" s="2005"/>
      <c r="O59" s="2005"/>
      <c r="P59" s="2005"/>
      <c r="Q59" s="2005"/>
      <c r="R59" s="2005"/>
      <c r="S59" s="2005"/>
    </row>
    <row r="60" spans="1:34" ht="16.5" thickTop="1" thickBot="1">
      <c r="A60" s="2331" t="s">
        <v>759</v>
      </c>
      <c r="B60" s="2332"/>
      <c r="C60" s="298"/>
      <c r="D60" s="12"/>
      <c r="E60" s="12"/>
      <c r="F60" s="12"/>
      <c r="G60" s="26"/>
      <c r="H60" s="24"/>
      <c r="I60" s="20"/>
      <c r="J60" s="20"/>
      <c r="K60" s="20"/>
      <c r="L60" s="20"/>
      <c r="M60" s="20"/>
      <c r="N60" s="20"/>
      <c r="O60" s="20"/>
      <c r="P60" s="20"/>
      <c r="Q60" s="20"/>
      <c r="R60" s="20"/>
      <c r="S60" s="20"/>
    </row>
    <row r="61" spans="1:34" ht="15.75" thickTop="1">
      <c r="A61" s="1966"/>
      <c r="B61" s="2006"/>
      <c r="C61" s="1396"/>
      <c r="D61" s="1981"/>
      <c r="E61" s="1981"/>
      <c r="F61" s="1981"/>
      <c r="G61" s="1967"/>
      <c r="H61" s="1969"/>
      <c r="I61" s="1968"/>
      <c r="J61" s="1968"/>
      <c r="K61" s="1968"/>
      <c r="L61" s="1968"/>
      <c r="M61" s="1968"/>
      <c r="N61" s="1968"/>
      <c r="O61" s="1968"/>
      <c r="P61" s="1968"/>
      <c r="Q61" s="1968"/>
      <c r="R61" s="1968"/>
      <c r="S61" s="1968"/>
    </row>
    <row r="62" spans="1:34">
      <c r="A62" s="1966"/>
      <c r="B62" s="2006"/>
      <c r="C62" s="1396"/>
      <c r="D62" s="1981"/>
      <c r="E62" s="1981"/>
      <c r="F62" s="1981"/>
      <c r="G62" s="1967"/>
      <c r="H62" s="1969"/>
      <c r="I62" s="1968"/>
      <c r="J62" s="1968"/>
      <c r="K62" s="1968"/>
      <c r="L62" s="1968"/>
      <c r="M62" s="1968"/>
      <c r="N62" s="1968"/>
      <c r="O62" s="1968"/>
      <c r="P62" s="1968"/>
      <c r="Q62" s="1968"/>
      <c r="R62" s="1968"/>
      <c r="S62" s="1968"/>
    </row>
    <row r="63" spans="1:34" ht="15.75" thickBot="1">
      <c r="A63" s="1966"/>
      <c r="B63" s="2006"/>
      <c r="C63" s="1396"/>
      <c r="D63" s="1981"/>
      <c r="E63" s="1981"/>
      <c r="F63" s="1981"/>
      <c r="G63" s="1967"/>
      <c r="H63" s="1969"/>
      <c r="I63" s="1968"/>
      <c r="J63" s="1968"/>
      <c r="K63" s="1968"/>
      <c r="L63" s="1968"/>
      <c r="M63" s="1968"/>
      <c r="N63" s="1968"/>
      <c r="O63" s="1968"/>
      <c r="P63" s="1968"/>
      <c r="Q63" s="1968"/>
      <c r="R63" s="1968"/>
      <c r="S63" s="1968"/>
    </row>
    <row r="64" spans="1:34" s="2" customFormat="1" ht="16.5" thickTop="1" thickBot="1">
      <c r="A64" s="2331" t="s">
        <v>760</v>
      </c>
      <c r="B64" s="2332"/>
      <c r="C64" s="298"/>
      <c r="D64" s="12"/>
      <c r="E64" s="12"/>
      <c r="F64" s="12"/>
      <c r="G64" s="26"/>
      <c r="H64" s="24"/>
      <c r="I64" s="20"/>
      <c r="J64" s="20"/>
      <c r="K64" s="20"/>
      <c r="L64" s="20"/>
      <c r="M64" s="20"/>
      <c r="N64" s="20"/>
      <c r="O64" s="20"/>
      <c r="P64" s="20"/>
      <c r="Q64" s="20"/>
      <c r="R64" s="20"/>
      <c r="S64" s="20"/>
      <c r="T64"/>
      <c r="U64"/>
      <c r="V64"/>
      <c r="W64"/>
      <c r="X64"/>
      <c r="Y64"/>
      <c r="Z64"/>
      <c r="AA64"/>
      <c r="AB64"/>
      <c r="AC64"/>
      <c r="AD64"/>
      <c r="AE64"/>
      <c r="AF64"/>
      <c r="AG64"/>
      <c r="AH64"/>
    </row>
    <row r="65" spans="1:34" s="2" customFormat="1" ht="15.75" thickTop="1">
      <c r="A65" s="1966"/>
      <c r="B65" s="2006"/>
      <c r="C65" s="1396"/>
      <c r="D65" s="1981"/>
      <c r="E65" s="1981"/>
      <c r="F65" s="1981"/>
      <c r="G65" s="1967"/>
      <c r="H65" s="1969"/>
      <c r="I65" s="1968"/>
      <c r="J65" s="1968"/>
      <c r="K65" s="1968"/>
      <c r="L65" s="1968"/>
      <c r="M65" s="1968"/>
      <c r="N65" s="1968"/>
      <c r="O65" s="1968"/>
      <c r="P65" s="1968"/>
      <c r="Q65" s="1968"/>
      <c r="R65" s="1968"/>
      <c r="S65" s="1968"/>
      <c r="T65"/>
      <c r="U65"/>
      <c r="V65"/>
      <c r="W65"/>
      <c r="X65"/>
      <c r="Y65"/>
      <c r="Z65"/>
      <c r="AA65"/>
      <c r="AB65"/>
      <c r="AC65"/>
      <c r="AD65"/>
      <c r="AE65"/>
      <c r="AF65"/>
      <c r="AG65"/>
      <c r="AH65"/>
    </row>
    <row r="66" spans="1:34" s="2" customFormat="1">
      <c r="A66" s="1966"/>
      <c r="B66" s="2006"/>
      <c r="C66" s="1396"/>
      <c r="D66" s="1981"/>
      <c r="E66" s="1981"/>
      <c r="F66" s="1981"/>
      <c r="G66" s="1967"/>
      <c r="H66" s="1969"/>
      <c r="I66" s="1968"/>
      <c r="J66" s="1968"/>
      <c r="K66" s="1968"/>
      <c r="L66" s="1968"/>
      <c r="M66" s="1968"/>
      <c r="N66" s="1968"/>
      <c r="O66" s="1968"/>
      <c r="P66" s="1968"/>
      <c r="Q66" s="1968"/>
      <c r="R66" s="1968"/>
      <c r="S66" s="1968"/>
      <c r="T66"/>
      <c r="U66"/>
      <c r="V66"/>
      <c r="W66"/>
      <c r="X66"/>
      <c r="Y66"/>
      <c r="Z66"/>
      <c r="AA66"/>
      <c r="AB66"/>
      <c r="AC66"/>
      <c r="AD66"/>
      <c r="AE66"/>
      <c r="AF66"/>
      <c r="AG66"/>
      <c r="AH66"/>
    </row>
    <row r="67" spans="1:34" ht="15.75" thickBot="1">
      <c r="A67" s="1966"/>
      <c r="B67" s="2006"/>
      <c r="C67" s="1396"/>
      <c r="D67" s="1981"/>
      <c r="E67" s="1981"/>
      <c r="F67" s="1981"/>
      <c r="G67" s="1967"/>
      <c r="H67" s="1969"/>
      <c r="I67" s="1968"/>
      <c r="J67" s="1968"/>
      <c r="K67" s="1968"/>
      <c r="L67" s="1968"/>
      <c r="M67" s="1968"/>
      <c r="N67" s="1968"/>
      <c r="O67" s="1968"/>
      <c r="P67" s="1968"/>
      <c r="Q67" s="1968"/>
      <c r="R67" s="1968"/>
      <c r="S67" s="1968"/>
    </row>
    <row r="68" spans="1:34" s="2" customFormat="1" ht="16.5" thickTop="1" thickBot="1">
      <c r="A68" s="2331" t="s">
        <v>761</v>
      </c>
      <c r="B68" s="2332"/>
      <c r="C68" s="298"/>
      <c r="D68" s="12"/>
      <c r="E68" s="12"/>
      <c r="F68" s="12"/>
      <c r="G68" s="26"/>
      <c r="H68" s="24"/>
      <c r="I68" s="20"/>
      <c r="J68" s="20"/>
      <c r="K68" s="20"/>
      <c r="L68" s="20"/>
      <c r="M68" s="20"/>
      <c r="N68" s="20"/>
      <c r="O68" s="20"/>
      <c r="P68" s="20"/>
      <c r="Q68" s="20"/>
      <c r="R68" s="20"/>
      <c r="S68" s="20"/>
      <c r="T68"/>
      <c r="U68"/>
      <c r="V68"/>
      <c r="W68"/>
      <c r="X68"/>
      <c r="Y68"/>
      <c r="Z68"/>
      <c r="AA68"/>
      <c r="AB68"/>
      <c r="AC68"/>
      <c r="AD68"/>
      <c r="AE68"/>
      <c r="AF68"/>
      <c r="AG68"/>
      <c r="AH68"/>
    </row>
    <row r="69" spans="1:34" s="2" customFormat="1" ht="15.75" thickTop="1">
      <c r="A69" s="1966"/>
      <c r="B69" s="2006"/>
      <c r="C69" s="1396"/>
      <c r="D69" s="1981"/>
      <c r="E69" s="1981"/>
      <c r="F69" s="1981"/>
      <c r="G69" s="1967"/>
      <c r="H69" s="1969"/>
      <c r="I69" s="1968"/>
      <c r="J69" s="1968"/>
      <c r="K69" s="1968"/>
      <c r="L69" s="1968"/>
      <c r="M69" s="1968"/>
      <c r="N69" s="1968"/>
      <c r="O69" s="1968"/>
      <c r="P69" s="1968"/>
      <c r="Q69" s="1968"/>
      <c r="R69" s="1968"/>
      <c r="S69" s="1968"/>
      <c r="T69"/>
      <c r="U69"/>
      <c r="V69"/>
      <c r="W69"/>
      <c r="X69"/>
      <c r="Y69"/>
      <c r="Z69"/>
      <c r="AA69"/>
      <c r="AB69"/>
      <c r="AC69"/>
      <c r="AD69"/>
      <c r="AE69"/>
      <c r="AF69"/>
      <c r="AG69"/>
      <c r="AH69"/>
    </row>
    <row r="70" spans="1:34" s="2" customFormat="1">
      <c r="A70" s="1124"/>
      <c r="B70" s="2006"/>
      <c r="C70" s="415"/>
      <c r="D70" s="422"/>
      <c r="E70" s="422"/>
      <c r="F70" s="422"/>
      <c r="G70" s="831"/>
      <c r="H70" s="440"/>
      <c r="I70" s="2007"/>
      <c r="J70" s="2007"/>
      <c r="K70" s="2007"/>
      <c r="L70" s="2007"/>
      <c r="M70" s="2007"/>
      <c r="N70" s="2007"/>
      <c r="O70" s="2007"/>
      <c r="P70" s="2007"/>
      <c r="Q70" s="2007"/>
      <c r="R70" s="2007"/>
      <c r="S70" s="2007"/>
      <c r="T70"/>
      <c r="U70"/>
      <c r="V70"/>
      <c r="W70"/>
      <c r="X70"/>
      <c r="Y70"/>
      <c r="Z70"/>
      <c r="AA70"/>
      <c r="AB70"/>
      <c r="AC70"/>
      <c r="AD70"/>
      <c r="AE70"/>
      <c r="AF70"/>
      <c r="AG70"/>
      <c r="AH70"/>
    </row>
    <row r="71" spans="1:34" s="2" customFormat="1" ht="15.75" thickBot="1">
      <c r="A71" s="1126"/>
      <c r="B71" s="2008"/>
      <c r="C71" s="415"/>
      <c r="D71" s="422"/>
      <c r="E71" s="422"/>
      <c r="F71" s="422"/>
      <c r="G71" s="831"/>
      <c r="H71" s="441"/>
      <c r="I71" s="2009"/>
      <c r="J71" s="2009"/>
      <c r="K71" s="2009"/>
      <c r="L71" s="2009"/>
      <c r="M71" s="2009"/>
      <c r="N71" s="2009"/>
      <c r="O71" s="2009"/>
      <c r="P71" s="2009"/>
      <c r="Q71" s="2009"/>
      <c r="R71" s="2009"/>
      <c r="S71" s="2009"/>
    </row>
    <row r="72" spans="1:34" s="2" customFormat="1" ht="16.5" thickTop="1" thickBot="1">
      <c r="A72" s="2331" t="s">
        <v>762</v>
      </c>
      <c r="B72" s="2332"/>
      <c r="C72" s="298"/>
      <c r="D72" s="12"/>
      <c r="E72" s="12"/>
      <c r="F72" s="12"/>
      <c r="G72" s="26"/>
      <c r="H72" s="24"/>
      <c r="I72" s="20"/>
      <c r="J72" s="20"/>
      <c r="K72" s="20"/>
      <c r="L72" s="20"/>
      <c r="M72" s="20"/>
      <c r="N72" s="20"/>
      <c r="O72" s="20"/>
      <c r="P72" s="20"/>
      <c r="Q72" s="20"/>
      <c r="R72" s="20"/>
      <c r="S72" s="20"/>
      <c r="T72"/>
      <c r="U72"/>
      <c r="V72"/>
      <c r="W72"/>
      <c r="X72"/>
      <c r="Y72"/>
      <c r="Z72"/>
      <c r="AA72"/>
      <c r="AB72"/>
      <c r="AC72"/>
      <c r="AD72"/>
      <c r="AE72"/>
      <c r="AF72"/>
      <c r="AG72"/>
      <c r="AH72"/>
    </row>
    <row r="73" spans="1:34" ht="15.75" thickTop="1">
      <c r="A73" s="1970"/>
      <c r="B73" s="1971"/>
      <c r="C73" s="1396"/>
      <c r="D73" s="1981"/>
      <c r="E73" s="1981"/>
      <c r="F73" s="1981"/>
      <c r="G73" s="1967"/>
      <c r="H73" s="1969"/>
      <c r="I73" s="1968"/>
      <c r="J73" s="1968"/>
      <c r="K73" s="1968"/>
      <c r="L73" s="1968"/>
      <c r="M73" s="1968"/>
      <c r="N73" s="1968"/>
      <c r="O73" s="1968"/>
      <c r="P73" s="1968"/>
      <c r="Q73" s="1968"/>
      <c r="R73" s="1968"/>
      <c r="S73" s="1968"/>
      <c r="T73" s="2"/>
      <c r="U73" s="2"/>
      <c r="V73" s="2"/>
      <c r="W73" s="2"/>
      <c r="X73" s="2"/>
      <c r="Y73" s="2"/>
      <c r="Z73" s="2"/>
      <c r="AA73" s="2"/>
      <c r="AB73" s="2"/>
      <c r="AC73" s="2"/>
      <c r="AD73" s="2"/>
      <c r="AE73" s="2"/>
      <c r="AF73" s="2"/>
      <c r="AG73" s="2"/>
      <c r="AH73" s="2"/>
    </row>
    <row r="74" spans="1:34">
      <c r="A74" s="1126"/>
      <c r="B74" s="2008"/>
      <c r="C74" s="415"/>
      <c r="D74" s="422"/>
      <c r="E74" s="422"/>
      <c r="F74" s="422"/>
      <c r="G74" s="831"/>
      <c r="H74" s="442"/>
      <c r="I74" s="2010"/>
      <c r="J74" s="2010"/>
      <c r="K74" s="2010"/>
      <c r="L74" s="2010"/>
      <c r="M74" s="2010"/>
      <c r="N74" s="2010"/>
      <c r="O74" s="2010"/>
      <c r="P74" s="2010"/>
      <c r="Q74" s="2010"/>
      <c r="R74" s="2010"/>
      <c r="S74" s="2010"/>
      <c r="T74" s="2"/>
      <c r="U74" s="2"/>
      <c r="V74" s="2"/>
      <c r="W74" s="2"/>
      <c r="X74" s="2"/>
      <c r="Y74" s="2"/>
      <c r="Z74" s="2"/>
      <c r="AA74" s="2"/>
      <c r="AB74" s="2"/>
      <c r="AC74" s="2"/>
      <c r="AD74" s="2"/>
      <c r="AE74" s="2"/>
      <c r="AF74" s="2"/>
      <c r="AG74" s="2"/>
      <c r="AH74" s="2"/>
    </row>
    <row r="75" spans="1:34" ht="15.75" thickBot="1">
      <c r="A75" s="1126"/>
      <c r="B75" s="2008"/>
      <c r="C75" s="415"/>
      <c r="D75" s="422"/>
      <c r="E75" s="422"/>
      <c r="F75" s="422"/>
      <c r="G75" s="831"/>
      <c r="H75" s="442"/>
      <c r="I75" s="2010"/>
      <c r="J75" s="2010"/>
      <c r="K75" s="2010"/>
      <c r="L75" s="2010"/>
      <c r="M75" s="2010"/>
      <c r="N75" s="2010"/>
      <c r="O75" s="2010"/>
      <c r="P75" s="2010"/>
      <c r="Q75" s="2010"/>
      <c r="R75" s="2010"/>
      <c r="S75" s="2010"/>
      <c r="T75" s="2"/>
      <c r="U75" s="2"/>
      <c r="V75" s="2"/>
      <c r="W75" s="2"/>
      <c r="X75" s="2"/>
      <c r="Y75" s="2"/>
      <c r="Z75" s="2"/>
      <c r="AA75" s="2"/>
      <c r="AB75" s="2"/>
      <c r="AC75" s="2"/>
      <c r="AD75" s="2"/>
      <c r="AE75" s="2"/>
      <c r="AF75" s="2"/>
      <c r="AG75" s="2"/>
      <c r="AH75" s="2"/>
    </row>
    <row r="76" spans="1:34" ht="16.5" thickTop="1" thickBot="1">
      <c r="A76" s="2331" t="s">
        <v>763</v>
      </c>
      <c r="B76" s="2332"/>
      <c r="C76" s="298"/>
      <c r="D76" s="12"/>
      <c r="E76" s="12"/>
      <c r="F76" s="12"/>
      <c r="G76" s="26"/>
      <c r="H76" s="24"/>
      <c r="I76" s="20"/>
      <c r="J76" s="20"/>
      <c r="K76" s="20"/>
      <c r="L76" s="20"/>
      <c r="M76" s="20"/>
      <c r="N76" s="20"/>
      <c r="O76" s="20"/>
      <c r="P76" s="20"/>
      <c r="Q76" s="20"/>
      <c r="R76" s="20"/>
      <c r="S76" s="20"/>
    </row>
    <row r="77" spans="1:34" ht="15.75" thickTop="1">
      <c r="A77" s="1124"/>
      <c r="B77" s="2006" t="s">
        <v>764</v>
      </c>
      <c r="C77" s="415"/>
      <c r="D77" s="422"/>
      <c r="E77" s="422"/>
      <c r="F77" s="422"/>
      <c r="G77" s="831"/>
      <c r="H77" s="442"/>
      <c r="I77" s="2010"/>
      <c r="J77" s="2010"/>
      <c r="K77" s="2010"/>
      <c r="L77" s="2010"/>
      <c r="M77" s="2010"/>
      <c r="N77" s="2010"/>
      <c r="O77" s="2010"/>
      <c r="P77" s="2010"/>
      <c r="Q77" s="2010"/>
      <c r="R77" s="2010"/>
      <c r="S77" s="2010"/>
    </row>
    <row r="78" spans="1:34">
      <c r="A78" s="1124"/>
      <c r="B78" s="2006" t="s">
        <v>765</v>
      </c>
      <c r="C78" s="415"/>
      <c r="D78" s="422"/>
      <c r="E78" s="422"/>
      <c r="F78" s="422"/>
      <c r="G78" s="831"/>
      <c r="H78" s="442"/>
      <c r="I78" s="2010"/>
      <c r="J78" s="2010"/>
      <c r="K78" s="2010"/>
      <c r="L78" s="2010"/>
      <c r="M78" s="2010"/>
      <c r="N78" s="2010"/>
      <c r="O78" s="2010"/>
      <c r="P78" s="2010"/>
      <c r="Q78" s="2010"/>
      <c r="R78" s="2010"/>
      <c r="S78" s="2010"/>
    </row>
    <row r="79" spans="1:34">
      <c r="A79" s="1124"/>
      <c r="B79" s="2006" t="s">
        <v>766</v>
      </c>
      <c r="C79" s="415"/>
      <c r="D79" s="422"/>
      <c r="E79" s="422"/>
      <c r="F79" s="422"/>
      <c r="G79" s="831"/>
      <c r="H79" s="442"/>
      <c r="I79" s="2010"/>
      <c r="J79" s="2010"/>
      <c r="K79" s="2010"/>
      <c r="L79" s="2010"/>
      <c r="M79" s="2010"/>
      <c r="N79" s="2010"/>
      <c r="O79" s="2010"/>
      <c r="P79" s="2010"/>
      <c r="Q79" s="2010"/>
      <c r="R79" s="2010"/>
      <c r="S79" s="2010"/>
    </row>
    <row r="80" spans="1:34">
      <c r="A80" s="1124"/>
      <c r="B80" s="2006" t="s">
        <v>767</v>
      </c>
      <c r="C80" s="415"/>
      <c r="D80" s="422"/>
      <c r="E80" s="422"/>
      <c r="F80" s="422"/>
      <c r="G80" s="831"/>
      <c r="H80" s="442"/>
      <c r="I80" s="2010"/>
      <c r="J80" s="2010"/>
      <c r="K80" s="2010"/>
      <c r="L80" s="2010"/>
      <c r="M80" s="2010"/>
      <c r="N80" s="2010"/>
      <c r="O80" s="2010"/>
      <c r="P80" s="2010"/>
      <c r="Q80" s="2010"/>
      <c r="R80" s="2010"/>
      <c r="S80" s="2010"/>
    </row>
    <row r="81" spans="1:19" ht="15.75" thickBot="1">
      <c r="A81" s="443"/>
      <c r="B81" s="421"/>
      <c r="C81" s="23"/>
      <c r="D81" s="86"/>
      <c r="E81" s="86"/>
      <c r="F81" s="86"/>
      <c r="G81" s="27"/>
      <c r="H81" s="25"/>
      <c r="I81" s="444"/>
      <c r="J81" s="444"/>
      <c r="K81" s="444"/>
      <c r="L81" s="444"/>
      <c r="M81" s="444"/>
      <c r="N81" s="444"/>
      <c r="O81" s="444"/>
      <c r="P81" s="444"/>
      <c r="Q81" s="444"/>
      <c r="R81" s="444"/>
      <c r="S81" s="444"/>
    </row>
    <row r="82" spans="1:19" ht="16.5" thickTop="1" thickBot="1">
      <c r="A82" s="72" t="s">
        <v>768</v>
      </c>
      <c r="B82" s="73"/>
      <c r="C82" s="298"/>
      <c r="D82" s="12"/>
      <c r="E82" s="12"/>
      <c r="F82" s="12"/>
      <c r="G82" s="26"/>
      <c r="H82" s="24"/>
      <c r="I82" s="20"/>
      <c r="J82" s="20"/>
      <c r="K82" s="20"/>
      <c r="L82" s="20"/>
      <c r="M82" s="20"/>
      <c r="N82" s="20"/>
      <c r="O82" s="20"/>
      <c r="P82" s="20"/>
      <c r="Q82" s="20"/>
      <c r="R82" s="20"/>
      <c r="S82" s="20"/>
    </row>
    <row r="83" spans="1:19" ht="15.75" thickTop="1">
      <c r="A83" s="1966"/>
      <c r="B83" s="1972" t="s">
        <v>769</v>
      </c>
      <c r="C83" s="1396"/>
      <c r="D83" s="1981"/>
      <c r="E83" s="1981"/>
      <c r="F83" s="1981"/>
      <c r="G83" s="1967"/>
      <c r="H83" s="1974"/>
      <c r="I83" s="1973"/>
      <c r="J83" s="1973"/>
      <c r="K83" s="1973"/>
      <c r="L83" s="1973"/>
      <c r="M83" s="1973"/>
      <c r="N83" s="1973"/>
      <c r="O83" s="1973"/>
      <c r="P83" s="1973"/>
      <c r="Q83" s="1973"/>
      <c r="R83" s="1973"/>
      <c r="S83" s="1973"/>
    </row>
    <row r="84" spans="1:19">
      <c r="A84" s="1124"/>
      <c r="B84" s="2006" t="s">
        <v>770</v>
      </c>
      <c r="C84" s="415"/>
      <c r="D84" s="422"/>
      <c r="E84" s="422"/>
      <c r="F84" s="422"/>
      <c r="G84" s="831"/>
      <c r="H84" s="445"/>
      <c r="I84" s="2011"/>
      <c r="J84" s="2011"/>
      <c r="K84" s="2011"/>
      <c r="L84" s="2011"/>
      <c r="M84" s="2011"/>
      <c r="N84" s="2011"/>
      <c r="O84" s="2011"/>
      <c r="P84" s="2011"/>
      <c r="Q84" s="2011"/>
      <c r="R84" s="2011"/>
      <c r="S84" s="2011"/>
    </row>
    <row r="85" spans="1:19" ht="15.75" thickBot="1">
      <c r="A85" s="1183"/>
      <c r="B85" s="1184" t="s">
        <v>771</v>
      </c>
      <c r="C85" s="1185"/>
      <c r="D85" s="1186"/>
      <c r="E85" s="1186"/>
      <c r="F85" s="1186"/>
      <c r="G85" s="1187"/>
      <c r="H85" s="1188"/>
      <c r="I85" s="1189"/>
      <c r="J85" s="1189"/>
      <c r="K85" s="1189"/>
      <c r="L85" s="1189"/>
      <c r="M85" s="1189"/>
      <c r="N85" s="1189"/>
      <c r="O85" s="1189"/>
      <c r="P85" s="1189"/>
      <c r="Q85" s="1189"/>
      <c r="R85" s="1189"/>
      <c r="S85" s="1189"/>
    </row>
    <row r="86" spans="1:19" ht="16.5" thickTop="1" thickBot="1">
      <c r="F86" s="2"/>
      <c r="G86" s="2"/>
      <c r="H86" s="2"/>
      <c r="I86" s="2"/>
      <c r="J86" s="2"/>
      <c r="K86" s="2"/>
      <c r="L86" s="2"/>
      <c r="M86" s="2"/>
      <c r="N86" s="2"/>
      <c r="O86" s="2"/>
      <c r="P86" s="2"/>
      <c r="Q86" s="2"/>
      <c r="R86" s="2"/>
      <c r="S86" s="2"/>
    </row>
    <row r="87" spans="1:19" ht="16.5" thickTop="1" thickBot="1">
      <c r="A87" s="37" t="s">
        <v>772</v>
      </c>
      <c r="B87" s="39"/>
      <c r="F87" s="2"/>
      <c r="G87" s="2"/>
      <c r="H87" s="2"/>
      <c r="I87" s="2"/>
      <c r="J87" s="2"/>
      <c r="K87" s="2"/>
      <c r="L87" s="2"/>
      <c r="M87" s="2"/>
      <c r="N87" s="2"/>
      <c r="O87" s="2"/>
      <c r="P87" s="2"/>
      <c r="Q87" s="2"/>
      <c r="R87" s="2"/>
      <c r="S87" s="2"/>
    </row>
    <row r="88" spans="1:19" ht="15.75" thickTop="1">
      <c r="A88" s="38" t="s">
        <v>693</v>
      </c>
      <c r="B88" s="2012" t="str">
        <f>H5</f>
        <v>Nautilus</v>
      </c>
      <c r="F88" s="2"/>
      <c r="G88" s="2"/>
      <c r="H88" s="2"/>
      <c r="I88" s="2"/>
      <c r="J88" s="2"/>
      <c r="K88" s="2"/>
      <c r="L88" s="2"/>
      <c r="M88" s="2"/>
      <c r="N88" s="2"/>
      <c r="O88" s="2"/>
      <c r="P88" s="2"/>
      <c r="Q88" s="2"/>
      <c r="R88" s="2"/>
      <c r="S88" s="2"/>
    </row>
    <row r="89" spans="1:19">
      <c r="A89" s="1142" t="s">
        <v>702</v>
      </c>
      <c r="B89" s="2012" t="str">
        <f>H6</f>
        <v>Jimmy Bradford</v>
      </c>
      <c r="F89" s="2"/>
      <c r="G89" s="2"/>
      <c r="H89" s="2"/>
      <c r="I89" s="2"/>
      <c r="J89" s="2"/>
      <c r="K89" s="2"/>
      <c r="L89" s="2"/>
      <c r="M89" s="2"/>
      <c r="N89" s="2"/>
      <c r="O89" s="2"/>
      <c r="P89" s="2"/>
      <c r="Q89" s="2"/>
      <c r="R89" s="2"/>
      <c r="S89" s="2"/>
    </row>
    <row r="90" spans="1:19">
      <c r="A90" s="2013" t="s">
        <v>708</v>
      </c>
      <c r="B90" s="2014">
        <f>H7</f>
        <v>9547608573</v>
      </c>
      <c r="F90" s="2"/>
      <c r="G90" s="2"/>
      <c r="H90" s="2"/>
      <c r="I90" s="2"/>
      <c r="J90" s="2"/>
      <c r="K90" s="2"/>
      <c r="L90" s="2"/>
      <c r="M90" s="2"/>
      <c r="N90" s="2"/>
      <c r="O90" s="2"/>
      <c r="P90" s="2"/>
      <c r="Q90" s="2"/>
      <c r="R90" s="2"/>
      <c r="S90" s="2"/>
    </row>
    <row r="91" spans="1:19">
      <c r="A91" s="2013" t="s">
        <v>713</v>
      </c>
      <c r="B91" s="2022" t="str">
        <f>H8</f>
        <v xml:space="preserve"> jbradford@nautilusrf.com </v>
      </c>
      <c r="F91" s="2"/>
      <c r="G91" s="2"/>
      <c r="H91" s="2"/>
      <c r="I91" s="2"/>
      <c r="J91" s="2"/>
      <c r="K91" s="2"/>
      <c r="L91" s="2"/>
      <c r="M91" s="2"/>
      <c r="N91" s="2"/>
      <c r="O91" s="2"/>
      <c r="P91" s="2"/>
      <c r="Q91" s="2"/>
      <c r="R91" s="2"/>
      <c r="S91" s="2"/>
    </row>
    <row r="92" spans="1:19" ht="15.75" thickBot="1">
      <c r="A92" s="1194" t="s">
        <v>69</v>
      </c>
      <c r="B92" s="1195">
        <f>H9</f>
        <v>254064</v>
      </c>
      <c r="F92" s="2"/>
      <c r="G92" s="2"/>
      <c r="H92" s="2"/>
      <c r="I92" s="2"/>
      <c r="J92" s="2"/>
      <c r="K92" s="2"/>
      <c r="L92" s="2"/>
      <c r="M92" s="2"/>
      <c r="N92" s="2"/>
      <c r="O92" s="2"/>
      <c r="P92" s="2"/>
      <c r="Q92" s="2"/>
      <c r="R92" s="2"/>
      <c r="S92" s="2"/>
    </row>
    <row r="93" spans="1:19" ht="15.75" thickTop="1"/>
  </sheetData>
  <mergeCells count="41">
    <mergeCell ref="A60:B60"/>
    <mergeCell ref="A64:B64"/>
    <mergeCell ref="A68:B68"/>
    <mergeCell ref="A72:B72"/>
    <mergeCell ref="A76:B76"/>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4:I4"/>
    <mergeCell ref="J4:K4"/>
    <mergeCell ref="L4:M4"/>
    <mergeCell ref="N4:O4"/>
    <mergeCell ref="P4:Q4"/>
    <mergeCell ref="R4:S4"/>
    <mergeCell ref="H5:I5"/>
    <mergeCell ref="J5:K5"/>
    <mergeCell ref="L5:M5"/>
    <mergeCell ref="N5:O5"/>
    <mergeCell ref="P5:Q5"/>
  </mergeCells>
  <conditionalFormatting sqref="H11:H19">
    <cfRule type="cellIs" dxfId="113" priority="1" operator="equal">
      <formula>"X"</formula>
    </cfRule>
    <cfRule type="cellIs" dxfId="112" priority="2" operator="equal">
      <formula>"I"</formula>
    </cfRule>
  </conditionalFormatting>
  <conditionalFormatting sqref="H21:H51">
    <cfRule type="cellIs" dxfId="111" priority="9" operator="equal">
      <formula>"X"</formula>
    </cfRule>
    <cfRule type="cellIs" dxfId="110" priority="10" operator="equal">
      <formula>"I"</formula>
    </cfRule>
  </conditionalFormatting>
  <conditionalFormatting sqref="J11:J19 L11:L19 N11:N19 P11:P19 R11:R19">
    <cfRule type="cellIs" dxfId="109" priority="21" operator="equal">
      <formula>"X"</formula>
    </cfRule>
    <cfRule type="cellIs" dxfId="108" priority="22" operator="equal">
      <formula>"I"</formula>
    </cfRule>
  </conditionalFormatting>
  <conditionalFormatting sqref="J21:J51">
    <cfRule type="cellIs" dxfId="107" priority="11" operator="equal">
      <formula>"X"</formula>
    </cfRule>
    <cfRule type="cellIs" dxfId="106" priority="12" operator="equal">
      <formula>"I"</formula>
    </cfRule>
  </conditionalFormatting>
  <conditionalFormatting sqref="L21:L51">
    <cfRule type="cellIs" dxfId="105" priority="7" operator="equal">
      <formula>"X"</formula>
    </cfRule>
    <cfRule type="cellIs" dxfId="104" priority="8" operator="equal">
      <formula>"I"</formula>
    </cfRule>
  </conditionalFormatting>
  <conditionalFormatting sqref="N21:N51">
    <cfRule type="cellIs" dxfId="103" priority="5" operator="equal">
      <formula>"X"</formula>
    </cfRule>
    <cfRule type="cellIs" dxfId="102" priority="6" operator="equal">
      <formula>"I"</formula>
    </cfRule>
  </conditionalFormatting>
  <conditionalFormatting sqref="P21:P51">
    <cfRule type="cellIs" dxfId="101" priority="3" operator="equal">
      <formula>"X"</formula>
    </cfRule>
    <cfRule type="cellIs" dxfId="100" priority="4" operator="equal">
      <formula>"I"</formula>
    </cfRule>
  </conditionalFormatting>
  <conditionalFormatting sqref="R21:R51">
    <cfRule type="cellIs" dxfId="99" priority="19" operator="equal">
      <formula>"X"</formula>
    </cfRule>
    <cfRule type="cellIs" dxfId="98" priority="20" operator="equal">
      <formula>"I"</formula>
    </cfRule>
  </conditionalFormatting>
  <hyperlinks>
    <hyperlink ref="B4" location="'Cost Summary'!A1" display="BACK TO SUMMARY SHEET" xr:uid="{165BA848-8335-4376-9BB5-21E34EDA62AA}"/>
    <hyperlink ref="H8" r:id="rId1" xr:uid="{59F58E7E-4522-45F7-A914-9D0B3D55D695}"/>
    <hyperlink ref="J8" r:id="rId2" xr:uid="{9A03ADE4-F290-453F-BB39-F2B5473BBAD7}"/>
    <hyperlink ref="L8:M8" r:id="rId3" display="jkomis@powerdesigninc.us" xr:uid="{37FEF572-4EBE-4AE6-84BB-A9AABEB113DA}"/>
    <hyperlink ref="N8" r:id="rId4" xr:uid="{F039A47B-6EA5-4BAB-99A9-BFC5108FD9CE}"/>
    <hyperlink ref="P8" r:id="rId5" xr:uid="{FE20B2CE-E4FA-48B9-864B-309149EF5B60}"/>
    <hyperlink ref="R8" r:id="rId6" xr:uid="{A9ACCAF4-816A-45BF-AA0D-82847C6FB3C4}"/>
  </hyperlinks>
  <pageMargins left="0.7" right="0.7" top="0.75" bottom="0.75" header="0.3" footer="0.3"/>
  <pageSetup orientation="portrait" r:id="rId7"/>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B889-0859-4929-A521-BBF28A40FBDA}">
  <sheetPr>
    <tabColor theme="5" tint="0.39997558519241921"/>
  </sheetPr>
  <dimension ref="A1:AO92"/>
  <sheetViews>
    <sheetView zoomScale="90" zoomScaleNormal="90" workbookViewId="0">
      <pane xSplit="2" ySplit="10" topLeftCell="C11" activePane="bottomRight" state="frozen"/>
      <selection pane="topRight" activeCell="C1" sqref="C1"/>
      <selection pane="bottomLeft" activeCell="A11" sqref="A11"/>
      <selection pane="bottomRight"/>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c r="X1" s="261"/>
    </row>
    <row r="2" spans="1:24">
      <c r="D2" s="260"/>
      <c r="E2" s="68"/>
      <c r="F2" s="276"/>
      <c r="G2" s="269" t="s">
        <v>679</v>
      </c>
      <c r="X2" s="261"/>
    </row>
    <row r="3" spans="1:24" ht="15.75" thickBot="1">
      <c r="D3" s="260"/>
      <c r="E3" s="68"/>
      <c r="F3" s="277" t="s">
        <v>680</v>
      </c>
      <c r="G3" s="269" t="s">
        <v>681</v>
      </c>
      <c r="X3" s="261"/>
    </row>
    <row r="4" spans="1:24" ht="15.75" thickBot="1">
      <c r="B4" s="262" t="s">
        <v>684</v>
      </c>
      <c r="D4" s="260"/>
      <c r="E4" s="68"/>
      <c r="F4" s="278" t="s">
        <v>682</v>
      </c>
      <c r="G4" s="270" t="s">
        <v>683</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2016" t="s">
        <v>174</v>
      </c>
      <c r="C6" s="415"/>
      <c r="D6" s="416"/>
      <c r="E6" s="417"/>
      <c r="F6" s="418"/>
      <c r="G6" s="419" t="s">
        <v>702</v>
      </c>
      <c r="H6" s="2325"/>
      <c r="I6" s="2326"/>
      <c r="J6" s="2325"/>
      <c r="K6" s="2326"/>
      <c r="L6" s="2325"/>
      <c r="M6" s="2326"/>
      <c r="N6" s="2325"/>
      <c r="O6" s="2326"/>
      <c r="P6" s="2313"/>
      <c r="Q6" s="2314"/>
      <c r="R6" s="2313"/>
      <c r="S6" s="2314"/>
      <c r="X6" s="261"/>
    </row>
    <row r="7" spans="1:24">
      <c r="A7" s="1082" t="s">
        <v>706</v>
      </c>
      <c r="B7" s="2017" t="s">
        <v>367</v>
      </c>
      <c r="C7" s="415"/>
      <c r="D7" s="416"/>
      <c r="E7" s="417"/>
      <c r="F7" s="418"/>
      <c r="G7" s="829" t="s">
        <v>708</v>
      </c>
      <c r="H7" s="2325"/>
      <c r="I7" s="2326"/>
      <c r="J7" s="2325"/>
      <c r="K7" s="2326"/>
      <c r="L7" s="2325"/>
      <c r="M7" s="2326"/>
      <c r="N7" s="2325"/>
      <c r="O7" s="2326"/>
      <c r="P7" s="2313"/>
      <c r="Q7" s="2314"/>
      <c r="R7" s="2313"/>
      <c r="S7" s="2314"/>
      <c r="X7" s="261"/>
    </row>
    <row r="8" spans="1:24">
      <c r="A8" s="1082" t="s">
        <v>712</v>
      </c>
      <c r="B8" s="2018"/>
      <c r="C8" s="415"/>
      <c r="D8" s="416"/>
      <c r="E8" s="417"/>
      <c r="F8" s="418"/>
      <c r="G8" s="829" t="s">
        <v>713</v>
      </c>
      <c r="H8" s="2329"/>
      <c r="I8" s="2328"/>
      <c r="J8" s="2329"/>
      <c r="K8" s="2328"/>
      <c r="L8" s="2329"/>
      <c r="M8" s="2328"/>
      <c r="N8" s="2329"/>
      <c r="O8" s="2328"/>
      <c r="P8" s="2315"/>
      <c r="Q8" s="2316"/>
      <c r="R8" s="2315"/>
      <c r="S8" s="2316"/>
      <c r="X8" s="261"/>
    </row>
    <row r="9" spans="1:24" ht="15.75" thickBot="1">
      <c r="A9" s="420" t="s">
        <v>717</v>
      </c>
      <c r="B9" s="421"/>
      <c r="C9" s="23"/>
      <c r="D9" s="265"/>
      <c r="E9" s="266"/>
      <c r="F9" s="283"/>
      <c r="G9" s="284" t="s">
        <v>717</v>
      </c>
      <c r="H9" s="2317">
        <f>I55</f>
        <v>0</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t="s">
        <v>1452</v>
      </c>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1979"/>
      <c r="B11" s="1980" t="s">
        <v>725</v>
      </c>
      <c r="C11" s="1398"/>
      <c r="D11" s="1981"/>
      <c r="E11" s="1981"/>
      <c r="F11" s="1982"/>
      <c r="G11" s="1983"/>
      <c r="H11" s="1984"/>
      <c r="I11" s="1985"/>
      <c r="J11" s="1984"/>
      <c r="K11" s="285"/>
      <c r="L11" s="1984"/>
      <c r="M11" s="1986"/>
      <c r="N11" s="1984"/>
      <c r="O11" s="1986"/>
      <c r="P11" s="1984"/>
      <c r="Q11" s="1986"/>
      <c r="R11" s="1984"/>
      <c r="S11" s="1986"/>
    </row>
    <row r="12" spans="1:24">
      <c r="A12" s="1979"/>
      <c r="B12" s="2019" t="s">
        <v>726</v>
      </c>
      <c r="C12" s="446"/>
      <c r="D12" s="422"/>
      <c r="E12" s="422"/>
      <c r="F12" s="418"/>
      <c r="G12" s="423"/>
      <c r="H12" s="2020"/>
      <c r="I12" s="1985"/>
      <c r="J12" s="2020"/>
      <c r="K12" s="1986"/>
      <c r="L12" s="2020"/>
      <c r="M12" s="1986"/>
      <c r="N12" s="2020"/>
      <c r="O12" s="1986"/>
      <c r="P12" s="2020"/>
      <c r="Q12" s="1986"/>
      <c r="R12" s="2020"/>
      <c r="S12" s="1986"/>
    </row>
    <row r="13" spans="1:24">
      <c r="A13" s="1097"/>
      <c r="B13" s="2019" t="s">
        <v>728</v>
      </c>
      <c r="C13" s="446"/>
      <c r="D13" s="422"/>
      <c r="E13" s="422"/>
      <c r="F13" s="418"/>
      <c r="G13" s="423"/>
      <c r="H13" s="2020"/>
      <c r="I13" s="1985"/>
      <c r="J13" s="2020"/>
      <c r="K13" s="1986"/>
      <c r="L13" s="2020"/>
      <c r="M13" s="1986"/>
      <c r="N13" s="2020"/>
      <c r="O13" s="1986"/>
      <c r="P13" s="2020"/>
      <c r="Q13" s="1986"/>
      <c r="R13" s="2020"/>
      <c r="S13" s="1986"/>
    </row>
    <row r="14" spans="1:24">
      <c r="A14" s="1979"/>
      <c r="B14" s="2021" t="s">
        <v>729</v>
      </c>
      <c r="C14" s="446"/>
      <c r="D14" s="422"/>
      <c r="E14" s="422"/>
      <c r="F14" s="418"/>
      <c r="G14" s="423"/>
      <c r="H14" s="2020"/>
      <c r="I14" s="1985"/>
      <c r="J14" s="2020"/>
      <c r="K14" s="1986"/>
      <c r="L14" s="2020"/>
      <c r="M14" s="1986"/>
      <c r="N14" s="2020"/>
      <c r="O14" s="1986"/>
      <c r="P14" s="2020"/>
      <c r="Q14" s="1986"/>
      <c r="R14" s="2020"/>
      <c r="S14" s="1986"/>
    </row>
    <row r="15" spans="1:24">
      <c r="A15" s="1097"/>
      <c r="B15" s="2021" t="s">
        <v>731</v>
      </c>
      <c r="C15" s="446"/>
      <c r="D15" s="422"/>
      <c r="E15" s="422"/>
      <c r="F15" s="418"/>
      <c r="G15" s="423"/>
      <c r="H15" s="2020"/>
      <c r="I15" s="1985"/>
      <c r="J15" s="2020"/>
      <c r="K15" s="1985"/>
      <c r="L15" s="2020"/>
      <c r="M15" s="1985"/>
      <c r="N15" s="2020"/>
      <c r="O15" s="1985"/>
      <c r="P15" s="2020"/>
      <c r="Q15" s="1985"/>
      <c r="R15" s="2020"/>
      <c r="S15" s="1985"/>
    </row>
    <row r="16" spans="1:24">
      <c r="A16" s="1979"/>
      <c r="B16" s="2021" t="s">
        <v>732</v>
      </c>
      <c r="C16" s="446"/>
      <c r="D16" s="422"/>
      <c r="E16" s="422"/>
      <c r="F16" s="418"/>
      <c r="G16" s="423"/>
      <c r="H16" s="2020"/>
      <c r="I16" s="1985"/>
      <c r="J16" s="2020"/>
      <c r="K16" s="1986"/>
      <c r="L16" s="2020"/>
      <c r="M16" s="1986"/>
      <c r="N16" s="2020"/>
      <c r="O16" s="1986"/>
      <c r="P16" s="2020"/>
      <c r="Q16" s="1986"/>
      <c r="R16" s="2020"/>
      <c r="S16" s="1986"/>
    </row>
    <row r="17" spans="1:41">
      <c r="A17" s="1097"/>
      <c r="B17" s="2021" t="s">
        <v>733</v>
      </c>
      <c r="C17" s="446"/>
      <c r="D17" s="422"/>
      <c r="E17" s="422"/>
      <c r="F17" s="418"/>
      <c r="G17" s="423"/>
      <c r="H17" s="2020"/>
      <c r="I17" s="1985"/>
      <c r="J17" s="2020"/>
      <c r="K17" s="1986"/>
      <c r="L17" s="2020"/>
      <c r="M17" s="1986"/>
      <c r="N17" s="2020"/>
      <c r="O17" s="1986"/>
      <c r="P17" s="2020"/>
      <c r="Q17" s="1986"/>
      <c r="R17" s="2020"/>
      <c r="S17" s="1986"/>
    </row>
    <row r="18" spans="1:41">
      <c r="A18" s="1979"/>
      <c r="B18" s="1988" t="s">
        <v>736</v>
      </c>
      <c r="C18" s="446"/>
      <c r="D18" s="422"/>
      <c r="E18" s="422"/>
      <c r="F18" s="418"/>
      <c r="G18" s="423"/>
      <c r="H18" s="2020"/>
      <c r="I18" s="1985"/>
      <c r="J18" s="2020"/>
      <c r="K18" s="1986"/>
      <c r="L18" s="2020"/>
      <c r="M18" s="1986"/>
      <c r="N18" s="2020"/>
      <c r="O18" s="1986"/>
      <c r="P18" s="2020"/>
      <c r="Q18" s="1986"/>
      <c r="R18" s="2020"/>
      <c r="S18" s="1986"/>
    </row>
    <row r="19" spans="1:41">
      <c r="A19" s="1097"/>
      <c r="B19" s="2023" t="s">
        <v>737</v>
      </c>
      <c r="C19" s="447"/>
      <c r="D19" s="425"/>
      <c r="E19" s="425"/>
      <c r="F19" s="426"/>
      <c r="G19" s="427"/>
      <c r="H19" s="1989"/>
      <c r="I19" s="2024"/>
      <c r="J19" s="1989"/>
      <c r="K19" s="2025"/>
      <c r="L19" s="1989"/>
      <c r="M19" s="2025"/>
      <c r="N19" s="1989"/>
      <c r="O19" s="2025"/>
      <c r="P19" s="1989"/>
      <c r="Q19" s="2025"/>
      <c r="R19" s="1989"/>
      <c r="S19" s="2025"/>
    </row>
    <row r="20" spans="1:41">
      <c r="A20" s="1979"/>
      <c r="B20" s="1104"/>
      <c r="C20" s="70"/>
      <c r="D20" s="86"/>
      <c r="E20" s="86"/>
      <c r="F20" s="280"/>
      <c r="G20" s="274"/>
      <c r="H20" s="2020"/>
      <c r="I20" s="428"/>
      <c r="J20" s="2020"/>
      <c r="K20" s="428"/>
      <c r="L20" s="2020"/>
      <c r="M20" s="428"/>
      <c r="N20" s="2020"/>
      <c r="O20" s="428"/>
      <c r="P20" s="2020"/>
      <c r="Q20" s="428"/>
      <c r="R20" s="2020"/>
      <c r="S20" s="428"/>
    </row>
    <row r="21" spans="1:41" s="69" customFormat="1">
      <c r="A21" s="1097"/>
      <c r="B21" s="2006"/>
      <c r="C21" s="415"/>
      <c r="D21" s="422"/>
      <c r="E21" s="422"/>
      <c r="F21" s="429"/>
      <c r="G21" s="423"/>
      <c r="H21" s="2020"/>
      <c r="I21" s="1107"/>
      <c r="J21" s="2020"/>
      <c r="K21" s="1992"/>
      <c r="L21" s="2020"/>
      <c r="M21" s="1992"/>
      <c r="N21" s="2020"/>
      <c r="O21" s="1107"/>
      <c r="P21" s="2020"/>
      <c r="Q21" s="1107"/>
      <c r="R21" s="2020"/>
      <c r="S21" s="1992"/>
      <c r="T21"/>
      <c r="U21"/>
      <c r="V21"/>
      <c r="W21"/>
      <c r="X21"/>
      <c r="Y21"/>
      <c r="Z21"/>
      <c r="AA21"/>
      <c r="AB21"/>
      <c r="AC21"/>
      <c r="AD21"/>
      <c r="AE21"/>
      <c r="AF21"/>
      <c r="AG21"/>
      <c r="AH21"/>
      <c r="AI21"/>
      <c r="AJ21"/>
      <c r="AK21"/>
      <c r="AL21"/>
      <c r="AM21"/>
      <c r="AN21"/>
      <c r="AO21"/>
    </row>
    <row r="22" spans="1:41">
      <c r="A22" s="1979"/>
      <c r="B22" s="2026"/>
      <c r="C22" s="1396"/>
      <c r="D22" s="2027"/>
      <c r="E22" s="1981"/>
      <c r="F22" s="2028"/>
      <c r="G22" s="2029"/>
      <c r="H22" s="2020"/>
      <c r="I22" s="1986"/>
      <c r="J22" s="2020"/>
      <c r="K22" s="1986"/>
      <c r="L22" s="2020"/>
      <c r="M22" s="1986"/>
      <c r="N22" s="2020"/>
      <c r="O22" s="1986"/>
      <c r="P22" s="2020"/>
      <c r="Q22" s="1986"/>
      <c r="R22" s="2020"/>
      <c r="S22" s="1986"/>
    </row>
    <row r="23" spans="1:41">
      <c r="A23" s="1097"/>
      <c r="B23" s="2026"/>
      <c r="C23" s="415"/>
      <c r="D23" s="430"/>
      <c r="E23" s="422"/>
      <c r="F23" s="431"/>
      <c r="G23" s="2029"/>
      <c r="H23" s="2020"/>
      <c r="I23" s="1986"/>
      <c r="J23" s="2020"/>
      <c r="K23" s="1986"/>
      <c r="L23" s="2020"/>
      <c r="M23" s="1986"/>
      <c r="N23" s="2020"/>
      <c r="O23" s="1986"/>
      <c r="P23" s="2020"/>
      <c r="Q23" s="1986"/>
      <c r="R23" s="2020"/>
      <c r="S23" s="1986"/>
    </row>
    <row r="24" spans="1:41">
      <c r="A24" s="1979"/>
      <c r="B24" s="2026"/>
      <c r="C24" s="415"/>
      <c r="D24" s="430"/>
      <c r="E24" s="422"/>
      <c r="F24" s="431"/>
      <c r="G24" s="2029"/>
      <c r="H24" s="2020"/>
      <c r="I24" s="1986"/>
      <c r="J24" s="2020"/>
      <c r="K24" s="1986"/>
      <c r="L24" s="2020"/>
      <c r="M24" s="1986"/>
      <c r="N24" s="2020"/>
      <c r="O24" s="1986"/>
      <c r="P24" s="2020"/>
      <c r="Q24" s="1986"/>
      <c r="R24" s="2020"/>
      <c r="S24" s="1986"/>
    </row>
    <row r="25" spans="1:41">
      <c r="A25" s="1097"/>
      <c r="B25" s="2026"/>
      <c r="C25" s="415"/>
      <c r="D25" s="430"/>
      <c r="E25" s="422"/>
      <c r="F25" s="431"/>
      <c r="G25" s="2029"/>
      <c r="H25" s="2020"/>
      <c r="I25" s="1986"/>
      <c r="J25" s="2020"/>
      <c r="K25" s="1986"/>
      <c r="L25" s="2020"/>
      <c r="M25" s="1986"/>
      <c r="N25" s="2020"/>
      <c r="O25" s="1986"/>
      <c r="P25" s="2020"/>
      <c r="Q25" s="1986"/>
      <c r="R25" s="2020"/>
      <c r="S25" s="1986"/>
    </row>
    <row r="26" spans="1:41">
      <c r="A26" s="1979"/>
      <c r="B26" s="2026"/>
      <c r="C26" s="415"/>
      <c r="D26" s="430"/>
      <c r="E26" s="422"/>
      <c r="F26" s="431"/>
      <c r="G26" s="2029"/>
      <c r="H26" s="2020"/>
      <c r="I26" s="1986"/>
      <c r="J26" s="2020"/>
      <c r="K26" s="1986"/>
      <c r="L26" s="2020"/>
      <c r="M26" s="1986"/>
      <c r="N26" s="2020"/>
      <c r="O26" s="1986"/>
      <c r="P26" s="2020"/>
      <c r="Q26" s="1986"/>
      <c r="R26" s="2020"/>
      <c r="S26" s="1986"/>
    </row>
    <row r="27" spans="1:41">
      <c r="A27" s="1097"/>
      <c r="B27" s="2026"/>
      <c r="C27" s="415"/>
      <c r="D27" s="430"/>
      <c r="E27" s="422"/>
      <c r="F27" s="431"/>
      <c r="G27" s="2029"/>
      <c r="H27" s="2020"/>
      <c r="I27" s="1986"/>
      <c r="J27" s="2020"/>
      <c r="K27" s="1986"/>
      <c r="L27" s="2020"/>
      <c r="M27" s="1986"/>
      <c r="N27" s="2020"/>
      <c r="O27" s="1986"/>
      <c r="P27" s="2020"/>
      <c r="Q27" s="1986"/>
      <c r="R27" s="2020"/>
      <c r="S27" s="1986"/>
    </row>
    <row r="28" spans="1:41">
      <c r="A28" s="1979"/>
      <c r="B28" s="2026"/>
      <c r="C28" s="415"/>
      <c r="D28" s="430"/>
      <c r="E28" s="422"/>
      <c r="F28" s="431"/>
      <c r="G28" s="2029"/>
      <c r="H28" s="2020"/>
      <c r="I28" s="1986"/>
      <c r="J28" s="2020"/>
      <c r="K28" s="1986"/>
      <c r="L28" s="2020"/>
      <c r="M28" s="1986"/>
      <c r="N28" s="2020"/>
      <c r="O28" s="1986"/>
      <c r="P28" s="2020"/>
      <c r="Q28" s="1986"/>
      <c r="R28" s="2020"/>
      <c r="S28" s="1986"/>
    </row>
    <row r="29" spans="1:41">
      <c r="A29" s="1097"/>
      <c r="B29" s="2026"/>
      <c r="C29" s="415"/>
      <c r="D29" s="430"/>
      <c r="E29" s="422"/>
      <c r="F29" s="431"/>
      <c r="G29" s="2029"/>
      <c r="H29" s="2020"/>
      <c r="I29" s="1986"/>
      <c r="J29" s="2020"/>
      <c r="K29" s="1986"/>
      <c r="L29" s="2020"/>
      <c r="M29" s="1986"/>
      <c r="N29" s="2020"/>
      <c r="O29" s="1986"/>
      <c r="P29" s="2020"/>
      <c r="Q29" s="1986"/>
      <c r="R29" s="2020"/>
      <c r="S29" s="1986"/>
    </row>
    <row r="30" spans="1:41">
      <c r="A30" s="1979"/>
      <c r="B30" s="2026"/>
      <c r="C30" s="415"/>
      <c r="D30" s="430"/>
      <c r="E30" s="422"/>
      <c r="F30" s="431"/>
      <c r="G30" s="2029"/>
      <c r="H30" s="2020"/>
      <c r="I30" s="1986"/>
      <c r="J30" s="2020"/>
      <c r="K30" s="1986"/>
      <c r="L30" s="2020"/>
      <c r="M30" s="1986"/>
      <c r="N30" s="2020"/>
      <c r="O30" s="1986"/>
      <c r="P30" s="2020"/>
      <c r="Q30" s="1986"/>
      <c r="R30" s="2020"/>
      <c r="S30" s="1986"/>
    </row>
    <row r="31" spans="1:41">
      <c r="A31" s="1097"/>
      <c r="B31" s="2026"/>
      <c r="C31" s="415"/>
      <c r="D31" s="430"/>
      <c r="E31" s="422"/>
      <c r="F31" s="431"/>
      <c r="G31" s="2029"/>
      <c r="H31" s="2020"/>
      <c r="I31" s="1986"/>
      <c r="J31" s="2020"/>
      <c r="K31" s="1986"/>
      <c r="L31" s="2020"/>
      <c r="M31" s="1986"/>
      <c r="N31" s="2020"/>
      <c r="O31" s="1986"/>
      <c r="P31" s="2020"/>
      <c r="Q31" s="1986"/>
      <c r="R31" s="2020"/>
      <c r="S31" s="1986"/>
    </row>
    <row r="32" spans="1:41">
      <c r="A32" s="1979"/>
      <c r="B32" s="1999"/>
      <c r="C32" s="23"/>
      <c r="D32" s="430"/>
      <c r="E32" s="422"/>
      <c r="F32" s="431"/>
      <c r="G32" s="2029"/>
      <c r="H32" s="2020"/>
      <c r="I32" s="1986"/>
      <c r="J32" s="2020"/>
      <c r="K32" s="1986"/>
      <c r="L32" s="2020"/>
      <c r="M32" s="1986"/>
      <c r="N32" s="2020"/>
      <c r="O32" s="1986"/>
      <c r="P32" s="2020"/>
      <c r="Q32" s="1986"/>
      <c r="R32" s="2020"/>
      <c r="S32" s="1986"/>
    </row>
    <row r="33" spans="1:19">
      <c r="A33" s="1097"/>
      <c r="B33" s="1999"/>
      <c r="C33" s="23"/>
      <c r="D33" s="87"/>
      <c r="E33" s="86"/>
      <c r="F33" s="431"/>
      <c r="G33" s="2029"/>
      <c r="H33" s="2020"/>
      <c r="I33" s="1986"/>
      <c r="J33" s="2020"/>
      <c r="K33" s="1986"/>
      <c r="L33" s="2020"/>
      <c r="M33" s="1986"/>
      <c r="N33" s="2020"/>
      <c r="O33" s="1986"/>
      <c r="P33" s="2020"/>
      <c r="Q33" s="1986"/>
      <c r="R33" s="2020"/>
      <c r="S33" s="1986"/>
    </row>
    <row r="34" spans="1:19">
      <c r="A34" s="1979"/>
      <c r="B34" s="1999"/>
      <c r="C34" s="23"/>
      <c r="D34" s="87"/>
      <c r="E34" s="86"/>
      <c r="F34" s="431"/>
      <c r="G34" s="2029"/>
      <c r="H34" s="2020"/>
      <c r="I34" s="1986"/>
      <c r="J34" s="2020"/>
      <c r="K34" s="1986"/>
      <c r="L34" s="2020"/>
      <c r="M34" s="1986"/>
      <c r="N34" s="2020"/>
      <c r="O34" s="1986"/>
      <c r="P34" s="2020"/>
      <c r="Q34" s="1986"/>
      <c r="R34" s="2020"/>
      <c r="S34" s="1986"/>
    </row>
    <row r="35" spans="1:19">
      <c r="A35" s="1979"/>
      <c r="B35" s="1999"/>
      <c r="C35" s="23"/>
      <c r="D35" s="87"/>
      <c r="E35" s="86"/>
      <c r="F35" s="431"/>
      <c r="G35" s="2029"/>
      <c r="H35" s="2020"/>
      <c r="I35" s="1986"/>
      <c r="J35" s="2020"/>
      <c r="K35" s="1986"/>
      <c r="L35" s="2020"/>
      <c r="M35" s="1986"/>
      <c r="N35" s="2020"/>
      <c r="O35" s="1986"/>
      <c r="P35" s="2020"/>
      <c r="Q35" s="1986"/>
      <c r="R35" s="2020"/>
      <c r="S35" s="1986"/>
    </row>
    <row r="36" spans="1:19">
      <c r="A36" s="1979"/>
      <c r="B36" s="1999"/>
      <c r="C36" s="23"/>
      <c r="D36" s="87"/>
      <c r="E36" s="86"/>
      <c r="F36" s="431"/>
      <c r="G36" s="2029"/>
      <c r="H36" s="2020"/>
      <c r="I36" s="1986"/>
      <c r="J36" s="2020"/>
      <c r="K36" s="1986"/>
      <c r="L36" s="2020"/>
      <c r="M36" s="1986"/>
      <c r="N36" s="2020"/>
      <c r="O36" s="1986"/>
      <c r="P36" s="2020"/>
      <c r="Q36" s="1986"/>
      <c r="R36" s="2020"/>
      <c r="S36" s="1986"/>
    </row>
    <row r="37" spans="1:19">
      <c r="A37" s="1979"/>
      <c r="B37" s="1999"/>
      <c r="C37" s="23"/>
      <c r="D37" s="87"/>
      <c r="E37" s="86"/>
      <c r="F37" s="431"/>
      <c r="G37" s="2029"/>
      <c r="H37" s="2020"/>
      <c r="I37" s="1986"/>
      <c r="J37" s="2020"/>
      <c r="K37" s="1986"/>
      <c r="L37" s="2020"/>
      <c r="M37" s="1986"/>
      <c r="N37" s="2020"/>
      <c r="O37" s="1986"/>
      <c r="P37" s="2020"/>
      <c r="Q37" s="1986"/>
      <c r="R37" s="2020"/>
      <c r="S37" s="1986"/>
    </row>
    <row r="38" spans="1:19">
      <c r="A38" s="1979"/>
      <c r="B38" s="1999"/>
      <c r="C38" s="23"/>
      <c r="D38" s="87"/>
      <c r="E38" s="86"/>
      <c r="F38" s="431"/>
      <c r="G38" s="2029"/>
      <c r="H38" s="2020"/>
      <c r="I38" s="1986"/>
      <c r="J38" s="2020"/>
      <c r="K38" s="1986"/>
      <c r="L38" s="2020"/>
      <c r="M38" s="1986"/>
      <c r="N38" s="2020"/>
      <c r="O38" s="1986"/>
      <c r="P38" s="2020"/>
      <c r="Q38" s="1986"/>
      <c r="R38" s="2020"/>
      <c r="S38" s="1986"/>
    </row>
    <row r="39" spans="1:19">
      <c r="A39" s="1979"/>
      <c r="B39" s="1999"/>
      <c r="C39" s="23"/>
      <c r="D39" s="87"/>
      <c r="E39" s="86"/>
      <c r="F39" s="431"/>
      <c r="G39" s="2029"/>
      <c r="H39" s="2020"/>
      <c r="I39" s="1986"/>
      <c r="J39" s="2020"/>
      <c r="K39" s="1986"/>
      <c r="L39" s="2020"/>
      <c r="M39" s="1986"/>
      <c r="N39" s="2020"/>
      <c r="O39" s="1986"/>
      <c r="P39" s="2020"/>
      <c r="Q39" s="1986"/>
      <c r="R39" s="2020"/>
      <c r="S39" s="1986"/>
    </row>
    <row r="40" spans="1:19">
      <c r="A40" s="1979"/>
      <c r="B40" s="1999"/>
      <c r="C40" s="23"/>
      <c r="D40" s="87"/>
      <c r="E40" s="86"/>
      <c r="F40" s="431"/>
      <c r="G40" s="2029"/>
      <c r="H40" s="2020"/>
      <c r="I40" s="1986"/>
      <c r="J40" s="2020"/>
      <c r="K40" s="1986"/>
      <c r="L40" s="2020"/>
      <c r="M40" s="1986"/>
      <c r="N40" s="2020"/>
      <c r="O40" s="1986"/>
      <c r="P40" s="2020"/>
      <c r="Q40" s="1986"/>
      <c r="R40" s="2020"/>
      <c r="S40" s="1986"/>
    </row>
    <row r="41" spans="1:19">
      <c r="A41" s="1979"/>
      <c r="B41" s="1999"/>
      <c r="C41" s="23"/>
      <c r="D41" s="87"/>
      <c r="E41" s="86"/>
      <c r="F41" s="431"/>
      <c r="G41" s="2029"/>
      <c r="H41" s="2020"/>
      <c r="I41" s="1986"/>
      <c r="J41" s="2020"/>
      <c r="K41" s="1986"/>
      <c r="L41" s="2020"/>
      <c r="M41" s="1986"/>
      <c r="N41" s="2020"/>
      <c r="O41" s="1986"/>
      <c r="P41" s="2020"/>
      <c r="Q41" s="1986"/>
      <c r="R41" s="2020"/>
      <c r="S41" s="1986"/>
    </row>
    <row r="42" spans="1:19">
      <c r="A42" s="1979"/>
      <c r="B42" s="1999"/>
      <c r="C42" s="23"/>
      <c r="D42" s="87"/>
      <c r="E42" s="86"/>
      <c r="F42" s="431"/>
      <c r="G42" s="2029"/>
      <c r="H42" s="2020"/>
      <c r="I42" s="1986"/>
      <c r="J42" s="2020"/>
      <c r="K42" s="1986"/>
      <c r="L42" s="2020"/>
      <c r="M42" s="1986"/>
      <c r="N42" s="2020"/>
      <c r="O42" s="1986"/>
      <c r="P42" s="2020"/>
      <c r="Q42" s="1986"/>
      <c r="R42" s="2020"/>
      <c r="S42" s="1986"/>
    </row>
    <row r="43" spans="1:19">
      <c r="A43" s="1979"/>
      <c r="B43" s="1999"/>
      <c r="C43" s="23"/>
      <c r="D43" s="87"/>
      <c r="E43" s="86"/>
      <c r="F43" s="431"/>
      <c r="G43" s="2029"/>
      <c r="H43" s="2020"/>
      <c r="I43" s="1986"/>
      <c r="J43" s="2020"/>
      <c r="K43" s="1986"/>
      <c r="L43" s="2020"/>
      <c r="M43" s="1986"/>
      <c r="N43" s="2020"/>
      <c r="O43" s="1986"/>
      <c r="P43" s="2020"/>
      <c r="Q43" s="1986"/>
      <c r="R43" s="2020"/>
      <c r="S43" s="1986"/>
    </row>
    <row r="44" spans="1:19">
      <c r="A44" s="1979"/>
      <c r="B44" s="1999"/>
      <c r="C44" s="23"/>
      <c r="D44" s="87"/>
      <c r="E44" s="86"/>
      <c r="F44" s="431"/>
      <c r="G44" s="2029"/>
      <c r="H44" s="2020"/>
      <c r="I44" s="1986"/>
      <c r="J44" s="2020"/>
      <c r="K44" s="1986"/>
      <c r="L44" s="2020"/>
      <c r="M44" s="1986"/>
      <c r="N44" s="2020"/>
      <c r="O44" s="1986"/>
      <c r="P44" s="2020"/>
      <c r="Q44" s="1986"/>
      <c r="R44" s="2020"/>
      <c r="S44" s="1986"/>
    </row>
    <row r="45" spans="1:19">
      <c r="A45" s="1979"/>
      <c r="B45" s="1999"/>
      <c r="C45" s="23"/>
      <c r="D45" s="87"/>
      <c r="E45" s="86"/>
      <c r="F45" s="431"/>
      <c r="G45" s="2029"/>
      <c r="H45" s="2020"/>
      <c r="I45" s="1986"/>
      <c r="J45" s="2020"/>
      <c r="K45" s="1986"/>
      <c r="L45" s="2020"/>
      <c r="M45" s="1986"/>
      <c r="N45" s="2020"/>
      <c r="O45" s="1986"/>
      <c r="P45" s="2020"/>
      <c r="Q45" s="1986"/>
      <c r="R45" s="2020"/>
      <c r="S45" s="1986"/>
    </row>
    <row r="46" spans="1:19">
      <c r="A46" s="1979"/>
      <c r="B46" s="1999"/>
      <c r="C46" s="23"/>
      <c r="D46" s="87"/>
      <c r="E46" s="86"/>
      <c r="F46" s="431"/>
      <c r="G46" s="2029"/>
      <c r="H46" s="2020"/>
      <c r="I46" s="1986"/>
      <c r="J46" s="2020"/>
      <c r="K46" s="1986"/>
      <c r="L46" s="2020"/>
      <c r="M46" s="1986"/>
      <c r="N46" s="2020"/>
      <c r="O46" s="1986"/>
      <c r="P46" s="2020"/>
      <c r="Q46" s="1986"/>
      <c r="R46" s="2020"/>
      <c r="S46" s="1986"/>
    </row>
    <row r="47" spans="1:19">
      <c r="A47" s="1979"/>
      <c r="B47" s="1999"/>
      <c r="C47" s="23"/>
      <c r="D47" s="87"/>
      <c r="E47" s="86"/>
      <c r="F47" s="431"/>
      <c r="G47" s="2029"/>
      <c r="H47" s="2020"/>
      <c r="I47" s="1986"/>
      <c r="J47" s="2020"/>
      <c r="K47" s="1986"/>
      <c r="L47" s="2020"/>
      <c r="M47" s="1986"/>
      <c r="N47" s="2020"/>
      <c r="O47" s="1986"/>
      <c r="P47" s="2020"/>
      <c r="Q47" s="1986"/>
      <c r="R47" s="2020"/>
      <c r="S47" s="1986"/>
    </row>
    <row r="48" spans="1:19">
      <c r="A48" s="1979"/>
      <c r="B48" s="1999"/>
      <c r="C48" s="23"/>
      <c r="D48" s="87"/>
      <c r="E48" s="86"/>
      <c r="F48" s="431"/>
      <c r="G48" s="2029"/>
      <c r="H48" s="2020"/>
      <c r="I48" s="1986"/>
      <c r="J48" s="2020"/>
      <c r="K48" s="1986"/>
      <c r="L48" s="2020"/>
      <c r="M48" s="1986"/>
      <c r="N48" s="2020"/>
      <c r="O48" s="1986"/>
      <c r="P48" s="2020"/>
      <c r="Q48" s="1986"/>
      <c r="R48" s="2020"/>
      <c r="S48" s="1986"/>
    </row>
    <row r="49" spans="1:34">
      <c r="A49" s="1979"/>
      <c r="B49" s="1999"/>
      <c r="C49" s="23"/>
      <c r="D49" s="87"/>
      <c r="E49" s="86"/>
      <c r="F49" s="431"/>
      <c r="G49" s="830"/>
      <c r="H49" s="2020"/>
      <c r="I49" s="1986"/>
      <c r="J49" s="2020"/>
      <c r="K49" s="1986"/>
      <c r="L49" s="2020"/>
      <c r="M49" s="1986"/>
      <c r="N49" s="2020"/>
      <c r="O49" s="1986"/>
      <c r="P49" s="2020"/>
      <c r="Q49" s="1986"/>
      <c r="R49" s="2020"/>
      <c r="S49" s="1986"/>
    </row>
    <row r="50" spans="1:34" ht="15.75" thickBot="1">
      <c r="A50" s="1979"/>
      <c r="B50" s="1999"/>
      <c r="C50" s="23"/>
      <c r="D50" s="87"/>
      <c r="E50" s="86"/>
      <c r="F50" s="431"/>
      <c r="G50" s="830"/>
      <c r="H50" s="2020"/>
      <c r="I50" s="1986"/>
      <c r="J50" s="2020"/>
      <c r="K50" s="1986"/>
      <c r="L50" s="2020"/>
      <c r="M50" s="1986"/>
      <c r="N50" s="2020"/>
      <c r="O50" s="1986"/>
      <c r="P50" s="2020"/>
      <c r="Q50" s="1986"/>
      <c r="R50" s="2020"/>
      <c r="S50" s="1986"/>
    </row>
    <row r="51" spans="1:34" ht="15.75" thickTop="1">
      <c r="A51" s="296"/>
      <c r="B51" s="301"/>
      <c r="C51" s="297"/>
      <c r="D51" s="15"/>
      <c r="E51" s="16"/>
      <c r="F51" s="282" t="s">
        <v>753</v>
      </c>
      <c r="G51" s="272"/>
      <c r="H51" s="273"/>
      <c r="I51" s="273">
        <f>SUM(I12:I50)</f>
        <v>0</v>
      </c>
      <c r="J51" s="273"/>
      <c r="K51" s="273">
        <f>SUM(K12:K50)</f>
        <v>0</v>
      </c>
      <c r="L51" s="273"/>
      <c r="M51" s="273">
        <f>SUM(M12:M50)</f>
        <v>0</v>
      </c>
      <c r="N51" s="273"/>
      <c r="O51" s="273">
        <f>SUM(O12:O50)</f>
        <v>0</v>
      </c>
      <c r="P51" s="273"/>
      <c r="Q51" s="273">
        <f>SUM(Q12:Q50)</f>
        <v>0</v>
      </c>
      <c r="R51" s="273"/>
      <c r="S51" s="273">
        <f>SUM(S12:S50)</f>
        <v>0</v>
      </c>
    </row>
    <row r="52" spans="1:34">
      <c r="A52" s="1114"/>
      <c r="B52" s="2000"/>
      <c r="C52" s="432"/>
      <c r="D52" s="433"/>
      <c r="E52" s="434"/>
      <c r="F52" s="435" t="s">
        <v>754</v>
      </c>
      <c r="G52" s="436"/>
      <c r="H52" s="2003">
        <v>0</v>
      </c>
      <c r="I52" s="2002"/>
      <c r="J52" s="2003">
        <v>0</v>
      </c>
      <c r="K52" s="2002"/>
      <c r="L52" s="2003">
        <v>0</v>
      </c>
      <c r="M52" s="2002"/>
      <c r="N52" s="2003">
        <v>0</v>
      </c>
      <c r="O52" s="2002"/>
      <c r="P52" s="2003">
        <v>0</v>
      </c>
      <c r="Q52" s="2002"/>
      <c r="R52" s="2003">
        <v>0</v>
      </c>
      <c r="S52" s="2002"/>
    </row>
    <row r="53" spans="1:34">
      <c r="A53" s="1114"/>
      <c r="B53" s="2000"/>
      <c r="C53" s="432"/>
      <c r="D53" s="433"/>
      <c r="E53" s="434"/>
      <c r="F53" s="435" t="s">
        <v>755</v>
      </c>
      <c r="G53" s="436"/>
      <c r="H53" s="2002"/>
      <c r="I53" s="2002">
        <f>I51*H52</f>
        <v>0</v>
      </c>
      <c r="J53" s="2002"/>
      <c r="K53" s="2002">
        <f>K51*J52</f>
        <v>0</v>
      </c>
      <c r="L53" s="2002"/>
      <c r="M53" s="2002">
        <f>M51*L52</f>
        <v>0</v>
      </c>
      <c r="N53" s="2002"/>
      <c r="O53" s="2002">
        <f>O51*N52</f>
        <v>0</v>
      </c>
      <c r="P53" s="2002"/>
      <c r="Q53" s="2002">
        <f>Q51*P52</f>
        <v>0</v>
      </c>
      <c r="R53" s="2002"/>
      <c r="S53" s="2002">
        <f>S51*R52</f>
        <v>0</v>
      </c>
    </row>
    <row r="54" spans="1:34">
      <c r="A54" s="1114"/>
      <c r="B54" s="2000"/>
      <c r="C54" s="432"/>
      <c r="D54" s="433"/>
      <c r="E54" s="434"/>
      <c r="F54" s="435"/>
      <c r="G54" s="436"/>
      <c r="H54" s="2002"/>
      <c r="I54" s="2002"/>
      <c r="J54" s="2002"/>
      <c r="K54" s="2002"/>
      <c r="L54" s="2002"/>
      <c r="M54" s="2002"/>
      <c r="N54" s="2002"/>
      <c r="O54" s="2002"/>
      <c r="P54" s="2002"/>
      <c r="Q54" s="2002"/>
      <c r="R54" s="2002"/>
      <c r="S54" s="2002"/>
    </row>
    <row r="55" spans="1:34">
      <c r="A55" s="1114"/>
      <c r="B55" s="2000"/>
      <c r="C55" s="432"/>
      <c r="D55" s="433"/>
      <c r="E55" s="434"/>
      <c r="F55" s="435" t="s">
        <v>756</v>
      </c>
      <c r="G55" s="436"/>
      <c r="H55" s="2002"/>
      <c r="I55" s="2002">
        <f>SUM(I51:I53)</f>
        <v>0</v>
      </c>
      <c r="J55" s="2002"/>
      <c r="K55" s="2002">
        <f>SUM(K51:K53)</f>
        <v>0</v>
      </c>
      <c r="L55" s="2002"/>
      <c r="M55" s="2002">
        <f>SUM(M51:M53)</f>
        <v>0</v>
      </c>
      <c r="N55" s="2002"/>
      <c r="O55" s="2002">
        <f>SUM(O51:O53)</f>
        <v>0</v>
      </c>
      <c r="P55" s="2002"/>
      <c r="Q55" s="2002">
        <f>SUM(Q51:Q53)</f>
        <v>0</v>
      </c>
      <c r="R55" s="2002"/>
      <c r="S55" s="2002">
        <f>SUM(S51:S53)</f>
        <v>0</v>
      </c>
    </row>
    <row r="56" spans="1:34">
      <c r="A56" s="1114"/>
      <c r="B56" s="2000"/>
      <c r="C56" s="432"/>
      <c r="D56" s="433"/>
      <c r="E56" s="434"/>
      <c r="F56" s="437" t="s">
        <v>757</v>
      </c>
      <c r="G56" s="438"/>
      <c r="H56" s="2004"/>
      <c r="I56" s="2004">
        <f>I55/'Area Calculations'!$G$4</f>
        <v>0</v>
      </c>
      <c r="J56" s="2004"/>
      <c r="K56" s="2004">
        <f>K55/'Area Calculations'!$G$4</f>
        <v>0</v>
      </c>
      <c r="L56" s="2004"/>
      <c r="M56" s="2004">
        <f>M55/'Area Calculations'!$G$4</f>
        <v>0</v>
      </c>
      <c r="N56" s="2004"/>
      <c r="O56" s="2004">
        <f>O55/'Area Calculations'!$G$4</f>
        <v>0</v>
      </c>
      <c r="P56" s="2004"/>
      <c r="Q56" s="2004">
        <f>Q55/'Area Calculations'!$G$4</f>
        <v>0</v>
      </c>
      <c r="R56" s="2004"/>
      <c r="S56" s="2004">
        <f>S55/'Area Calculations'!$G$4</f>
        <v>0</v>
      </c>
    </row>
    <row r="57" spans="1:34">
      <c r="A57" s="1114"/>
      <c r="B57" s="2000"/>
      <c r="C57" s="432"/>
      <c r="D57" s="433"/>
      <c r="E57" s="434"/>
      <c r="F57" s="437" t="s">
        <v>758</v>
      </c>
      <c r="G57" s="438"/>
      <c r="H57" s="2004"/>
      <c r="I57" s="2004">
        <f>I55/'Area Calculations'!$G$9</f>
        <v>0</v>
      </c>
      <c r="J57" s="2004"/>
      <c r="K57" s="2004">
        <f>K55/'Area Calculations'!$G$9</f>
        <v>0</v>
      </c>
      <c r="L57" s="2004"/>
      <c r="M57" s="2004">
        <f>M55/'Area Calculations'!$G$9</f>
        <v>0</v>
      </c>
      <c r="N57" s="2004"/>
      <c r="O57" s="2004">
        <f>O55/'Area Calculations'!$G$9</f>
        <v>0</v>
      </c>
      <c r="P57" s="2004"/>
      <c r="Q57" s="2004">
        <f>Q55/'Area Calculations'!$G$9</f>
        <v>0</v>
      </c>
      <c r="R57" s="2004"/>
      <c r="S57" s="2004">
        <f>S55/'Area Calculations'!$G$9</f>
        <v>0</v>
      </c>
    </row>
    <row r="58" spans="1:34" ht="15.75" thickBot="1">
      <c r="A58" s="1114"/>
      <c r="B58" s="2000" t="s">
        <v>2651</v>
      </c>
      <c r="C58" s="432"/>
      <c r="D58" s="433"/>
      <c r="E58" s="434"/>
      <c r="F58" s="439"/>
      <c r="G58" s="436">
        <v>2.2000000000000001E-3</v>
      </c>
      <c r="H58" s="2005"/>
      <c r="I58" s="2005">
        <f>I54*$G$57</f>
        <v>0</v>
      </c>
      <c r="J58" s="2005"/>
      <c r="K58" s="2005">
        <f>K54*$G$57</f>
        <v>0</v>
      </c>
      <c r="L58" s="2005"/>
      <c r="M58" s="2005">
        <f>M54*$G$57</f>
        <v>0</v>
      </c>
      <c r="N58" s="2005"/>
      <c r="O58" s="2005">
        <f>O54*$G$57</f>
        <v>0</v>
      </c>
      <c r="P58" s="2005"/>
      <c r="Q58" s="2005">
        <f>Q54*$G$57</f>
        <v>0</v>
      </c>
      <c r="R58" s="2005"/>
      <c r="S58" s="2005">
        <f>S54*$G$57</f>
        <v>0</v>
      </c>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2030"/>
      <c r="B60" s="2006"/>
      <c r="C60" s="1396"/>
      <c r="D60" s="1981"/>
      <c r="E60" s="1981"/>
      <c r="F60" s="1981"/>
      <c r="G60" s="2031"/>
      <c r="H60" s="2032"/>
      <c r="I60" s="2033"/>
      <c r="J60" s="2033"/>
      <c r="K60" s="2033"/>
      <c r="L60" s="2033"/>
      <c r="M60" s="2033"/>
      <c r="N60" s="2033"/>
      <c r="O60" s="2033"/>
      <c r="P60" s="2033"/>
      <c r="Q60" s="2033"/>
      <c r="R60" s="2033"/>
      <c r="S60" s="2033"/>
    </row>
    <row r="61" spans="1:34">
      <c r="A61" s="2030"/>
      <c r="B61" s="2006"/>
      <c r="C61" s="1396"/>
      <c r="D61" s="1981"/>
      <c r="E61" s="1981"/>
      <c r="F61" s="1981"/>
      <c r="G61" s="2031"/>
      <c r="H61" s="2032"/>
      <c r="I61" s="2033"/>
      <c r="J61" s="2033"/>
      <c r="K61" s="2033"/>
      <c r="L61" s="2033"/>
      <c r="M61" s="2033"/>
      <c r="N61" s="2033"/>
      <c r="O61" s="2033"/>
      <c r="P61" s="2033"/>
      <c r="Q61" s="2033"/>
      <c r="R61" s="2033"/>
      <c r="S61" s="2033"/>
    </row>
    <row r="62" spans="1:34" ht="15.75" thickBot="1">
      <c r="A62" s="2030"/>
      <c r="B62" s="2006"/>
      <c r="C62" s="1396"/>
      <c r="D62" s="1981"/>
      <c r="E62" s="1981"/>
      <c r="F62" s="1981"/>
      <c r="G62" s="2031"/>
      <c r="H62" s="2032"/>
      <c r="I62" s="2033"/>
      <c r="J62" s="2033"/>
      <c r="K62" s="2033"/>
      <c r="L62" s="2033"/>
      <c r="M62" s="2033"/>
      <c r="N62" s="2033"/>
      <c r="O62" s="2033"/>
      <c r="P62" s="2033"/>
      <c r="Q62" s="2033"/>
      <c r="R62" s="2033"/>
      <c r="S62" s="2033"/>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2030"/>
      <c r="B64" s="2006"/>
      <c r="C64" s="1396"/>
      <c r="D64" s="1981"/>
      <c r="E64" s="1981"/>
      <c r="F64" s="1981"/>
      <c r="G64" s="2031"/>
      <c r="H64" s="2032"/>
      <c r="I64" s="2033"/>
      <c r="J64" s="2033"/>
      <c r="K64" s="2033"/>
      <c r="L64" s="2033"/>
      <c r="M64" s="2033"/>
      <c r="N64" s="2033"/>
      <c r="O64" s="2033"/>
      <c r="P64" s="2033"/>
      <c r="Q64" s="2033"/>
      <c r="R64" s="2033"/>
      <c r="S64" s="2033"/>
      <c r="T64"/>
      <c r="U64"/>
      <c r="V64"/>
      <c r="W64"/>
      <c r="X64"/>
      <c r="Y64"/>
      <c r="Z64"/>
      <c r="AA64"/>
      <c r="AB64"/>
      <c r="AC64"/>
      <c r="AD64"/>
      <c r="AE64"/>
      <c r="AF64"/>
      <c r="AG64"/>
      <c r="AH64"/>
    </row>
    <row r="65" spans="1:34" s="2" customFormat="1">
      <c r="A65" s="2030"/>
      <c r="B65" s="2006"/>
      <c r="C65" s="1396"/>
      <c r="D65" s="1981"/>
      <c r="E65" s="1981"/>
      <c r="F65" s="1981"/>
      <c r="G65" s="2031"/>
      <c r="H65" s="2032"/>
      <c r="I65" s="2033"/>
      <c r="J65" s="2033"/>
      <c r="K65" s="2033"/>
      <c r="L65" s="2033"/>
      <c r="M65" s="2033"/>
      <c r="N65" s="2033"/>
      <c r="O65" s="2033"/>
      <c r="P65" s="2033"/>
      <c r="Q65" s="2033"/>
      <c r="R65" s="2033"/>
      <c r="S65" s="2033"/>
      <c r="T65"/>
      <c r="U65"/>
      <c r="V65"/>
      <c r="W65"/>
      <c r="X65"/>
      <c r="Y65"/>
      <c r="Z65"/>
      <c r="AA65"/>
      <c r="AB65"/>
      <c r="AC65"/>
      <c r="AD65"/>
      <c r="AE65"/>
      <c r="AF65"/>
      <c r="AG65"/>
      <c r="AH65"/>
    </row>
    <row r="66" spans="1:34" ht="15.75" thickBot="1">
      <c r="A66" s="2030"/>
      <c r="B66" s="2006"/>
      <c r="C66" s="1396"/>
      <c r="D66" s="1981"/>
      <c r="E66" s="1981"/>
      <c r="F66" s="1981"/>
      <c r="G66" s="2031"/>
      <c r="H66" s="2032"/>
      <c r="I66" s="2033"/>
      <c r="J66" s="2033"/>
      <c r="K66" s="2033"/>
      <c r="L66" s="2033"/>
      <c r="M66" s="2033"/>
      <c r="N66" s="2033"/>
      <c r="O66" s="2033"/>
      <c r="P66" s="2033"/>
      <c r="Q66" s="2033"/>
      <c r="R66" s="2033"/>
      <c r="S66" s="2033"/>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2030"/>
      <c r="B68" s="2006"/>
      <c r="C68" s="1396"/>
      <c r="D68" s="1981"/>
      <c r="E68" s="1981"/>
      <c r="F68" s="1981"/>
      <c r="G68" s="2031"/>
      <c r="H68" s="2032"/>
      <c r="I68" s="2033"/>
      <c r="J68" s="2033"/>
      <c r="K68" s="2033"/>
      <c r="L68" s="2033"/>
      <c r="M68" s="2033"/>
      <c r="N68" s="2033"/>
      <c r="O68" s="2033"/>
      <c r="P68" s="2033"/>
      <c r="Q68" s="2033"/>
      <c r="R68" s="2033"/>
      <c r="S68" s="2033"/>
      <c r="T68"/>
      <c r="U68"/>
      <c r="V68"/>
      <c r="W68"/>
      <c r="X68"/>
      <c r="Y68"/>
      <c r="Z68"/>
      <c r="AA68"/>
      <c r="AB68"/>
      <c r="AC68"/>
      <c r="AD68"/>
      <c r="AE68"/>
      <c r="AF68"/>
      <c r="AG68"/>
      <c r="AH68"/>
    </row>
    <row r="69" spans="1:34" s="2" customFormat="1">
      <c r="A69" s="1124"/>
      <c r="B69" s="2006"/>
      <c r="C69" s="415"/>
      <c r="D69" s="422"/>
      <c r="E69" s="422"/>
      <c r="F69" s="422"/>
      <c r="G69" s="831"/>
      <c r="H69" s="440"/>
      <c r="I69" s="2007"/>
      <c r="J69" s="2007"/>
      <c r="K69" s="2007"/>
      <c r="L69" s="2007"/>
      <c r="M69" s="2007"/>
      <c r="N69" s="2007"/>
      <c r="O69" s="2007"/>
      <c r="P69" s="2007"/>
      <c r="Q69" s="2007"/>
      <c r="R69" s="2007"/>
      <c r="S69" s="2007"/>
      <c r="T69"/>
      <c r="U69"/>
      <c r="V69"/>
      <c r="W69"/>
      <c r="X69"/>
      <c r="Y69"/>
      <c r="Z69"/>
      <c r="AA69"/>
      <c r="AB69"/>
      <c r="AC69"/>
      <c r="AD69"/>
      <c r="AE69"/>
      <c r="AF69"/>
      <c r="AG69"/>
      <c r="AH69"/>
    </row>
    <row r="70" spans="1:34" s="2" customFormat="1" ht="15.75" thickBot="1">
      <c r="A70" s="1126"/>
      <c r="B70" s="2008"/>
      <c r="C70" s="415"/>
      <c r="D70" s="422"/>
      <c r="E70" s="422"/>
      <c r="F70" s="422"/>
      <c r="G70" s="831"/>
      <c r="H70" s="441"/>
      <c r="I70" s="2009"/>
      <c r="J70" s="2009"/>
      <c r="K70" s="2009"/>
      <c r="L70" s="2009"/>
      <c r="M70" s="2009"/>
      <c r="N70" s="2009"/>
      <c r="O70" s="2009"/>
      <c r="P70" s="2009"/>
      <c r="Q70" s="2009"/>
      <c r="R70" s="2009"/>
      <c r="S70" s="2009"/>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2034"/>
      <c r="B72" s="2035"/>
      <c r="C72" s="1396"/>
      <c r="D72" s="1981"/>
      <c r="E72" s="1981"/>
      <c r="F72" s="1981"/>
      <c r="G72" s="2031"/>
      <c r="H72" s="2032"/>
      <c r="I72" s="2033"/>
      <c r="J72" s="2033"/>
      <c r="K72" s="2033"/>
      <c r="L72" s="2033"/>
      <c r="M72" s="2033"/>
      <c r="N72" s="2033"/>
      <c r="O72" s="2033"/>
      <c r="P72" s="2033"/>
      <c r="Q72" s="2033"/>
      <c r="R72" s="2033"/>
      <c r="S72" s="2033"/>
      <c r="T72" s="2"/>
      <c r="U72" s="2"/>
      <c r="V72" s="2"/>
      <c r="W72" s="2"/>
      <c r="X72" s="2"/>
      <c r="Y72" s="2"/>
      <c r="Z72" s="2"/>
      <c r="AA72" s="2"/>
      <c r="AB72" s="2"/>
      <c r="AC72" s="2"/>
      <c r="AD72" s="2"/>
      <c r="AE72" s="2"/>
      <c r="AF72" s="2"/>
      <c r="AG72" s="2"/>
      <c r="AH72" s="2"/>
    </row>
    <row r="73" spans="1:34">
      <c r="A73" s="1126"/>
      <c r="B73" s="2008"/>
      <c r="C73" s="415"/>
      <c r="D73" s="422"/>
      <c r="E73" s="422"/>
      <c r="F73" s="422"/>
      <c r="G73" s="831"/>
      <c r="H73" s="442"/>
      <c r="I73" s="2010"/>
      <c r="J73" s="2010"/>
      <c r="K73" s="2010"/>
      <c r="L73" s="2010"/>
      <c r="M73" s="2010"/>
      <c r="N73" s="2010"/>
      <c r="O73" s="2010"/>
      <c r="P73" s="2010"/>
      <c r="Q73" s="2010"/>
      <c r="R73" s="2010"/>
      <c r="S73" s="2010"/>
      <c r="T73" s="2"/>
      <c r="U73" s="2"/>
      <c r="V73" s="2"/>
      <c r="W73" s="2"/>
      <c r="X73" s="2"/>
      <c r="Y73" s="2"/>
      <c r="Z73" s="2"/>
      <c r="AA73" s="2"/>
      <c r="AB73" s="2"/>
      <c r="AC73" s="2"/>
      <c r="AD73" s="2"/>
      <c r="AE73" s="2"/>
      <c r="AF73" s="2"/>
      <c r="AG73" s="2"/>
      <c r="AH73" s="2"/>
    </row>
    <row r="74" spans="1:34" ht="15.75" thickBot="1">
      <c r="A74" s="1126"/>
      <c r="B74" s="2008"/>
      <c r="C74" s="415"/>
      <c r="D74" s="422"/>
      <c r="E74" s="422"/>
      <c r="F74" s="422"/>
      <c r="G74" s="831"/>
      <c r="H74" s="442"/>
      <c r="I74" s="2010"/>
      <c r="J74" s="2010"/>
      <c r="K74" s="2010"/>
      <c r="L74" s="2010"/>
      <c r="M74" s="2010"/>
      <c r="N74" s="2010"/>
      <c r="O74" s="2010"/>
      <c r="P74" s="2010"/>
      <c r="Q74" s="2010"/>
      <c r="R74" s="2010"/>
      <c r="S74" s="2010"/>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2006" t="s">
        <v>764</v>
      </c>
      <c r="C76" s="415"/>
      <c r="D76" s="422"/>
      <c r="E76" s="422"/>
      <c r="F76" s="422"/>
      <c r="G76" s="831"/>
      <c r="H76" s="442"/>
      <c r="I76" s="2010"/>
      <c r="J76" s="2010"/>
      <c r="K76" s="2010"/>
      <c r="L76" s="2010"/>
      <c r="M76" s="2010"/>
      <c r="N76" s="2010"/>
      <c r="O76" s="2010"/>
      <c r="P76" s="2010"/>
      <c r="Q76" s="2010"/>
      <c r="R76" s="2010"/>
      <c r="S76" s="2010"/>
    </row>
    <row r="77" spans="1:34">
      <c r="A77" s="1124"/>
      <c r="B77" s="2006" t="s">
        <v>765</v>
      </c>
      <c r="C77" s="415"/>
      <c r="D77" s="422"/>
      <c r="E77" s="422"/>
      <c r="F77" s="422"/>
      <c r="G77" s="831"/>
      <c r="H77" s="442"/>
      <c r="I77" s="2010"/>
      <c r="J77" s="2010"/>
      <c r="K77" s="2010"/>
      <c r="L77" s="2010"/>
      <c r="M77" s="2010"/>
      <c r="N77" s="2010"/>
      <c r="O77" s="2010"/>
      <c r="P77" s="2010"/>
      <c r="Q77" s="2010"/>
      <c r="R77" s="2010"/>
      <c r="S77" s="2010"/>
    </row>
    <row r="78" spans="1:34">
      <c r="A78" s="1124"/>
      <c r="B78" s="2006" t="s">
        <v>766</v>
      </c>
      <c r="C78" s="415"/>
      <c r="D78" s="422"/>
      <c r="E78" s="422"/>
      <c r="F78" s="422"/>
      <c r="G78" s="831"/>
      <c r="H78" s="442"/>
      <c r="I78" s="2010"/>
      <c r="J78" s="2010"/>
      <c r="K78" s="2010"/>
      <c r="L78" s="2010"/>
      <c r="M78" s="2010"/>
      <c r="N78" s="2010"/>
      <c r="O78" s="2010"/>
      <c r="P78" s="2010"/>
      <c r="Q78" s="2010"/>
      <c r="R78" s="2010"/>
      <c r="S78" s="2010"/>
    </row>
    <row r="79" spans="1:34">
      <c r="A79" s="1124"/>
      <c r="B79" s="2006" t="s">
        <v>767</v>
      </c>
      <c r="C79" s="415"/>
      <c r="D79" s="422"/>
      <c r="E79" s="422"/>
      <c r="F79" s="422"/>
      <c r="G79" s="831"/>
      <c r="H79" s="442"/>
      <c r="I79" s="2010"/>
      <c r="J79" s="2010"/>
      <c r="K79" s="2010"/>
      <c r="L79" s="2010"/>
      <c r="M79" s="2010"/>
      <c r="N79" s="2010"/>
      <c r="O79" s="2010"/>
      <c r="P79" s="2010"/>
      <c r="Q79" s="2010"/>
      <c r="R79" s="2010"/>
      <c r="S79" s="2010"/>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2030"/>
      <c r="B82" s="2036" t="s">
        <v>769</v>
      </c>
      <c r="C82" s="1396"/>
      <c r="D82" s="1981"/>
      <c r="E82" s="1981"/>
      <c r="F82" s="1981"/>
      <c r="G82" s="2031"/>
      <c r="H82" s="2037"/>
      <c r="I82" s="2038"/>
      <c r="J82" s="2038"/>
      <c r="K82" s="2038"/>
      <c r="L82" s="2038"/>
      <c r="M82" s="2038"/>
      <c r="N82" s="2038"/>
      <c r="O82" s="2038"/>
      <c r="P82" s="2038"/>
      <c r="Q82" s="2038"/>
      <c r="R82" s="2038"/>
      <c r="S82" s="2038"/>
    </row>
    <row r="83" spans="1:19">
      <c r="A83" s="1124"/>
      <c r="B83" s="2006" t="s">
        <v>770</v>
      </c>
      <c r="C83" s="415"/>
      <c r="D83" s="422"/>
      <c r="E83" s="422"/>
      <c r="F83" s="422"/>
      <c r="G83" s="831"/>
      <c r="H83" s="445"/>
      <c r="I83" s="2011"/>
      <c r="J83" s="2011"/>
      <c r="K83" s="2011"/>
      <c r="L83" s="2011"/>
      <c r="M83" s="2011"/>
      <c r="N83" s="2011"/>
      <c r="O83" s="2011"/>
      <c r="P83" s="2011"/>
      <c r="Q83" s="2011"/>
      <c r="R83" s="2011"/>
      <c r="S83" s="2011"/>
    </row>
    <row r="84" spans="1:19" ht="15.75" thickBot="1">
      <c r="A84" s="1183"/>
      <c r="B84" s="1184" t="s">
        <v>771</v>
      </c>
      <c r="C84" s="1185"/>
      <c r="D84" s="1186"/>
      <c r="E84" s="1186"/>
      <c r="F84" s="1186"/>
      <c r="G84" s="1187"/>
      <c r="H84" s="1188"/>
      <c r="I84" s="1189"/>
      <c r="J84" s="1189"/>
      <c r="K84" s="1189"/>
      <c r="L84" s="1189"/>
      <c r="M84" s="1189"/>
      <c r="N84" s="1189"/>
      <c r="O84" s="1189"/>
      <c r="P84" s="1189"/>
      <c r="Q84" s="1189"/>
      <c r="R84" s="1189"/>
      <c r="S84" s="1189"/>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2039"/>
      <c r="F87" s="2"/>
      <c r="G87" s="2"/>
      <c r="H87" s="2"/>
      <c r="I87" s="2"/>
      <c r="J87" s="2"/>
      <c r="K87" s="2"/>
      <c r="L87" s="2"/>
      <c r="M87" s="2"/>
      <c r="N87" s="2"/>
      <c r="O87" s="2"/>
      <c r="P87" s="2"/>
      <c r="Q87" s="2"/>
      <c r="R87" s="2"/>
      <c r="S87" s="2"/>
    </row>
    <row r="88" spans="1:19">
      <c r="A88" s="1142" t="s">
        <v>702</v>
      </c>
      <c r="B88" s="2039"/>
      <c r="F88" s="2"/>
      <c r="G88" s="2"/>
      <c r="H88" s="2"/>
      <c r="I88" s="2"/>
      <c r="J88" s="2"/>
      <c r="K88" s="2"/>
      <c r="L88" s="2"/>
      <c r="M88" s="2"/>
      <c r="N88" s="2"/>
      <c r="O88" s="2"/>
      <c r="P88" s="2"/>
      <c r="Q88" s="2"/>
      <c r="R88" s="2"/>
      <c r="S88" s="2"/>
    </row>
    <row r="89" spans="1:19">
      <c r="A89" s="2013" t="s">
        <v>708</v>
      </c>
      <c r="B89" s="2014"/>
      <c r="F89" s="2"/>
      <c r="G89" s="2"/>
      <c r="H89" s="2"/>
      <c r="I89" s="2"/>
      <c r="J89" s="2"/>
      <c r="K89" s="2"/>
      <c r="L89" s="2"/>
      <c r="M89" s="2"/>
      <c r="N89" s="2"/>
      <c r="O89" s="2"/>
      <c r="P89" s="2"/>
      <c r="Q89" s="2"/>
      <c r="R89" s="2"/>
      <c r="S89" s="2"/>
    </row>
    <row r="90" spans="1:19">
      <c r="A90" s="2013" t="s">
        <v>713</v>
      </c>
      <c r="B90" s="2015"/>
      <c r="F90" s="2"/>
      <c r="G90" s="2"/>
      <c r="H90" s="2"/>
      <c r="I90" s="2"/>
      <c r="J90" s="2"/>
      <c r="K90" s="2"/>
      <c r="L90" s="2"/>
      <c r="M90" s="2"/>
      <c r="N90" s="2"/>
      <c r="O90" s="2"/>
      <c r="P90" s="2"/>
      <c r="Q90" s="2"/>
      <c r="R90" s="2"/>
      <c r="S90" s="2"/>
    </row>
    <row r="91" spans="1:19" ht="15.75" thickBot="1">
      <c r="A91" s="1194" t="s">
        <v>69</v>
      </c>
      <c r="B91" s="1195"/>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4:I4"/>
    <mergeCell ref="J4:K4"/>
    <mergeCell ref="L4:M4"/>
    <mergeCell ref="N4:O4"/>
    <mergeCell ref="P4:Q4"/>
    <mergeCell ref="R4:S4"/>
    <mergeCell ref="H5:I5"/>
    <mergeCell ref="J5:K5"/>
    <mergeCell ref="L5:M5"/>
    <mergeCell ref="N5:O5"/>
    <mergeCell ref="P5:Q5"/>
  </mergeCells>
  <conditionalFormatting sqref="H11:H18 J11:J18 L11:L18 N11:N18 P11:P18 R11:R18">
    <cfRule type="cellIs" dxfId="97" priority="13" operator="equal">
      <formula>"X"</formula>
    </cfRule>
    <cfRule type="cellIs" dxfId="96" priority="14" operator="equal">
      <formula>"I"</formula>
    </cfRule>
  </conditionalFormatting>
  <conditionalFormatting sqref="H20:H50">
    <cfRule type="cellIs" dxfId="95" priority="1" operator="equal">
      <formula>"X"</formula>
    </cfRule>
    <cfRule type="cellIs" dxfId="94" priority="2" operator="equal">
      <formula>"I"</formula>
    </cfRule>
  </conditionalFormatting>
  <conditionalFormatting sqref="J20:J50">
    <cfRule type="cellIs" dxfId="93" priority="3" operator="equal">
      <formula>"X"</formula>
    </cfRule>
    <cfRule type="cellIs" dxfId="92" priority="4" operator="equal">
      <formula>"I"</formula>
    </cfRule>
  </conditionalFormatting>
  <conditionalFormatting sqref="L20:L50">
    <cfRule type="cellIs" dxfId="91" priority="5" operator="equal">
      <formula>"X"</formula>
    </cfRule>
    <cfRule type="cellIs" dxfId="90" priority="6" operator="equal">
      <formula>"I"</formula>
    </cfRule>
  </conditionalFormatting>
  <conditionalFormatting sqref="N20:N50">
    <cfRule type="cellIs" dxfId="89" priority="7" operator="equal">
      <formula>"X"</formula>
    </cfRule>
    <cfRule type="cellIs" dxfId="88" priority="8" operator="equal">
      <formula>"I"</formula>
    </cfRule>
  </conditionalFormatting>
  <conditionalFormatting sqref="P20:P50">
    <cfRule type="cellIs" dxfId="87" priority="9" operator="equal">
      <formula>"X"</formula>
    </cfRule>
    <cfRule type="cellIs" dxfId="86" priority="10" operator="equal">
      <formula>"I"</formula>
    </cfRule>
  </conditionalFormatting>
  <conditionalFormatting sqref="R20:R50">
    <cfRule type="cellIs" dxfId="85" priority="11" operator="equal">
      <formula>"X"</formula>
    </cfRule>
    <cfRule type="cellIs" dxfId="84" priority="12" operator="equal">
      <formula>"I"</formula>
    </cfRule>
  </conditionalFormatting>
  <hyperlinks>
    <hyperlink ref="B4" location="'Cost Summary'!A1" display="BACK TO SUMMARY SHEET" xr:uid="{B19AC00B-8768-4A7E-A744-41410EB5F75F}"/>
  </hyperlink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F032-A882-4FFA-88F8-D0C9F91C5E8E}">
  <sheetPr>
    <tabColor theme="5" tint="0.39997558519241921"/>
  </sheetPr>
  <dimension ref="A1:AO95"/>
  <sheetViews>
    <sheetView zoomScale="90" zoomScaleNormal="90" workbookViewId="0">
      <pane xSplit="2" ySplit="10" topLeftCell="C13" activePane="bottomRight" state="frozen"/>
      <selection pane="topRight" activeCell="C1" sqref="C1"/>
      <selection pane="bottomLeft" activeCell="A10" sqref="A10"/>
      <selection pane="bottomRight" activeCell="B4" sqref="B4"/>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customHeight="1">
      <c r="D3" s="260"/>
      <c r="E3" s="68"/>
      <c r="F3" s="277" t="s">
        <v>682</v>
      </c>
      <c r="G3" s="269" t="s">
        <v>683</v>
      </c>
      <c r="H3" s="2417">
        <v>4074055624</v>
      </c>
      <c r="I3" s="2417"/>
      <c r="X3" s="261"/>
    </row>
    <row r="4" spans="1:24">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33" t="s">
        <v>2652</v>
      </c>
      <c r="I5" s="2334"/>
      <c r="J5" s="2321"/>
      <c r="K5" s="2322"/>
      <c r="L5" s="2321"/>
      <c r="M5" s="2322"/>
      <c r="N5" s="2321"/>
      <c r="O5" s="2322"/>
      <c r="P5" s="2333"/>
      <c r="Q5" s="2334"/>
      <c r="R5" s="2333"/>
      <c r="S5" s="2334"/>
      <c r="X5" s="261"/>
    </row>
    <row r="6" spans="1:24">
      <c r="A6" s="1082" t="s">
        <v>700</v>
      </c>
      <c r="B6" s="2016" t="s">
        <v>2653</v>
      </c>
      <c r="C6" s="415"/>
      <c r="D6" s="416"/>
      <c r="E6" s="417"/>
      <c r="F6" s="418"/>
      <c r="G6" s="419" t="s">
        <v>702</v>
      </c>
      <c r="H6" s="2313" t="s">
        <v>2654</v>
      </c>
      <c r="I6" s="2314"/>
      <c r="J6" s="2325"/>
      <c r="K6" s="2326"/>
      <c r="L6" s="2325"/>
      <c r="M6" s="2326"/>
      <c r="N6" s="2325"/>
      <c r="O6" s="2326"/>
      <c r="P6" s="2313"/>
      <c r="Q6" s="2314"/>
      <c r="R6" s="2313"/>
      <c r="S6" s="2314"/>
      <c r="X6" s="261"/>
    </row>
    <row r="7" spans="1:24">
      <c r="A7" s="1082" t="s">
        <v>706</v>
      </c>
      <c r="B7" s="2017" t="s">
        <v>2655</v>
      </c>
      <c r="C7" s="415"/>
      <c r="D7" s="416"/>
      <c r="E7" s="417"/>
      <c r="F7" s="418"/>
      <c r="G7" s="829" t="s">
        <v>708</v>
      </c>
      <c r="H7" s="2398">
        <v>7272166200</v>
      </c>
      <c r="I7" s="2399"/>
      <c r="J7" s="2325"/>
      <c r="K7" s="2326"/>
      <c r="L7" s="2325"/>
      <c r="M7" s="2326"/>
      <c r="N7" s="2325"/>
      <c r="O7" s="2326"/>
      <c r="P7" s="2313"/>
      <c r="Q7" s="2314"/>
      <c r="R7" s="2313"/>
      <c r="S7" s="2314"/>
      <c r="X7" s="261"/>
    </row>
    <row r="8" spans="1:24">
      <c r="A8" s="1082" t="s">
        <v>712</v>
      </c>
      <c r="B8" s="2018"/>
      <c r="C8" s="415"/>
      <c r="D8" s="416"/>
      <c r="E8" s="417"/>
      <c r="F8" s="418"/>
      <c r="G8" s="829" t="s">
        <v>713</v>
      </c>
      <c r="H8" s="2418" t="s">
        <v>2656</v>
      </c>
      <c r="I8" s="2316"/>
      <c r="J8" s="2329"/>
      <c r="K8" s="2328"/>
      <c r="L8" s="2329"/>
      <c r="M8" s="2328"/>
      <c r="N8" s="2329"/>
      <c r="O8" s="2328"/>
      <c r="P8" s="2315"/>
      <c r="Q8" s="2316"/>
      <c r="R8" s="2315"/>
      <c r="S8" s="2316"/>
      <c r="X8" s="261"/>
    </row>
    <row r="9" spans="1:24" ht="15.75" thickBot="1">
      <c r="A9" s="420"/>
      <c r="B9" s="421"/>
      <c r="C9" s="23"/>
      <c r="D9" s="265"/>
      <c r="E9" s="266"/>
      <c r="F9" s="283"/>
      <c r="G9" s="284" t="s">
        <v>717</v>
      </c>
      <c r="H9" s="2317"/>
      <c r="I9" s="2318"/>
      <c r="J9" s="2317"/>
      <c r="K9" s="2318"/>
      <c r="L9" s="2317"/>
      <c r="M9" s="2318"/>
      <c r="N9" s="2330"/>
      <c r="O9" s="2330"/>
      <c r="P9" s="2317"/>
      <c r="Q9" s="2318"/>
      <c r="R9" s="2317"/>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2040"/>
      <c r="B11" s="2041" t="s">
        <v>725</v>
      </c>
      <c r="C11" s="1398"/>
      <c r="D11" s="2042"/>
      <c r="E11" s="2042"/>
      <c r="F11" s="2043"/>
      <c r="G11" s="2044"/>
      <c r="H11" s="2045"/>
      <c r="I11" s="2046"/>
      <c r="J11" s="2045"/>
      <c r="K11" s="285"/>
      <c r="L11" s="2045"/>
      <c r="M11" s="2047"/>
      <c r="N11" s="2045"/>
      <c r="O11" s="2047"/>
      <c r="P11" s="2045"/>
      <c r="Q11" s="2047"/>
      <c r="R11" s="2045"/>
      <c r="S11" s="2047"/>
    </row>
    <row r="12" spans="1:24">
      <c r="A12" s="2040"/>
      <c r="B12" s="2019" t="s">
        <v>726</v>
      </c>
      <c r="C12" s="446"/>
      <c r="D12" s="422"/>
      <c r="E12" s="422"/>
      <c r="F12" s="418"/>
      <c r="G12" s="423"/>
      <c r="H12" s="2020"/>
      <c r="I12" s="2046"/>
      <c r="J12" s="2020"/>
      <c r="K12" s="2047"/>
      <c r="L12" s="2020"/>
      <c r="M12" s="2047"/>
      <c r="N12" s="2020"/>
      <c r="O12" s="2047"/>
      <c r="P12" s="2020"/>
      <c r="Q12" s="2047"/>
      <c r="R12" s="2020"/>
      <c r="S12" s="2047"/>
    </row>
    <row r="13" spans="1:24">
      <c r="A13" s="1097"/>
      <c r="B13" s="2019" t="s">
        <v>728</v>
      </c>
      <c r="C13" s="446"/>
      <c r="D13" s="422"/>
      <c r="E13" s="422"/>
      <c r="F13" s="418"/>
      <c r="G13" s="423"/>
      <c r="H13" s="2020"/>
      <c r="I13" s="2046"/>
      <c r="J13" s="2020"/>
      <c r="K13" s="2047"/>
      <c r="L13" s="2020"/>
      <c r="M13" s="2047"/>
      <c r="N13" s="2020"/>
      <c r="O13" s="2047"/>
      <c r="P13" s="2020"/>
      <c r="Q13" s="2047"/>
      <c r="R13" s="2020"/>
      <c r="S13" s="2047"/>
    </row>
    <row r="14" spans="1:24">
      <c r="A14" s="2040"/>
      <c r="B14" s="2021" t="s">
        <v>729</v>
      </c>
      <c r="C14" s="446"/>
      <c r="D14" s="422"/>
      <c r="E14" s="422"/>
      <c r="F14" s="418"/>
      <c r="G14" s="423"/>
      <c r="H14" s="2020"/>
      <c r="I14" s="2046"/>
      <c r="J14" s="2020"/>
      <c r="K14" s="2047"/>
      <c r="L14" s="2020"/>
      <c r="M14" s="2047"/>
      <c r="N14" s="2020"/>
      <c r="O14" s="2047"/>
      <c r="P14" s="2020"/>
      <c r="Q14" s="2047"/>
      <c r="R14" s="2020"/>
      <c r="S14" s="2047"/>
    </row>
    <row r="15" spans="1:24">
      <c r="A15" s="1097"/>
      <c r="B15" s="2021" t="s">
        <v>731</v>
      </c>
      <c r="C15" s="446"/>
      <c r="D15" s="422"/>
      <c r="E15" s="422"/>
      <c r="F15" s="418"/>
      <c r="G15" s="423"/>
      <c r="H15" s="2020"/>
      <c r="I15" s="2046"/>
      <c r="J15" s="2020"/>
      <c r="K15" s="2046"/>
      <c r="L15" s="2020"/>
      <c r="M15" s="2046"/>
      <c r="N15" s="2020"/>
      <c r="O15" s="2046"/>
      <c r="P15" s="2020"/>
      <c r="Q15" s="2046"/>
      <c r="R15" s="2020"/>
      <c r="S15" s="2046"/>
    </row>
    <row r="16" spans="1:24">
      <c r="A16" s="2040"/>
      <c r="B16" s="2021" t="s">
        <v>2657</v>
      </c>
      <c r="C16" s="446"/>
      <c r="D16" s="422"/>
      <c r="E16" s="422"/>
      <c r="F16" s="418"/>
      <c r="G16" s="423"/>
      <c r="H16" s="2020"/>
      <c r="I16" s="2046"/>
      <c r="J16" s="2020"/>
      <c r="K16" s="2047"/>
      <c r="L16" s="2020"/>
      <c r="M16" s="2047"/>
      <c r="N16" s="2020"/>
      <c r="O16" s="2047"/>
      <c r="P16" s="2020"/>
      <c r="Q16" s="2047"/>
      <c r="R16" s="2020"/>
      <c r="S16" s="2047"/>
    </row>
    <row r="17" spans="1:41">
      <c r="A17" s="1097"/>
      <c r="B17" s="2021" t="s">
        <v>732</v>
      </c>
      <c r="C17" s="446"/>
      <c r="D17" s="422"/>
      <c r="E17" s="422"/>
      <c r="F17" s="418"/>
      <c r="G17" s="423"/>
      <c r="H17" s="2020"/>
      <c r="I17" s="2046"/>
      <c r="J17" s="2020"/>
      <c r="K17" s="2047"/>
      <c r="L17" s="2020"/>
      <c r="M17" s="2047"/>
      <c r="N17" s="2020"/>
      <c r="O17" s="2047"/>
      <c r="P17" s="2020"/>
      <c r="Q17" s="2047"/>
      <c r="R17" s="2020"/>
      <c r="S17" s="2047"/>
    </row>
    <row r="18" spans="1:41">
      <c r="A18" s="2040"/>
      <c r="B18" s="534" t="s">
        <v>734</v>
      </c>
      <c r="C18" s="446"/>
      <c r="D18" s="422"/>
      <c r="E18" s="422"/>
      <c r="F18" s="418"/>
      <c r="G18" s="423"/>
      <c r="H18" s="2020"/>
      <c r="I18" s="2046"/>
      <c r="J18" s="2020"/>
      <c r="K18" s="2047"/>
      <c r="L18" s="2020"/>
      <c r="M18" s="2047"/>
      <c r="N18" s="2020"/>
      <c r="O18" s="2047"/>
      <c r="P18" s="2020"/>
      <c r="Q18" s="2047"/>
      <c r="R18" s="2020"/>
      <c r="S18" s="2047"/>
    </row>
    <row r="19" spans="1:41">
      <c r="A19" s="2040"/>
      <c r="B19" s="1988" t="s">
        <v>733</v>
      </c>
      <c r="C19" s="446"/>
      <c r="D19" s="422"/>
      <c r="E19" s="422"/>
      <c r="F19" s="418"/>
      <c r="G19" s="423"/>
      <c r="H19" s="2020"/>
      <c r="I19" s="2046"/>
      <c r="J19" s="2020"/>
      <c r="K19" s="2047"/>
      <c r="L19" s="2020"/>
      <c r="M19" s="2047"/>
      <c r="N19" s="2020"/>
      <c r="O19" s="2047"/>
      <c r="P19" s="2020"/>
      <c r="Q19" s="2047"/>
      <c r="R19" s="2020"/>
      <c r="S19" s="2047"/>
    </row>
    <row r="20" spans="1:41">
      <c r="A20" s="1097"/>
      <c r="B20" s="2048" t="s">
        <v>737</v>
      </c>
      <c r="C20" s="447"/>
      <c r="D20" s="425"/>
      <c r="E20" s="425"/>
      <c r="F20" s="426"/>
      <c r="G20" s="427"/>
      <c r="H20" s="1989"/>
      <c r="I20" s="2049">
        <v>300130</v>
      </c>
      <c r="J20" s="1989"/>
      <c r="K20" s="2050"/>
      <c r="L20" s="1989"/>
      <c r="M20" s="2050"/>
      <c r="N20" s="1989"/>
      <c r="O20" s="2050"/>
      <c r="P20" s="1989"/>
      <c r="Q20" s="2050"/>
      <c r="R20" s="1989"/>
      <c r="S20" s="2050"/>
    </row>
    <row r="21" spans="1:41">
      <c r="A21" s="2040"/>
      <c r="B21" s="1104"/>
      <c r="C21" s="70"/>
      <c r="D21" s="86"/>
      <c r="E21" s="86"/>
      <c r="F21" s="280"/>
      <c r="G21" s="274"/>
      <c r="H21" s="2020"/>
      <c r="I21" s="428"/>
      <c r="J21" s="2020"/>
      <c r="K21" s="428"/>
      <c r="L21" s="2020"/>
      <c r="M21" s="428"/>
      <c r="N21" s="2020"/>
      <c r="O21" s="428"/>
      <c r="P21" s="2020"/>
      <c r="Q21" s="428"/>
      <c r="R21" s="2020"/>
      <c r="S21" s="428"/>
    </row>
    <row r="22" spans="1:41" s="69" customFormat="1">
      <c r="A22" s="1097"/>
      <c r="B22" s="2006" t="s">
        <v>2658</v>
      </c>
      <c r="C22" s="415" t="s">
        <v>2659</v>
      </c>
      <c r="D22" s="422">
        <v>1</v>
      </c>
      <c r="E22" s="422"/>
      <c r="F22" s="429"/>
      <c r="G22" s="423"/>
      <c r="H22" s="2020" t="s">
        <v>727</v>
      </c>
      <c r="I22" s="1107"/>
      <c r="J22" s="2020"/>
      <c r="K22" s="1992"/>
      <c r="L22" s="2020"/>
      <c r="M22" s="1992"/>
      <c r="N22" s="2020"/>
      <c r="O22" s="1107"/>
      <c r="P22" s="2020"/>
      <c r="Q22" s="1107"/>
      <c r="R22" s="2020"/>
      <c r="S22" s="1992"/>
      <c r="T22"/>
      <c r="U22"/>
      <c r="V22"/>
      <c r="W22"/>
      <c r="X22"/>
      <c r="Y22"/>
      <c r="Z22"/>
      <c r="AA22"/>
      <c r="AB22"/>
      <c r="AC22"/>
      <c r="AD22"/>
      <c r="AE22"/>
      <c r="AF22"/>
      <c r="AG22"/>
      <c r="AH22"/>
      <c r="AI22"/>
      <c r="AJ22"/>
      <c r="AK22"/>
      <c r="AL22"/>
      <c r="AM22"/>
      <c r="AN22"/>
      <c r="AO22"/>
    </row>
    <row r="23" spans="1:41">
      <c r="A23" s="2040"/>
      <c r="B23" s="2051" t="s">
        <v>2660</v>
      </c>
      <c r="C23" s="415" t="s">
        <v>2659</v>
      </c>
      <c r="D23" s="422">
        <v>3</v>
      </c>
      <c r="E23" s="2042"/>
      <c r="F23" s="2052"/>
      <c r="G23" s="2053"/>
      <c r="H23" s="2020" t="s">
        <v>727</v>
      </c>
      <c r="I23" s="2047"/>
      <c r="J23" s="2020"/>
      <c r="K23" s="2047"/>
      <c r="L23" s="2020"/>
      <c r="M23" s="2047"/>
      <c r="N23" s="2020"/>
      <c r="O23" s="2047"/>
      <c r="P23" s="2020"/>
      <c r="Q23" s="2047"/>
      <c r="R23" s="2020"/>
      <c r="S23" s="2047"/>
    </row>
    <row r="24" spans="1:41">
      <c r="A24" s="1097"/>
      <c r="B24" s="2051" t="s">
        <v>2661</v>
      </c>
      <c r="C24" s="415"/>
      <c r="D24" s="430"/>
      <c r="E24" s="422"/>
      <c r="F24" s="431"/>
      <c r="G24" s="2053"/>
      <c r="H24" s="2020" t="s">
        <v>727</v>
      </c>
      <c r="I24" s="2047"/>
      <c r="J24" s="2020"/>
      <c r="K24" s="2047"/>
      <c r="L24" s="2020"/>
      <c r="M24" s="2047"/>
      <c r="N24" s="2020"/>
      <c r="O24" s="2047"/>
      <c r="P24" s="2020"/>
      <c r="Q24" s="2047"/>
      <c r="R24" s="2020"/>
      <c r="S24" s="2047"/>
    </row>
    <row r="25" spans="1:41">
      <c r="A25" s="2040"/>
      <c r="B25" s="2051" t="s">
        <v>2662</v>
      </c>
      <c r="C25" s="415"/>
      <c r="D25" s="430"/>
      <c r="E25" s="422"/>
      <c r="F25" s="431"/>
      <c r="G25" s="2053"/>
      <c r="H25" s="2020" t="s">
        <v>727</v>
      </c>
      <c r="I25" s="2047"/>
      <c r="J25" s="2020"/>
      <c r="K25" s="2047"/>
      <c r="L25" s="2020"/>
      <c r="M25" s="2047"/>
      <c r="N25" s="2020"/>
      <c r="O25" s="2047"/>
      <c r="P25" s="2020"/>
      <c r="Q25" s="2047"/>
      <c r="R25" s="2020"/>
      <c r="S25" s="2047"/>
    </row>
    <row r="26" spans="1:41">
      <c r="A26" s="2040"/>
      <c r="B26" s="2051" t="s">
        <v>2663</v>
      </c>
      <c r="C26" s="415" t="s">
        <v>2659</v>
      </c>
      <c r="D26" s="430"/>
      <c r="E26" s="422"/>
      <c r="F26" s="431"/>
      <c r="G26" s="2053"/>
      <c r="H26" s="2020" t="s">
        <v>727</v>
      </c>
      <c r="I26" s="2047"/>
      <c r="J26" s="2020"/>
      <c r="K26" s="2047"/>
      <c r="L26" s="2020"/>
      <c r="M26" s="2047"/>
      <c r="N26" s="2020"/>
      <c r="O26" s="2047"/>
      <c r="P26" s="2020"/>
      <c r="Q26" s="2047"/>
      <c r="R26" s="2020"/>
      <c r="S26" s="2047"/>
    </row>
    <row r="27" spans="1:41">
      <c r="A27" s="2040"/>
      <c r="B27" s="2051" t="s">
        <v>2664</v>
      </c>
      <c r="C27" s="415" t="s">
        <v>2659</v>
      </c>
      <c r="D27" s="430"/>
      <c r="E27" s="422"/>
      <c r="F27" s="431"/>
      <c r="G27" s="2053"/>
      <c r="H27" s="2020" t="s">
        <v>727</v>
      </c>
      <c r="I27" s="2047"/>
      <c r="J27" s="2020"/>
      <c r="K27" s="2047"/>
      <c r="L27" s="2020"/>
      <c r="M27" s="2047"/>
      <c r="N27" s="2020"/>
      <c r="O27" s="2047"/>
      <c r="P27" s="2020"/>
      <c r="Q27" s="2047"/>
      <c r="R27" s="2020"/>
      <c r="S27" s="2047"/>
    </row>
    <row r="28" spans="1:41">
      <c r="A28" s="1097"/>
      <c r="B28" s="2051" t="s">
        <v>2665</v>
      </c>
      <c r="C28" s="415" t="s">
        <v>2659</v>
      </c>
      <c r="D28" s="430"/>
      <c r="E28" s="422"/>
      <c r="F28" s="431"/>
      <c r="G28" s="2053"/>
      <c r="H28" s="2020" t="s">
        <v>727</v>
      </c>
      <c r="I28" s="2047"/>
      <c r="J28" s="2020"/>
      <c r="K28" s="2047"/>
      <c r="L28" s="2020"/>
      <c r="M28" s="2047"/>
      <c r="N28" s="2020"/>
      <c r="O28" s="2047"/>
      <c r="P28" s="2020"/>
      <c r="Q28" s="2047"/>
      <c r="R28" s="2020"/>
      <c r="S28" s="2047"/>
    </row>
    <row r="29" spans="1:41" ht="25.5">
      <c r="A29" s="2040"/>
      <c r="B29" s="2051" t="s">
        <v>2666</v>
      </c>
      <c r="C29" s="415" t="s">
        <v>2659</v>
      </c>
      <c r="D29" s="430"/>
      <c r="E29" s="422"/>
      <c r="F29" s="431"/>
      <c r="G29" s="2053"/>
      <c r="H29" s="2020" t="s">
        <v>727</v>
      </c>
      <c r="I29" s="2047"/>
      <c r="J29" s="2020"/>
      <c r="K29" s="2047"/>
      <c r="L29" s="2020"/>
      <c r="M29" s="2047"/>
      <c r="N29" s="2020"/>
      <c r="O29" s="2047"/>
      <c r="P29" s="2020"/>
      <c r="Q29" s="2047"/>
      <c r="R29" s="2020"/>
      <c r="S29" s="2047"/>
    </row>
    <row r="30" spans="1:41">
      <c r="A30" s="1097"/>
      <c r="B30" s="2051"/>
      <c r="C30" s="415"/>
      <c r="D30" s="430"/>
      <c r="E30" s="422"/>
      <c r="F30" s="431"/>
      <c r="G30" s="2053"/>
      <c r="H30" s="2020"/>
      <c r="I30" s="2047"/>
      <c r="J30" s="2020"/>
      <c r="K30" s="2047"/>
      <c r="L30" s="2020"/>
      <c r="M30" s="2047"/>
      <c r="N30" s="2020"/>
      <c r="O30" s="2047"/>
      <c r="P30" s="2020"/>
      <c r="Q30" s="2047"/>
      <c r="R30" s="2020"/>
      <c r="S30" s="2047"/>
    </row>
    <row r="31" spans="1:41">
      <c r="A31" s="2040"/>
      <c r="B31" s="2051"/>
      <c r="C31" s="415"/>
      <c r="D31" s="430"/>
      <c r="E31" s="422"/>
      <c r="F31" s="431"/>
      <c r="G31" s="2053"/>
      <c r="H31" s="2020"/>
      <c r="I31" s="2047"/>
      <c r="J31" s="2020"/>
      <c r="K31" s="2047"/>
      <c r="L31" s="2020"/>
      <c r="M31" s="2047"/>
      <c r="N31" s="2020"/>
      <c r="O31" s="2047"/>
      <c r="P31" s="2020"/>
      <c r="Q31" s="2047"/>
      <c r="R31" s="2020"/>
      <c r="S31" s="2047"/>
    </row>
    <row r="32" spans="1:41">
      <c r="A32" s="1097"/>
      <c r="B32" s="2051"/>
      <c r="C32" s="415"/>
      <c r="D32" s="430"/>
      <c r="E32" s="422"/>
      <c r="F32" s="431"/>
      <c r="G32" s="2053"/>
      <c r="H32" s="2020"/>
      <c r="I32" s="2047"/>
      <c r="J32" s="2020"/>
      <c r="K32" s="2047"/>
      <c r="L32" s="2020"/>
      <c r="M32" s="2047"/>
      <c r="N32" s="2020"/>
      <c r="O32" s="2047"/>
      <c r="P32" s="2020"/>
      <c r="Q32" s="2047"/>
      <c r="R32" s="2020"/>
      <c r="S32" s="2047"/>
    </row>
    <row r="33" spans="1:19">
      <c r="A33" s="2040"/>
      <c r="B33" s="2051"/>
      <c r="C33" s="415"/>
      <c r="D33" s="430"/>
      <c r="E33" s="422"/>
      <c r="F33" s="431"/>
      <c r="G33" s="2053"/>
      <c r="H33" s="2020"/>
      <c r="I33" s="2047"/>
      <c r="J33" s="2020"/>
      <c r="K33" s="2047"/>
      <c r="L33" s="2020"/>
      <c r="M33" s="2047"/>
      <c r="N33" s="2020"/>
      <c r="O33" s="2047"/>
      <c r="P33" s="2020"/>
      <c r="Q33" s="2047"/>
      <c r="R33" s="2020"/>
      <c r="S33" s="2047"/>
    </row>
    <row r="34" spans="1:19">
      <c r="A34" s="1097"/>
      <c r="B34" s="2051"/>
      <c r="C34" s="415"/>
      <c r="D34" s="430"/>
      <c r="E34" s="422"/>
      <c r="F34" s="431"/>
      <c r="G34" s="2053"/>
      <c r="H34" s="2020"/>
      <c r="I34" s="2047"/>
      <c r="J34" s="2020"/>
      <c r="K34" s="2047"/>
      <c r="L34" s="2020"/>
      <c r="M34" s="2047"/>
      <c r="N34" s="2020"/>
      <c r="O34" s="2047"/>
      <c r="P34" s="2020"/>
      <c r="Q34" s="2047"/>
      <c r="R34" s="2020"/>
      <c r="S34" s="2047"/>
    </row>
    <row r="35" spans="1:19">
      <c r="A35" s="2040"/>
      <c r="B35" s="1999"/>
      <c r="C35" s="23"/>
      <c r="D35" s="430"/>
      <c r="E35" s="422"/>
      <c r="F35" s="431"/>
      <c r="G35" s="2053"/>
      <c r="H35" s="2020"/>
      <c r="I35" s="2047"/>
      <c r="J35" s="2020"/>
      <c r="K35" s="2047"/>
      <c r="L35" s="2020"/>
      <c r="M35" s="2047"/>
      <c r="N35" s="2020"/>
      <c r="O35" s="2047"/>
      <c r="P35" s="2020"/>
      <c r="Q35" s="2047"/>
      <c r="R35" s="2020"/>
      <c r="S35" s="2047"/>
    </row>
    <row r="36" spans="1:19">
      <c r="A36" s="1097"/>
      <c r="B36" s="1999"/>
      <c r="C36" s="23"/>
      <c r="D36" s="87"/>
      <c r="E36" s="86"/>
      <c r="F36" s="431"/>
      <c r="G36" s="2053"/>
      <c r="H36" s="2020"/>
      <c r="I36" s="2047"/>
      <c r="J36" s="2020"/>
      <c r="K36" s="2047"/>
      <c r="L36" s="2020"/>
      <c r="M36" s="2047"/>
      <c r="N36" s="2020"/>
      <c r="O36" s="2047"/>
      <c r="P36" s="2020"/>
      <c r="Q36" s="2047"/>
      <c r="R36" s="2020"/>
      <c r="S36" s="2047"/>
    </row>
    <row r="37" spans="1:19">
      <c r="A37" s="2040"/>
      <c r="B37" s="1999"/>
      <c r="C37" s="23"/>
      <c r="D37" s="87"/>
      <c r="E37" s="86"/>
      <c r="F37" s="431"/>
      <c r="G37" s="2053"/>
      <c r="H37" s="2020"/>
      <c r="I37" s="2047"/>
      <c r="J37" s="2020"/>
      <c r="K37" s="2047"/>
      <c r="L37" s="2020"/>
      <c r="M37" s="2047"/>
      <c r="N37" s="2020"/>
      <c r="O37" s="2047"/>
      <c r="P37" s="2020"/>
      <c r="Q37" s="2047"/>
      <c r="R37" s="2020"/>
      <c r="S37" s="2047"/>
    </row>
    <row r="38" spans="1:19">
      <c r="A38" s="2040"/>
      <c r="B38" s="1999"/>
      <c r="C38" s="23"/>
      <c r="D38" s="87"/>
      <c r="E38" s="86"/>
      <c r="F38" s="431"/>
      <c r="G38" s="2053"/>
      <c r="H38" s="2020"/>
      <c r="I38" s="2047"/>
      <c r="J38" s="2020"/>
      <c r="K38" s="2047"/>
      <c r="L38" s="2020"/>
      <c r="M38" s="2047"/>
      <c r="N38" s="2020"/>
      <c r="O38" s="2047"/>
      <c r="P38" s="2020"/>
      <c r="Q38" s="2047"/>
      <c r="R38" s="2020"/>
      <c r="S38" s="2047"/>
    </row>
    <row r="39" spans="1:19">
      <c r="A39" s="2040"/>
      <c r="B39" s="1999"/>
      <c r="C39" s="23"/>
      <c r="D39" s="87"/>
      <c r="E39" s="86"/>
      <c r="F39" s="431"/>
      <c r="G39" s="2053"/>
      <c r="H39" s="2020"/>
      <c r="I39" s="2047"/>
      <c r="J39" s="2020"/>
      <c r="K39" s="2047"/>
      <c r="L39" s="2020"/>
      <c r="M39" s="2047"/>
      <c r="N39" s="2020"/>
      <c r="O39" s="2047"/>
      <c r="P39" s="2020"/>
      <c r="Q39" s="2047"/>
      <c r="R39" s="2020"/>
      <c r="S39" s="2047"/>
    </row>
    <row r="40" spans="1:19">
      <c r="A40" s="2040"/>
      <c r="B40" s="1999"/>
      <c r="C40" s="23"/>
      <c r="D40" s="87"/>
      <c r="E40" s="86"/>
      <c r="F40" s="431"/>
      <c r="G40" s="2053"/>
      <c r="H40" s="2020"/>
      <c r="I40" s="2047"/>
      <c r="J40" s="2020"/>
      <c r="K40" s="2047"/>
      <c r="L40" s="2020"/>
      <c r="M40" s="2047"/>
      <c r="N40" s="2020"/>
      <c r="O40" s="2047"/>
      <c r="P40" s="2020"/>
      <c r="Q40" s="2047"/>
      <c r="R40" s="2020"/>
      <c r="S40" s="2047"/>
    </row>
    <row r="41" spans="1:19">
      <c r="A41" s="2040"/>
      <c r="B41" s="1999"/>
      <c r="C41" s="23"/>
      <c r="D41" s="87"/>
      <c r="E41" s="86"/>
      <c r="F41" s="431"/>
      <c r="G41" s="2053"/>
      <c r="H41" s="2020"/>
      <c r="I41" s="2047"/>
      <c r="J41" s="2020"/>
      <c r="K41" s="2047"/>
      <c r="L41" s="2020"/>
      <c r="M41" s="2047"/>
      <c r="N41" s="2020"/>
      <c r="O41" s="2047"/>
      <c r="P41" s="2020"/>
      <c r="Q41" s="2047"/>
      <c r="R41" s="2020"/>
      <c r="S41" s="2047"/>
    </row>
    <row r="42" spans="1:19">
      <c r="A42" s="2040"/>
      <c r="B42" s="1999"/>
      <c r="C42" s="23"/>
      <c r="D42" s="87"/>
      <c r="E42" s="86"/>
      <c r="F42" s="431"/>
      <c r="G42" s="2053"/>
      <c r="H42" s="2020"/>
      <c r="I42" s="2047"/>
      <c r="J42" s="2020"/>
      <c r="K42" s="2047"/>
      <c r="L42" s="2020"/>
      <c r="M42" s="2047"/>
      <c r="N42" s="2020"/>
      <c r="O42" s="2047"/>
      <c r="P42" s="2020"/>
      <c r="Q42" s="2047"/>
      <c r="R42" s="2020"/>
      <c r="S42" s="2047"/>
    </row>
    <row r="43" spans="1:19">
      <c r="A43" s="2040"/>
      <c r="B43" s="1999"/>
      <c r="C43" s="23"/>
      <c r="D43" s="87"/>
      <c r="E43" s="86"/>
      <c r="F43" s="431"/>
      <c r="G43" s="2053"/>
      <c r="H43" s="2020"/>
      <c r="I43" s="2047"/>
      <c r="J43" s="2020"/>
      <c r="K43" s="2047"/>
      <c r="L43" s="2020"/>
      <c r="M43" s="2047"/>
      <c r="N43" s="2020"/>
      <c r="O43" s="2047"/>
      <c r="P43" s="2020"/>
      <c r="Q43" s="2047"/>
      <c r="R43" s="2020"/>
      <c r="S43" s="2047"/>
    </row>
    <row r="44" spans="1:19">
      <c r="A44" s="2040"/>
      <c r="B44" s="1999"/>
      <c r="C44" s="23"/>
      <c r="D44" s="87"/>
      <c r="E44" s="86"/>
      <c r="F44" s="431"/>
      <c r="G44" s="2053"/>
      <c r="H44" s="2020"/>
      <c r="I44" s="2047"/>
      <c r="J44" s="2020"/>
      <c r="K44" s="2047"/>
      <c r="L44" s="2020"/>
      <c r="M44" s="2047"/>
      <c r="N44" s="2020"/>
      <c r="O44" s="2047"/>
      <c r="P44" s="2020"/>
      <c r="Q44" s="2047"/>
      <c r="R44" s="2020"/>
      <c r="S44" s="2047"/>
    </row>
    <row r="45" spans="1:19">
      <c r="A45" s="2040"/>
      <c r="B45" s="1999"/>
      <c r="C45" s="23"/>
      <c r="D45" s="87"/>
      <c r="E45" s="86"/>
      <c r="F45" s="431"/>
      <c r="G45" s="2053"/>
      <c r="H45" s="2020"/>
      <c r="I45" s="2047"/>
      <c r="J45" s="2020"/>
      <c r="K45" s="2047"/>
      <c r="L45" s="2020"/>
      <c r="M45" s="2047"/>
      <c r="N45" s="2020"/>
      <c r="O45" s="2047"/>
      <c r="P45" s="2020"/>
      <c r="Q45" s="2047"/>
      <c r="R45" s="2020"/>
      <c r="S45" s="2047"/>
    </row>
    <row r="46" spans="1:19">
      <c r="A46" s="2040"/>
      <c r="B46" s="1999"/>
      <c r="C46" s="23"/>
      <c r="D46" s="87"/>
      <c r="E46" s="86"/>
      <c r="F46" s="431"/>
      <c r="G46" s="2053"/>
      <c r="H46" s="2020"/>
      <c r="I46" s="2047"/>
      <c r="J46" s="2020"/>
      <c r="K46" s="2047"/>
      <c r="L46" s="2020"/>
      <c r="M46" s="2047"/>
      <c r="N46" s="2020"/>
      <c r="O46" s="2047"/>
      <c r="P46" s="2020"/>
      <c r="Q46" s="2047"/>
      <c r="R46" s="2020"/>
      <c r="S46" s="2047"/>
    </row>
    <row r="47" spans="1:19">
      <c r="A47" s="2040"/>
      <c r="B47" s="1999"/>
      <c r="C47" s="23"/>
      <c r="D47" s="87"/>
      <c r="E47" s="86"/>
      <c r="F47" s="431"/>
      <c r="G47" s="2053"/>
      <c r="H47" s="2020"/>
      <c r="I47" s="2047"/>
      <c r="J47" s="2020"/>
      <c r="K47" s="2047"/>
      <c r="L47" s="2020"/>
      <c r="M47" s="2047"/>
      <c r="N47" s="2020"/>
      <c r="O47" s="2047"/>
      <c r="P47" s="2020"/>
      <c r="Q47" s="2047"/>
      <c r="R47" s="2020"/>
      <c r="S47" s="2047"/>
    </row>
    <row r="48" spans="1:19">
      <c r="A48" s="2040"/>
      <c r="B48" s="1999"/>
      <c r="C48" s="23"/>
      <c r="D48" s="87"/>
      <c r="E48" s="86"/>
      <c r="F48" s="431"/>
      <c r="G48" s="2053"/>
      <c r="H48" s="2020"/>
      <c r="I48" s="2047"/>
      <c r="J48" s="2020"/>
      <c r="K48" s="2047"/>
      <c r="L48" s="2020"/>
      <c r="M48" s="2047"/>
      <c r="N48" s="2020"/>
      <c r="O48" s="2047"/>
      <c r="P48" s="2020"/>
      <c r="Q48" s="2047"/>
      <c r="R48" s="2020"/>
      <c r="S48" s="2047"/>
    </row>
    <row r="49" spans="1:19">
      <c r="A49" s="2040"/>
      <c r="B49" s="1999"/>
      <c r="C49" s="23"/>
      <c r="D49" s="87"/>
      <c r="E49" s="86"/>
      <c r="F49" s="431"/>
      <c r="G49" s="2053"/>
      <c r="H49" s="2020"/>
      <c r="I49" s="2047"/>
      <c r="J49" s="2020"/>
      <c r="K49" s="2047"/>
      <c r="L49" s="2020"/>
      <c r="M49" s="2047"/>
      <c r="N49" s="2020"/>
      <c r="O49" s="2047"/>
      <c r="P49" s="2020"/>
      <c r="Q49" s="2047"/>
      <c r="R49" s="2020"/>
      <c r="S49" s="2047"/>
    </row>
    <row r="50" spans="1:19">
      <c r="A50" s="2040"/>
      <c r="B50" s="1999"/>
      <c r="C50" s="23"/>
      <c r="D50" s="87"/>
      <c r="E50" s="86"/>
      <c r="F50" s="431"/>
      <c r="G50" s="2053"/>
      <c r="H50" s="2020"/>
      <c r="I50" s="2047"/>
      <c r="J50" s="2020"/>
      <c r="K50" s="2047"/>
      <c r="L50" s="2020"/>
      <c r="M50" s="2047"/>
      <c r="N50" s="2020"/>
      <c r="O50" s="2047"/>
      <c r="P50" s="2020"/>
      <c r="Q50" s="2047"/>
      <c r="R50" s="2020"/>
      <c r="S50" s="2047"/>
    </row>
    <row r="51" spans="1:19">
      <c r="A51" s="2040"/>
      <c r="B51" s="1999"/>
      <c r="C51" s="23"/>
      <c r="D51" s="87"/>
      <c r="E51" s="86"/>
      <c r="F51" s="431"/>
      <c r="G51" s="2053"/>
      <c r="H51" s="2020"/>
      <c r="I51" s="2047"/>
      <c r="J51" s="2020"/>
      <c r="K51" s="2047"/>
      <c r="L51" s="2020"/>
      <c r="M51" s="2047"/>
      <c r="N51" s="2020"/>
      <c r="O51" s="2047"/>
      <c r="P51" s="2020"/>
      <c r="Q51" s="2047"/>
      <c r="R51" s="2020"/>
      <c r="S51" s="2047"/>
    </row>
    <row r="52" spans="1:19">
      <c r="A52" s="2040"/>
      <c r="B52" s="1999"/>
      <c r="C52" s="23"/>
      <c r="D52" s="87"/>
      <c r="E52" s="86"/>
      <c r="F52" s="431"/>
      <c r="G52" s="830"/>
      <c r="H52" s="2020"/>
      <c r="I52" s="2047"/>
      <c r="J52" s="2020"/>
      <c r="K52" s="2047"/>
      <c r="L52" s="2020"/>
      <c r="M52" s="2047"/>
      <c r="N52" s="2020"/>
      <c r="O52" s="2047"/>
      <c r="P52" s="2020"/>
      <c r="Q52" s="2047"/>
      <c r="R52" s="2020"/>
      <c r="S52" s="2047"/>
    </row>
    <row r="53" spans="1:19" ht="15.75" thickBot="1">
      <c r="A53" s="2040"/>
      <c r="B53" s="1999"/>
      <c r="C53" s="23"/>
      <c r="D53" s="87"/>
      <c r="E53" s="86"/>
      <c r="F53" s="431"/>
      <c r="G53" s="830"/>
      <c r="H53" s="2020"/>
      <c r="I53" s="2047"/>
      <c r="J53" s="2020"/>
      <c r="K53" s="2047"/>
      <c r="L53" s="2020"/>
      <c r="M53" s="2047"/>
      <c r="N53" s="2020"/>
      <c r="O53" s="2047"/>
      <c r="P53" s="2020"/>
      <c r="Q53" s="2047"/>
      <c r="R53" s="2020"/>
      <c r="S53" s="2047"/>
    </row>
    <row r="54" spans="1:19" ht="15.75" thickTop="1">
      <c r="A54" s="296"/>
      <c r="B54" s="301"/>
      <c r="C54" s="297"/>
      <c r="D54" s="15"/>
      <c r="E54" s="16"/>
      <c r="F54" s="282" t="s">
        <v>753</v>
      </c>
      <c r="G54" s="272" t="s">
        <v>69</v>
      </c>
      <c r="H54" s="273"/>
      <c r="I54" s="273">
        <f>SUM(I12:I53)</f>
        <v>300130</v>
      </c>
      <c r="J54" s="273"/>
      <c r="K54" s="273">
        <f>SUM(K12:K53)</f>
        <v>0</v>
      </c>
      <c r="L54" s="273"/>
      <c r="M54" s="273">
        <f>SUM(M12:M53)</f>
        <v>0</v>
      </c>
      <c r="N54" s="273"/>
      <c r="O54" s="273">
        <f>SUM(O12:O53)</f>
        <v>0</v>
      </c>
      <c r="P54" s="273"/>
      <c r="Q54" s="273">
        <f>SUM(Q12:Q53)</f>
        <v>0</v>
      </c>
      <c r="R54" s="273"/>
      <c r="S54" s="273">
        <f>SUM(S12:S53)</f>
        <v>0</v>
      </c>
    </row>
    <row r="55" spans="1:19">
      <c r="A55" s="1114"/>
      <c r="B55" s="2000"/>
      <c r="C55" s="432"/>
      <c r="D55" s="433"/>
      <c r="E55" s="434"/>
      <c r="F55" s="435" t="s">
        <v>754</v>
      </c>
      <c r="G55" s="436"/>
      <c r="H55" s="2003">
        <v>0</v>
      </c>
      <c r="I55" s="2002"/>
      <c r="J55" s="2003">
        <v>0</v>
      </c>
      <c r="K55" s="2002"/>
      <c r="L55" s="2003">
        <v>0</v>
      </c>
      <c r="M55" s="2002"/>
      <c r="N55" s="2003">
        <v>0</v>
      </c>
      <c r="O55" s="2002"/>
      <c r="P55" s="2003">
        <v>0</v>
      </c>
      <c r="Q55" s="2002"/>
      <c r="R55" s="2003">
        <v>0</v>
      </c>
      <c r="S55" s="2002"/>
    </row>
    <row r="56" spans="1:19">
      <c r="A56" s="1114"/>
      <c r="B56" s="2000"/>
      <c r="C56" s="432"/>
      <c r="D56" s="433"/>
      <c r="E56" s="434"/>
      <c r="F56" s="435" t="s">
        <v>755</v>
      </c>
      <c r="G56" s="436"/>
      <c r="H56" s="2002"/>
      <c r="I56" s="2002">
        <f>I54*H55</f>
        <v>0</v>
      </c>
      <c r="J56" s="2002"/>
      <c r="K56" s="2002">
        <f>K54*J55</f>
        <v>0</v>
      </c>
      <c r="L56" s="2002"/>
      <c r="M56" s="2002">
        <f>M54*L55</f>
        <v>0</v>
      </c>
      <c r="N56" s="2002"/>
      <c r="O56" s="2002">
        <f>O54*N55</f>
        <v>0</v>
      </c>
      <c r="P56" s="2002"/>
      <c r="Q56" s="2002">
        <f>Q54*P55</f>
        <v>0</v>
      </c>
      <c r="R56" s="2002"/>
      <c r="S56" s="2002">
        <f>S54*R55</f>
        <v>0</v>
      </c>
    </row>
    <row r="57" spans="1:19">
      <c r="A57" s="1114"/>
      <c r="B57" s="2000"/>
      <c r="C57" s="432"/>
      <c r="D57" s="433"/>
      <c r="E57" s="434"/>
      <c r="F57" s="435"/>
      <c r="G57" s="436"/>
      <c r="H57" s="2002"/>
      <c r="I57" s="2002"/>
      <c r="J57" s="2002"/>
      <c r="K57" s="2002"/>
      <c r="L57" s="2002"/>
      <c r="M57" s="2002"/>
      <c r="N57" s="2002"/>
      <c r="O57" s="2002"/>
      <c r="P57" s="2002"/>
      <c r="Q57" s="2002"/>
      <c r="R57" s="2002"/>
      <c r="S57" s="2002"/>
    </row>
    <row r="58" spans="1:19">
      <c r="A58" s="1114"/>
      <c r="B58" s="2000"/>
      <c r="C58" s="432"/>
      <c r="D58" s="433"/>
      <c r="E58" s="434"/>
      <c r="F58" s="435" t="s">
        <v>756</v>
      </c>
      <c r="G58" s="436"/>
      <c r="H58" s="2002"/>
      <c r="I58" s="2002">
        <f>SUM(I54:I56)</f>
        <v>300130</v>
      </c>
      <c r="J58" s="2002"/>
      <c r="K58" s="2002">
        <f>SUM(K54:K56)</f>
        <v>0</v>
      </c>
      <c r="L58" s="2002"/>
      <c r="M58" s="2002">
        <f>SUM(M54:M56)</f>
        <v>0</v>
      </c>
      <c r="N58" s="2002"/>
      <c r="O58" s="2002">
        <f>SUM(O54:O56)</f>
        <v>0</v>
      </c>
      <c r="P58" s="2002"/>
      <c r="Q58" s="2002">
        <f>SUM(Q54:Q56)</f>
        <v>0</v>
      </c>
      <c r="R58" s="2002"/>
      <c r="S58" s="2002">
        <f>SUM(S54:S56)</f>
        <v>0</v>
      </c>
    </row>
    <row r="59" spans="1:19">
      <c r="A59" s="1114"/>
      <c r="B59" s="2000"/>
      <c r="C59" s="432"/>
      <c r="D59" s="433"/>
      <c r="E59" s="434"/>
      <c r="F59" s="437" t="s">
        <v>757</v>
      </c>
      <c r="G59" s="438"/>
      <c r="H59" s="2004"/>
      <c r="I59" s="2004">
        <f>I58/'Area Calculations'!$G$4</f>
        <v>0.51866112054857494</v>
      </c>
      <c r="J59" s="2004"/>
      <c r="K59" s="2004">
        <f>K58/'Area Calculations'!$G$4</f>
        <v>0</v>
      </c>
      <c r="L59" s="2004"/>
      <c r="M59" s="2004">
        <f>M58/'Area Calculations'!$G$4</f>
        <v>0</v>
      </c>
      <c r="N59" s="2004"/>
      <c r="O59" s="2004">
        <f>O58/'Area Calculations'!$G$4</f>
        <v>0</v>
      </c>
      <c r="P59" s="2004"/>
      <c r="Q59" s="2004">
        <f>Q58/'Area Calculations'!$G$4</f>
        <v>0</v>
      </c>
      <c r="R59" s="2004"/>
      <c r="S59" s="2004">
        <f>S58/'Area Calculations'!$G$4</f>
        <v>0</v>
      </c>
    </row>
    <row r="60" spans="1:19">
      <c r="A60" s="1114"/>
      <c r="B60" s="2000"/>
      <c r="C60" s="432"/>
      <c r="D60" s="433"/>
      <c r="E60" s="434"/>
      <c r="F60" s="437" t="s">
        <v>758</v>
      </c>
      <c r="G60" s="438"/>
      <c r="H60" s="2004"/>
      <c r="I60" s="2004">
        <f>I58/'Area Calculations'!$G$9</f>
        <v>2804.9532710280373</v>
      </c>
      <c r="J60" s="2004"/>
      <c r="K60" s="2004">
        <f>K58/'Area Calculations'!$G$9</f>
        <v>0</v>
      </c>
      <c r="L60" s="2004"/>
      <c r="M60" s="2004">
        <f>M58/'Area Calculations'!$G$9</f>
        <v>0</v>
      </c>
      <c r="N60" s="2004"/>
      <c r="O60" s="2004">
        <f>O58/'Area Calculations'!$G$9</f>
        <v>0</v>
      </c>
      <c r="P60" s="2004"/>
      <c r="Q60" s="2004">
        <f>Q58/'Area Calculations'!$G$9</f>
        <v>0</v>
      </c>
      <c r="R60" s="2004"/>
      <c r="S60" s="2004">
        <f>S58/'Area Calculations'!$G$9</f>
        <v>0</v>
      </c>
    </row>
    <row r="61" spans="1:19" ht="15.75" thickBot="1">
      <c r="A61" s="1114"/>
      <c r="B61" s="2000" t="s">
        <v>2651</v>
      </c>
      <c r="C61" s="432"/>
      <c r="D61" s="433"/>
      <c r="E61" s="434"/>
      <c r="F61" s="439"/>
      <c r="G61" s="436">
        <v>2.2000000000000001E-3</v>
      </c>
      <c r="H61" s="2005"/>
      <c r="I61" s="2005">
        <f>I57*$G$52</f>
        <v>0</v>
      </c>
      <c r="J61" s="2005"/>
      <c r="K61" s="2005">
        <f>K57*$G$52</f>
        <v>0</v>
      </c>
      <c r="L61" s="2005"/>
      <c r="M61" s="2005">
        <f>M57*$G$52</f>
        <v>0</v>
      </c>
      <c r="N61" s="2005"/>
      <c r="O61" s="2005">
        <f>O57*$G$52</f>
        <v>0</v>
      </c>
      <c r="P61" s="2005"/>
      <c r="Q61" s="2005">
        <f>Q57*$G$52</f>
        <v>0</v>
      </c>
      <c r="R61" s="2005"/>
      <c r="S61" s="2005">
        <f>S57*$G$52</f>
        <v>0</v>
      </c>
    </row>
    <row r="62" spans="1:19" ht="16.5" thickTop="1" thickBot="1">
      <c r="A62" s="2331" t="s">
        <v>759</v>
      </c>
      <c r="B62" s="2332"/>
      <c r="C62" s="298"/>
      <c r="D62" s="12"/>
      <c r="E62" s="12"/>
      <c r="F62" s="12"/>
      <c r="G62" s="26"/>
      <c r="H62" s="24"/>
      <c r="I62" s="20"/>
      <c r="J62" s="20"/>
      <c r="K62" s="20"/>
      <c r="L62" s="20"/>
      <c r="M62" s="20"/>
      <c r="N62" s="20"/>
      <c r="O62" s="20"/>
      <c r="P62" s="20"/>
      <c r="Q62" s="20"/>
      <c r="R62" s="20"/>
      <c r="S62" s="20"/>
    </row>
    <row r="63" spans="1:19" ht="15.75" thickTop="1">
      <c r="A63" s="2054"/>
      <c r="B63" s="2006"/>
      <c r="C63" s="1396"/>
      <c r="D63" s="2042"/>
      <c r="E63" s="2042"/>
      <c r="F63" s="2042"/>
      <c r="G63" s="2055"/>
      <c r="H63" s="2056"/>
      <c r="I63" s="2057"/>
      <c r="J63" s="2057"/>
      <c r="K63" s="2057"/>
      <c r="L63" s="2057"/>
      <c r="M63" s="2057"/>
      <c r="N63" s="2057"/>
      <c r="O63" s="2057"/>
      <c r="P63" s="2057"/>
      <c r="Q63" s="2057"/>
      <c r="R63" s="2057"/>
      <c r="S63" s="2057"/>
    </row>
    <row r="64" spans="1:19">
      <c r="A64" s="2054"/>
      <c r="B64" s="2006"/>
      <c r="C64" s="1396"/>
      <c r="D64" s="2042"/>
      <c r="E64" s="2042"/>
      <c r="F64" s="2042"/>
      <c r="G64" s="2055"/>
      <c r="H64" s="2056"/>
      <c r="I64" s="2057"/>
      <c r="J64" s="2057"/>
      <c r="K64" s="2057"/>
      <c r="L64" s="2057"/>
      <c r="M64" s="2057"/>
      <c r="N64" s="2057"/>
      <c r="O64" s="2057"/>
      <c r="P64" s="2057"/>
      <c r="Q64" s="2057"/>
      <c r="R64" s="2057"/>
      <c r="S64" s="2057"/>
    </row>
    <row r="65" spans="1:34" ht="15.75" thickBot="1">
      <c r="A65" s="2054"/>
      <c r="B65" s="2006"/>
      <c r="C65" s="1396"/>
      <c r="D65" s="2042"/>
      <c r="E65" s="2042"/>
      <c r="F65" s="2042"/>
      <c r="G65" s="2055"/>
      <c r="H65" s="2056"/>
      <c r="I65" s="2057"/>
      <c r="J65" s="2057"/>
      <c r="K65" s="2057"/>
      <c r="L65" s="2057"/>
      <c r="M65" s="2057"/>
      <c r="N65" s="2057"/>
      <c r="O65" s="2057"/>
      <c r="P65" s="2057"/>
      <c r="Q65" s="2057"/>
      <c r="R65" s="2057"/>
      <c r="S65" s="2057"/>
    </row>
    <row r="66" spans="1:34" s="2" customFormat="1" ht="16.5" thickTop="1" thickBot="1">
      <c r="A66" s="2331" t="s">
        <v>760</v>
      </c>
      <c r="B66" s="2332"/>
      <c r="C66" s="298"/>
      <c r="D66" s="12"/>
      <c r="E66" s="12"/>
      <c r="F66" s="12"/>
      <c r="G66" s="26"/>
      <c r="H66" s="24"/>
      <c r="I66" s="20"/>
      <c r="J66" s="20"/>
      <c r="K66" s="20"/>
      <c r="L66" s="20"/>
      <c r="M66" s="20"/>
      <c r="N66" s="20"/>
      <c r="O66" s="20"/>
      <c r="P66" s="20"/>
      <c r="Q66" s="20"/>
      <c r="R66" s="20"/>
      <c r="S66" s="20"/>
      <c r="T66"/>
      <c r="U66"/>
      <c r="V66"/>
      <c r="W66"/>
      <c r="X66"/>
      <c r="Y66"/>
      <c r="Z66"/>
      <c r="AA66"/>
      <c r="AB66"/>
      <c r="AC66"/>
      <c r="AD66"/>
      <c r="AE66"/>
      <c r="AF66"/>
      <c r="AG66"/>
      <c r="AH66"/>
    </row>
    <row r="67" spans="1:34" s="2" customFormat="1" ht="15.75" thickTop="1">
      <c r="A67" s="2054"/>
      <c r="B67" s="2006"/>
      <c r="C67" s="1396"/>
      <c r="D67" s="2042"/>
      <c r="E67" s="2042"/>
      <c r="F67" s="2042"/>
      <c r="G67" s="2055"/>
      <c r="H67" s="2056"/>
      <c r="I67" s="2057"/>
      <c r="J67" s="2057"/>
      <c r="K67" s="2057"/>
      <c r="L67" s="2057"/>
      <c r="M67" s="2057"/>
      <c r="N67" s="2057"/>
      <c r="O67" s="2057"/>
      <c r="P67" s="2057"/>
      <c r="Q67" s="2057"/>
      <c r="R67" s="2057"/>
      <c r="S67" s="2057"/>
      <c r="T67"/>
      <c r="U67"/>
      <c r="V67"/>
      <c r="W67"/>
      <c r="X67"/>
      <c r="Y67"/>
      <c r="Z67"/>
      <c r="AA67"/>
      <c r="AB67"/>
      <c r="AC67"/>
      <c r="AD67"/>
      <c r="AE67"/>
      <c r="AF67"/>
      <c r="AG67"/>
      <c r="AH67"/>
    </row>
    <row r="68" spans="1:34" s="2" customFormat="1">
      <c r="A68" s="2054"/>
      <c r="B68" s="2006"/>
      <c r="C68" s="1396"/>
      <c r="D68" s="2042"/>
      <c r="E68" s="2042"/>
      <c r="F68" s="2042"/>
      <c r="G68" s="2055"/>
      <c r="H68" s="2056"/>
      <c r="I68" s="2057"/>
      <c r="J68" s="2057"/>
      <c r="K68" s="2057"/>
      <c r="L68" s="2057"/>
      <c r="M68" s="2057"/>
      <c r="N68" s="2057"/>
      <c r="O68" s="2057"/>
      <c r="P68" s="2057"/>
      <c r="Q68" s="2057"/>
      <c r="R68" s="2057"/>
      <c r="S68" s="2057"/>
      <c r="T68"/>
      <c r="U68"/>
      <c r="V68"/>
      <c r="W68"/>
      <c r="X68"/>
      <c r="Y68"/>
      <c r="Z68"/>
      <c r="AA68"/>
      <c r="AB68"/>
      <c r="AC68"/>
      <c r="AD68"/>
      <c r="AE68"/>
      <c r="AF68"/>
      <c r="AG68"/>
      <c r="AH68"/>
    </row>
    <row r="69" spans="1:34" ht="15.75" thickBot="1">
      <c r="A69" s="2054"/>
      <c r="B69" s="2006"/>
      <c r="C69" s="1396"/>
      <c r="D69" s="2042"/>
      <c r="E69" s="2042"/>
      <c r="F69" s="2042"/>
      <c r="G69" s="2055"/>
      <c r="H69" s="2056"/>
      <c r="I69" s="2057"/>
      <c r="J69" s="2057"/>
      <c r="K69" s="2057"/>
      <c r="L69" s="2057"/>
      <c r="M69" s="2057"/>
      <c r="N69" s="2057"/>
      <c r="O69" s="2057"/>
      <c r="P69" s="2057"/>
      <c r="Q69" s="2057"/>
      <c r="R69" s="2057"/>
      <c r="S69" s="2057"/>
    </row>
    <row r="70" spans="1:34" s="2" customFormat="1" ht="16.5" thickTop="1" thickBot="1">
      <c r="A70" s="2331" t="s">
        <v>761</v>
      </c>
      <c r="B70" s="2332"/>
      <c r="C70" s="298"/>
      <c r="D70" s="12"/>
      <c r="E70" s="12"/>
      <c r="F70" s="12"/>
      <c r="G70" s="26"/>
      <c r="H70" s="24"/>
      <c r="I70" s="20"/>
      <c r="J70" s="20"/>
      <c r="K70" s="20"/>
      <c r="L70" s="20"/>
      <c r="M70" s="20"/>
      <c r="N70" s="20"/>
      <c r="O70" s="20"/>
      <c r="P70" s="20"/>
      <c r="Q70" s="20"/>
      <c r="R70" s="20"/>
      <c r="S70" s="20"/>
      <c r="T70"/>
      <c r="U70"/>
      <c r="V70"/>
      <c r="W70"/>
      <c r="X70"/>
      <c r="Y70"/>
      <c r="Z70"/>
      <c r="AA70"/>
      <c r="AB70"/>
      <c r="AC70"/>
      <c r="AD70"/>
      <c r="AE70"/>
      <c r="AF70"/>
      <c r="AG70"/>
      <c r="AH70"/>
    </row>
    <row r="71" spans="1:34" s="2" customFormat="1" ht="15.75" thickTop="1">
      <c r="A71" s="2054"/>
      <c r="B71" s="2006"/>
      <c r="C71" s="1396"/>
      <c r="D71" s="2042"/>
      <c r="E71" s="2042"/>
      <c r="F71" s="2042"/>
      <c r="G71" s="2055"/>
      <c r="H71" s="2056"/>
      <c r="I71" s="2057"/>
      <c r="J71" s="2057"/>
      <c r="K71" s="2057"/>
      <c r="L71" s="2057"/>
      <c r="M71" s="2057"/>
      <c r="N71" s="2057"/>
      <c r="O71" s="2057"/>
      <c r="P71" s="2057"/>
      <c r="Q71" s="2057"/>
      <c r="R71" s="2057"/>
      <c r="S71" s="2057"/>
      <c r="T71"/>
      <c r="U71"/>
      <c r="V71"/>
      <c r="W71"/>
      <c r="X71"/>
      <c r="Y71"/>
      <c r="Z71"/>
      <c r="AA71"/>
      <c r="AB71"/>
      <c r="AC71"/>
      <c r="AD71"/>
      <c r="AE71"/>
      <c r="AF71"/>
      <c r="AG71"/>
      <c r="AH71"/>
    </row>
    <row r="72" spans="1:34" s="2" customFormat="1">
      <c r="A72" s="1124"/>
      <c r="B72" s="2006"/>
      <c r="C72" s="415"/>
      <c r="D72" s="422"/>
      <c r="E72" s="422"/>
      <c r="F72" s="422"/>
      <c r="G72" s="831"/>
      <c r="H72" s="440"/>
      <c r="I72" s="2007"/>
      <c r="J72" s="2007"/>
      <c r="K72" s="2007"/>
      <c r="L72" s="2007"/>
      <c r="M72" s="2007"/>
      <c r="N72" s="2007"/>
      <c r="O72" s="2007"/>
      <c r="P72" s="2007"/>
      <c r="Q72" s="2007"/>
      <c r="R72" s="2007"/>
      <c r="S72" s="2007"/>
      <c r="T72"/>
      <c r="U72"/>
      <c r="V72"/>
      <c r="W72"/>
      <c r="X72"/>
      <c r="Y72"/>
      <c r="Z72"/>
      <c r="AA72"/>
      <c r="AB72"/>
      <c r="AC72"/>
      <c r="AD72"/>
      <c r="AE72"/>
      <c r="AF72"/>
      <c r="AG72"/>
      <c r="AH72"/>
    </row>
    <row r="73" spans="1:34" s="2" customFormat="1" ht="15.75" thickBot="1">
      <c r="A73" s="1126"/>
      <c r="B73" s="2008"/>
      <c r="C73" s="415"/>
      <c r="D73" s="422"/>
      <c r="E73" s="422"/>
      <c r="F73" s="422"/>
      <c r="G73" s="831"/>
      <c r="H73" s="441"/>
      <c r="I73" s="2009"/>
      <c r="J73" s="2009"/>
      <c r="K73" s="2009"/>
      <c r="L73" s="2009"/>
      <c r="M73" s="2009"/>
      <c r="N73" s="2009"/>
      <c r="O73" s="2009"/>
      <c r="P73" s="2009"/>
      <c r="Q73" s="2009"/>
      <c r="R73" s="2009"/>
      <c r="S73" s="2009"/>
    </row>
    <row r="74" spans="1:34" s="2" customFormat="1" ht="16.5" thickTop="1" thickBot="1">
      <c r="A74" s="2331" t="s">
        <v>762</v>
      </c>
      <c r="B74" s="2332"/>
      <c r="C74" s="298"/>
      <c r="D74" s="12"/>
      <c r="E74" s="12"/>
      <c r="F74" s="12"/>
      <c r="G74" s="26"/>
      <c r="H74" s="24"/>
      <c r="I74" s="20"/>
      <c r="J74" s="20"/>
      <c r="K74" s="20"/>
      <c r="L74" s="20"/>
      <c r="M74" s="20"/>
      <c r="N74" s="20"/>
      <c r="O74" s="20"/>
      <c r="P74" s="20"/>
      <c r="Q74" s="20"/>
      <c r="R74" s="20"/>
      <c r="S74" s="20"/>
      <c r="T74"/>
      <c r="U74"/>
      <c r="V74"/>
      <c r="W74"/>
      <c r="X74"/>
      <c r="Y74"/>
      <c r="Z74"/>
      <c r="AA74"/>
      <c r="AB74"/>
      <c r="AC74"/>
      <c r="AD74"/>
      <c r="AE74"/>
      <c r="AF74"/>
      <c r="AG74"/>
      <c r="AH74"/>
    </row>
    <row r="75" spans="1:34" ht="15.75" thickTop="1">
      <c r="A75" s="2058"/>
      <c r="B75" s="2059"/>
      <c r="C75" s="1396"/>
      <c r="D75" s="2042"/>
      <c r="E75" s="2042"/>
      <c r="F75" s="2042"/>
      <c r="G75" s="2055"/>
      <c r="H75" s="2056"/>
      <c r="I75" s="2057"/>
      <c r="J75" s="2057"/>
      <c r="K75" s="2057"/>
      <c r="L75" s="2057"/>
      <c r="M75" s="2057"/>
      <c r="N75" s="2057"/>
      <c r="O75" s="2057"/>
      <c r="P75" s="2057"/>
      <c r="Q75" s="2057"/>
      <c r="R75" s="2057"/>
      <c r="S75" s="2057"/>
      <c r="T75" s="2"/>
      <c r="U75" s="2"/>
      <c r="V75" s="2"/>
      <c r="W75" s="2"/>
      <c r="X75" s="2"/>
      <c r="Y75" s="2"/>
      <c r="Z75" s="2"/>
      <c r="AA75" s="2"/>
      <c r="AB75" s="2"/>
      <c r="AC75" s="2"/>
      <c r="AD75" s="2"/>
      <c r="AE75" s="2"/>
      <c r="AF75" s="2"/>
      <c r="AG75" s="2"/>
      <c r="AH75" s="2"/>
    </row>
    <row r="76" spans="1:34">
      <c r="A76" s="1126"/>
      <c r="B76" s="2008"/>
      <c r="C76" s="415"/>
      <c r="D76" s="422"/>
      <c r="E76" s="422"/>
      <c r="F76" s="422"/>
      <c r="G76" s="831"/>
      <c r="H76" s="442"/>
      <c r="I76" s="2010"/>
      <c r="J76" s="2010"/>
      <c r="K76" s="2010"/>
      <c r="L76" s="2010"/>
      <c r="M76" s="2010"/>
      <c r="N76" s="2010"/>
      <c r="O76" s="2010"/>
      <c r="P76" s="2010"/>
      <c r="Q76" s="2010"/>
      <c r="R76" s="2010"/>
      <c r="S76" s="2010"/>
      <c r="T76" s="2"/>
      <c r="U76" s="2"/>
      <c r="V76" s="2"/>
      <c r="W76" s="2"/>
      <c r="X76" s="2"/>
      <c r="Y76" s="2"/>
      <c r="Z76" s="2"/>
      <c r="AA76" s="2"/>
      <c r="AB76" s="2"/>
      <c r="AC76" s="2"/>
      <c r="AD76" s="2"/>
      <c r="AE76" s="2"/>
      <c r="AF76" s="2"/>
      <c r="AG76" s="2"/>
      <c r="AH76" s="2"/>
    </row>
    <row r="77" spans="1:34" ht="15.75" thickBot="1">
      <c r="A77" s="1126"/>
      <c r="B77" s="2008"/>
      <c r="C77" s="415"/>
      <c r="D77" s="422"/>
      <c r="E77" s="422"/>
      <c r="F77" s="422"/>
      <c r="G77" s="831"/>
      <c r="H77" s="442"/>
      <c r="I77" s="2010"/>
      <c r="J77" s="2010"/>
      <c r="K77" s="2010"/>
      <c r="L77" s="2010"/>
      <c r="M77" s="2010"/>
      <c r="N77" s="2010"/>
      <c r="O77" s="2010"/>
      <c r="P77" s="2010"/>
      <c r="Q77" s="2010"/>
      <c r="R77" s="2010"/>
      <c r="S77" s="2010"/>
      <c r="T77" s="2"/>
      <c r="U77" s="2"/>
      <c r="V77" s="2"/>
      <c r="W77" s="2"/>
      <c r="X77" s="2"/>
      <c r="Y77" s="2"/>
      <c r="Z77" s="2"/>
      <c r="AA77" s="2"/>
      <c r="AB77" s="2"/>
      <c r="AC77" s="2"/>
      <c r="AD77" s="2"/>
      <c r="AE77" s="2"/>
      <c r="AF77" s="2"/>
      <c r="AG77" s="2"/>
      <c r="AH77" s="2"/>
    </row>
    <row r="78" spans="1:34" ht="16.5" thickTop="1" thickBot="1">
      <c r="A78" s="2331" t="s">
        <v>763</v>
      </c>
      <c r="B78" s="2332"/>
      <c r="C78" s="298"/>
      <c r="D78" s="12"/>
      <c r="E78" s="12"/>
      <c r="F78" s="12"/>
      <c r="G78" s="26"/>
      <c r="H78" s="24"/>
      <c r="I78" s="20"/>
      <c r="J78" s="20"/>
      <c r="K78" s="20"/>
      <c r="L78" s="20"/>
      <c r="M78" s="20"/>
      <c r="N78" s="20"/>
      <c r="O78" s="20"/>
      <c r="P78" s="20"/>
      <c r="Q78" s="20"/>
      <c r="R78" s="20"/>
      <c r="S78" s="20"/>
    </row>
    <row r="79" spans="1:34" ht="15.75" thickTop="1">
      <c r="A79" s="1124"/>
      <c r="B79" s="2006" t="s">
        <v>764</v>
      </c>
      <c r="C79" s="415"/>
      <c r="D79" s="422"/>
      <c r="E79" s="422"/>
      <c r="F79" s="422"/>
      <c r="G79" s="831"/>
      <c r="H79" s="442"/>
      <c r="I79" s="2010"/>
      <c r="J79" s="2010"/>
      <c r="K79" s="2010"/>
      <c r="L79" s="2010"/>
      <c r="M79" s="2010"/>
      <c r="N79" s="2010"/>
      <c r="O79" s="2010"/>
      <c r="P79" s="2010"/>
      <c r="Q79" s="2010"/>
      <c r="R79" s="2010"/>
      <c r="S79" s="2010"/>
    </row>
    <row r="80" spans="1:34">
      <c r="A80" s="1124"/>
      <c r="B80" s="2006" t="s">
        <v>765</v>
      </c>
      <c r="C80" s="415"/>
      <c r="D80" s="422"/>
      <c r="E80" s="422"/>
      <c r="F80" s="422"/>
      <c r="G80" s="831"/>
      <c r="H80" s="442"/>
      <c r="I80" s="2010"/>
      <c r="J80" s="2010"/>
      <c r="K80" s="2010"/>
      <c r="L80" s="2010"/>
      <c r="M80" s="2010"/>
      <c r="N80" s="2010"/>
      <c r="O80" s="2010"/>
      <c r="P80" s="2010"/>
      <c r="Q80" s="2010"/>
      <c r="R80" s="2010"/>
      <c r="S80" s="2010"/>
    </row>
    <row r="81" spans="1:19">
      <c r="A81" s="1124"/>
      <c r="B81" s="2006" t="s">
        <v>766</v>
      </c>
      <c r="C81" s="415"/>
      <c r="D81" s="422"/>
      <c r="E81" s="422"/>
      <c r="F81" s="422"/>
      <c r="G81" s="831"/>
      <c r="H81" s="442"/>
      <c r="I81" s="2010"/>
      <c r="J81" s="2010"/>
      <c r="K81" s="2010"/>
      <c r="L81" s="2010"/>
      <c r="M81" s="2010"/>
      <c r="N81" s="2010"/>
      <c r="O81" s="2010"/>
      <c r="P81" s="2010"/>
      <c r="Q81" s="2010"/>
      <c r="R81" s="2010"/>
      <c r="S81" s="2010"/>
    </row>
    <row r="82" spans="1:19">
      <c r="A82" s="1124"/>
      <c r="B82" s="2006" t="s">
        <v>767</v>
      </c>
      <c r="C82" s="415"/>
      <c r="D82" s="422"/>
      <c r="E82" s="422"/>
      <c r="F82" s="422"/>
      <c r="G82" s="831"/>
      <c r="H82" s="442"/>
      <c r="I82" s="2010"/>
      <c r="J82" s="2010"/>
      <c r="K82" s="2010"/>
      <c r="L82" s="2010"/>
      <c r="M82" s="2010"/>
      <c r="N82" s="2010"/>
      <c r="O82" s="2010"/>
      <c r="P82" s="2010"/>
      <c r="Q82" s="2010"/>
      <c r="R82" s="2010"/>
      <c r="S82" s="2010"/>
    </row>
    <row r="83" spans="1:19" ht="15.75" thickBot="1">
      <c r="A83" s="443"/>
      <c r="B83" s="421"/>
      <c r="C83" s="23"/>
      <c r="D83" s="86"/>
      <c r="E83" s="86"/>
      <c r="F83" s="86"/>
      <c r="G83" s="27"/>
      <c r="H83" s="25"/>
      <c r="I83" s="444"/>
      <c r="J83" s="444"/>
      <c r="K83" s="444"/>
      <c r="L83" s="444"/>
      <c r="M83" s="444"/>
      <c r="N83" s="444"/>
      <c r="O83" s="444"/>
      <c r="P83" s="444"/>
      <c r="Q83" s="444"/>
      <c r="R83" s="444"/>
      <c r="S83" s="444"/>
    </row>
    <row r="84" spans="1:19" ht="16.5" thickTop="1" thickBot="1">
      <c r="A84" s="72" t="s">
        <v>768</v>
      </c>
      <c r="B84" s="73"/>
      <c r="C84" s="298"/>
      <c r="D84" s="12"/>
      <c r="E84" s="12"/>
      <c r="F84" s="12"/>
      <c r="G84" s="26"/>
      <c r="H84" s="24"/>
      <c r="I84" s="20"/>
      <c r="J84" s="20"/>
      <c r="K84" s="20"/>
      <c r="L84" s="20"/>
      <c r="M84" s="20"/>
      <c r="N84" s="20"/>
      <c r="O84" s="20"/>
      <c r="P84" s="20"/>
      <c r="Q84" s="20"/>
      <c r="R84" s="20"/>
      <c r="S84" s="20"/>
    </row>
    <row r="85" spans="1:19" ht="15.75" thickTop="1">
      <c r="A85" s="2054"/>
      <c r="B85" s="2060" t="s">
        <v>769</v>
      </c>
      <c r="C85" s="1396"/>
      <c r="D85" s="2042"/>
      <c r="E85" s="2042"/>
      <c r="F85" s="2042"/>
      <c r="G85" s="2055"/>
      <c r="H85" s="2061"/>
      <c r="I85" s="2062"/>
      <c r="J85" s="2062"/>
      <c r="K85" s="2062"/>
      <c r="L85" s="2062"/>
      <c r="M85" s="2062"/>
      <c r="N85" s="2062"/>
      <c r="O85" s="2062"/>
      <c r="P85" s="2062"/>
      <c r="Q85" s="2062"/>
      <c r="R85" s="2062"/>
      <c r="S85" s="2062"/>
    </row>
    <row r="86" spans="1:19">
      <c r="A86" s="1124"/>
      <c r="B86" s="2006" t="s">
        <v>770</v>
      </c>
      <c r="C86" s="415"/>
      <c r="D86" s="422"/>
      <c r="E86" s="422"/>
      <c r="F86" s="422"/>
      <c r="G86" s="831"/>
      <c r="H86" s="445"/>
      <c r="I86" s="2011"/>
      <c r="J86" s="2011"/>
      <c r="K86" s="2011"/>
      <c r="L86" s="2011"/>
      <c r="M86" s="2011"/>
      <c r="N86" s="2011"/>
      <c r="O86" s="2011"/>
      <c r="P86" s="2011"/>
      <c r="Q86" s="2011"/>
      <c r="R86" s="2011"/>
      <c r="S86" s="2011"/>
    </row>
    <row r="87" spans="1:19" ht="15.75" thickBot="1">
      <c r="A87" s="1183"/>
      <c r="B87" s="1184" t="s">
        <v>771</v>
      </c>
      <c r="C87" s="1185"/>
      <c r="D87" s="1186"/>
      <c r="E87" s="1186"/>
      <c r="F87" s="1186"/>
      <c r="G87" s="1187"/>
      <c r="H87" s="1188"/>
      <c r="I87" s="1189"/>
      <c r="J87" s="1189"/>
      <c r="K87" s="1189"/>
      <c r="L87" s="1189"/>
      <c r="M87" s="1189"/>
      <c r="N87" s="1189"/>
      <c r="O87" s="1189"/>
      <c r="P87" s="1189"/>
      <c r="Q87" s="1189"/>
      <c r="R87" s="1189"/>
      <c r="S87" s="1189"/>
    </row>
    <row r="88" spans="1:19" ht="16.5" thickTop="1" thickBot="1">
      <c r="F88" s="2"/>
      <c r="G88" s="2"/>
      <c r="H88" s="2"/>
      <c r="I88" s="2"/>
      <c r="J88" s="2"/>
      <c r="K88" s="2"/>
      <c r="L88" s="2"/>
      <c r="M88" s="2"/>
      <c r="N88" s="2"/>
      <c r="O88" s="2"/>
      <c r="P88" s="2"/>
      <c r="Q88" s="2"/>
      <c r="R88" s="2"/>
      <c r="S88" s="2"/>
    </row>
    <row r="89" spans="1:19" ht="16.5" thickTop="1" thickBot="1">
      <c r="A89" s="37" t="s">
        <v>772</v>
      </c>
      <c r="B89" s="39"/>
      <c r="F89" s="2"/>
      <c r="G89" s="2"/>
      <c r="H89" s="2"/>
      <c r="I89" s="2"/>
      <c r="J89" s="2"/>
      <c r="K89" s="2"/>
      <c r="L89" s="2"/>
      <c r="M89" s="2"/>
      <c r="N89" s="2"/>
      <c r="O89" s="2"/>
      <c r="P89" s="2"/>
      <c r="Q89" s="2"/>
      <c r="R89" s="2"/>
      <c r="S89" s="2"/>
    </row>
    <row r="90" spans="1:19" ht="15.75" thickTop="1">
      <c r="A90" s="38" t="s">
        <v>693</v>
      </c>
      <c r="B90" s="2039"/>
      <c r="F90" s="2"/>
      <c r="G90" s="2"/>
      <c r="H90" s="2"/>
      <c r="I90" s="2"/>
      <c r="J90" s="2"/>
      <c r="K90" s="2"/>
      <c r="L90" s="2"/>
      <c r="M90" s="2"/>
      <c r="N90" s="2"/>
      <c r="O90" s="2"/>
      <c r="P90" s="2"/>
      <c r="Q90" s="2"/>
      <c r="R90" s="2"/>
      <c r="S90" s="2"/>
    </row>
    <row r="91" spans="1:19">
      <c r="A91" s="1142" t="s">
        <v>702</v>
      </c>
      <c r="B91" s="2039"/>
      <c r="F91" s="2"/>
      <c r="G91" s="2"/>
      <c r="H91" s="2"/>
      <c r="I91" s="2"/>
      <c r="J91" s="2"/>
      <c r="K91" s="2"/>
      <c r="L91" s="2"/>
      <c r="M91" s="2"/>
      <c r="N91" s="2"/>
      <c r="O91" s="2"/>
      <c r="P91" s="2"/>
      <c r="Q91" s="2"/>
      <c r="R91" s="2"/>
      <c r="S91" s="2"/>
    </row>
    <row r="92" spans="1:19">
      <c r="A92" s="2013" t="s">
        <v>708</v>
      </c>
      <c r="B92" s="2014"/>
      <c r="F92" s="2"/>
      <c r="G92" s="2"/>
      <c r="H92" s="2"/>
      <c r="I92" s="2"/>
      <c r="J92" s="2"/>
      <c r="K92" s="2"/>
      <c r="L92" s="2"/>
      <c r="M92" s="2"/>
      <c r="N92" s="2"/>
      <c r="O92" s="2"/>
      <c r="P92" s="2"/>
      <c r="Q92" s="2"/>
      <c r="R92" s="2"/>
      <c r="S92" s="2"/>
    </row>
    <row r="93" spans="1:19">
      <c r="A93" s="2013" t="s">
        <v>713</v>
      </c>
      <c r="B93" s="2015"/>
      <c r="F93" s="2"/>
      <c r="G93" s="2"/>
      <c r="H93" s="2"/>
      <c r="I93" s="2"/>
      <c r="J93" s="2"/>
      <c r="K93" s="2"/>
      <c r="L93" s="2"/>
      <c r="M93" s="2"/>
      <c r="N93" s="2"/>
      <c r="O93" s="2"/>
      <c r="P93" s="2"/>
      <c r="Q93" s="2"/>
      <c r="R93" s="2"/>
      <c r="S93" s="2"/>
    </row>
    <row r="94" spans="1:19" ht="15.75" thickBot="1">
      <c r="A94" s="1194" t="s">
        <v>69</v>
      </c>
      <c r="B94" s="1195"/>
      <c r="F94" s="2"/>
      <c r="G94" s="2"/>
      <c r="H94" s="2"/>
      <c r="I94" s="2"/>
      <c r="J94" s="2"/>
      <c r="K94" s="2"/>
      <c r="L94" s="2"/>
      <c r="M94" s="2"/>
      <c r="N94" s="2"/>
      <c r="O94" s="2"/>
      <c r="P94" s="2"/>
      <c r="Q94" s="2"/>
      <c r="R94" s="2"/>
      <c r="S94" s="2"/>
    </row>
    <row r="95" spans="1:19" ht="15.75" thickTop="1"/>
  </sheetData>
  <mergeCells count="42">
    <mergeCell ref="A62:B62"/>
    <mergeCell ref="A66:B66"/>
    <mergeCell ref="A70:B70"/>
    <mergeCell ref="A74:B74"/>
    <mergeCell ref="A78:B78"/>
    <mergeCell ref="N9:O9"/>
    <mergeCell ref="H5:I5"/>
    <mergeCell ref="J5:K5"/>
    <mergeCell ref="L5:M5"/>
    <mergeCell ref="N6:O6"/>
    <mergeCell ref="N7:O7"/>
    <mergeCell ref="H6:I6"/>
    <mergeCell ref="J6:K6"/>
    <mergeCell ref="L6:M6"/>
    <mergeCell ref="N5:O5"/>
    <mergeCell ref="H9:I9"/>
    <mergeCell ref="J9:K9"/>
    <mergeCell ref="L9:M9"/>
    <mergeCell ref="H7:I7"/>
    <mergeCell ref="J7:K7"/>
    <mergeCell ref="L7:M7"/>
    <mergeCell ref="R9:S9"/>
    <mergeCell ref="P5:Q5"/>
    <mergeCell ref="P6:Q6"/>
    <mergeCell ref="P7:Q7"/>
    <mergeCell ref="P8:Q8"/>
    <mergeCell ref="P9:Q9"/>
    <mergeCell ref="H3:I3"/>
    <mergeCell ref="R5:S5"/>
    <mergeCell ref="R6:S6"/>
    <mergeCell ref="R7:S7"/>
    <mergeCell ref="R8:S8"/>
    <mergeCell ref="R4:S4"/>
    <mergeCell ref="H4:I4"/>
    <mergeCell ref="J4:K4"/>
    <mergeCell ref="L4:M4"/>
    <mergeCell ref="N4:O4"/>
    <mergeCell ref="P4:Q4"/>
    <mergeCell ref="N8:O8"/>
    <mergeCell ref="H8:I8"/>
    <mergeCell ref="J8:K8"/>
    <mergeCell ref="L8:M8"/>
  </mergeCells>
  <conditionalFormatting sqref="H11:H19 J11:J19 L11:L19 N11:N19 P11:P19 R11:R19">
    <cfRule type="cellIs" dxfId="83" priority="13" operator="equal">
      <formula>"X"</formula>
    </cfRule>
    <cfRule type="cellIs" dxfId="82" priority="14" operator="equal">
      <formula>"I"</formula>
    </cfRule>
  </conditionalFormatting>
  <conditionalFormatting sqref="H21:H53">
    <cfRule type="cellIs" dxfId="81" priority="1" operator="equal">
      <formula>"X"</formula>
    </cfRule>
    <cfRule type="cellIs" dxfId="80" priority="2" operator="equal">
      <formula>"I"</formula>
    </cfRule>
  </conditionalFormatting>
  <conditionalFormatting sqref="J21:J53">
    <cfRule type="cellIs" dxfId="79" priority="3" operator="equal">
      <formula>"X"</formula>
    </cfRule>
    <cfRule type="cellIs" dxfId="78" priority="4" operator="equal">
      <formula>"I"</formula>
    </cfRule>
  </conditionalFormatting>
  <conditionalFormatting sqref="L21:L53">
    <cfRule type="cellIs" dxfId="77" priority="5" operator="equal">
      <formula>"X"</formula>
    </cfRule>
    <cfRule type="cellIs" dxfId="76" priority="6" operator="equal">
      <formula>"I"</formula>
    </cfRule>
  </conditionalFormatting>
  <conditionalFormatting sqref="N21:N53">
    <cfRule type="cellIs" dxfId="75" priority="7" operator="equal">
      <formula>"X"</formula>
    </cfRule>
    <cfRule type="cellIs" dxfId="74" priority="8" operator="equal">
      <formula>"I"</formula>
    </cfRule>
  </conditionalFormatting>
  <conditionalFormatting sqref="P21:P53">
    <cfRule type="cellIs" dxfId="73" priority="9" operator="equal">
      <formula>"X"</formula>
    </cfRule>
    <cfRule type="cellIs" dxfId="72" priority="10" operator="equal">
      <formula>"I"</formula>
    </cfRule>
  </conditionalFormatting>
  <conditionalFormatting sqref="R21:R53">
    <cfRule type="cellIs" dxfId="71" priority="11" operator="equal">
      <formula>"X"</formula>
    </cfRule>
    <cfRule type="cellIs" dxfId="70" priority="12" operator="equal">
      <formula>"I"</formula>
    </cfRule>
  </conditionalFormatting>
  <hyperlinks>
    <hyperlink ref="B4" location="'Cost Summary'!A1" display="BACK TO SUMMARY SHEET" xr:uid="{131C3927-9F3A-45D4-9D6A-8E329E811B45}"/>
    <hyperlink ref="H8" r:id="rId1" xr:uid="{B0EC84B4-34F3-464F-8ACD-5ADC0BF00857}"/>
  </hyperlinks>
  <pageMargins left="0.7" right="0.7" top="0.75" bottom="0.75" header="0.3" footer="0.3"/>
  <pageSetup orientation="portrait"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180B-8740-4F42-890F-72A98BEDDE32}">
  <dimension ref="A1:AO92"/>
  <sheetViews>
    <sheetView zoomScale="90" zoomScaleNormal="90" workbookViewId="0">
      <pane xSplit="2" ySplit="10" topLeftCell="E11" activePane="bottomRight" state="frozen"/>
      <selection pane="topRight" activeCell="C1" sqref="C1"/>
      <selection pane="bottomLeft" activeCell="A11" sqref="A11"/>
      <selection pane="bottomRight" activeCell="B47" sqref="B47"/>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2016" t="s">
        <v>2667</v>
      </c>
      <c r="C6" s="415"/>
      <c r="D6" s="416"/>
      <c r="E6" s="417"/>
      <c r="F6" s="418"/>
      <c r="G6" s="419" t="s">
        <v>702</v>
      </c>
      <c r="H6" s="2325"/>
      <c r="I6" s="2326"/>
      <c r="J6" s="2325"/>
      <c r="K6" s="2326"/>
      <c r="L6" s="2325"/>
      <c r="M6" s="2326"/>
      <c r="N6" s="2325"/>
      <c r="O6" s="2326"/>
      <c r="P6" s="2313"/>
      <c r="Q6" s="2314"/>
      <c r="R6" s="2313"/>
      <c r="S6" s="2314"/>
      <c r="X6" s="261"/>
    </row>
    <row r="7" spans="1:24">
      <c r="A7" s="1082" t="s">
        <v>706</v>
      </c>
      <c r="B7" s="2017" t="s">
        <v>2668</v>
      </c>
      <c r="C7" s="415"/>
      <c r="D7" s="416"/>
      <c r="E7" s="417"/>
      <c r="F7" s="418"/>
      <c r="G7" s="829" t="s">
        <v>708</v>
      </c>
      <c r="H7" s="2325"/>
      <c r="I7" s="2326"/>
      <c r="J7" s="2325"/>
      <c r="K7" s="2326"/>
      <c r="L7" s="2325"/>
      <c r="M7" s="2326"/>
      <c r="N7" s="2325"/>
      <c r="O7" s="2326"/>
      <c r="P7" s="2313"/>
      <c r="Q7" s="2314"/>
      <c r="R7" s="2313"/>
      <c r="S7" s="2314"/>
      <c r="X7" s="261"/>
    </row>
    <row r="8" spans="1:24">
      <c r="A8" s="1082" t="s">
        <v>712</v>
      </c>
      <c r="B8" s="2018"/>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0</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2063"/>
      <c r="B11" s="2064" t="s">
        <v>725</v>
      </c>
      <c r="C11" s="1398"/>
      <c r="D11" s="2065"/>
      <c r="E11" s="2065"/>
      <c r="F11" s="2066"/>
      <c r="G11" s="2067"/>
      <c r="H11" s="2068"/>
      <c r="I11" s="2069"/>
      <c r="J11" s="2068"/>
      <c r="K11" s="285"/>
      <c r="L11" s="2068"/>
      <c r="M11" s="2070"/>
      <c r="N11" s="2068"/>
      <c r="O11" s="2070"/>
      <c r="P11" s="2068"/>
      <c r="Q11" s="2070"/>
      <c r="R11" s="2068"/>
      <c r="S11" s="2070"/>
    </row>
    <row r="12" spans="1:24">
      <c r="A12" s="2063"/>
      <c r="B12" s="2019" t="s">
        <v>726</v>
      </c>
      <c r="C12" s="446"/>
      <c r="D12" s="422"/>
      <c r="E12" s="422"/>
      <c r="F12" s="418"/>
      <c r="G12" s="423"/>
      <c r="H12" s="2020"/>
      <c r="I12" s="2069"/>
      <c r="J12" s="2020"/>
      <c r="K12" s="2070"/>
      <c r="L12" s="2020"/>
      <c r="M12" s="2070"/>
      <c r="N12" s="2020"/>
      <c r="O12" s="2070"/>
      <c r="P12" s="2020"/>
      <c r="Q12" s="2070"/>
      <c r="R12" s="2020"/>
      <c r="S12" s="2070"/>
    </row>
    <row r="13" spans="1:24">
      <c r="A13" s="1097"/>
      <c r="B13" s="2019" t="s">
        <v>728</v>
      </c>
      <c r="C13" s="446"/>
      <c r="D13" s="422"/>
      <c r="E13" s="422"/>
      <c r="F13" s="418"/>
      <c r="G13" s="423"/>
      <c r="H13" s="2020"/>
      <c r="I13" s="2069"/>
      <c r="J13" s="2020"/>
      <c r="K13" s="2070"/>
      <c r="L13" s="2020"/>
      <c r="M13" s="2070"/>
      <c r="N13" s="2020"/>
      <c r="O13" s="2070"/>
      <c r="P13" s="2020"/>
      <c r="Q13" s="2070"/>
      <c r="R13" s="2020"/>
      <c r="S13" s="2070"/>
    </row>
    <row r="14" spans="1:24">
      <c r="A14" s="2063"/>
      <c r="B14" s="2021" t="s">
        <v>729</v>
      </c>
      <c r="C14" s="446"/>
      <c r="D14" s="422"/>
      <c r="E14" s="422"/>
      <c r="F14" s="418"/>
      <c r="G14" s="423"/>
      <c r="H14" s="2020"/>
      <c r="I14" s="2069"/>
      <c r="J14" s="2020"/>
      <c r="K14" s="2070"/>
      <c r="L14" s="2020"/>
      <c r="M14" s="2070"/>
      <c r="N14" s="2020"/>
      <c r="O14" s="2070"/>
      <c r="P14" s="2020"/>
      <c r="Q14" s="2070"/>
      <c r="R14" s="2020"/>
      <c r="S14" s="2070"/>
    </row>
    <row r="15" spans="1:24">
      <c r="A15" s="1097"/>
      <c r="B15" s="2021" t="s">
        <v>731</v>
      </c>
      <c r="C15" s="446"/>
      <c r="D15" s="422"/>
      <c r="E15" s="422"/>
      <c r="F15" s="418"/>
      <c r="G15" s="423"/>
      <c r="H15" s="2020"/>
      <c r="I15" s="2069"/>
      <c r="J15" s="2020"/>
      <c r="K15" s="2069"/>
      <c r="L15" s="2020"/>
      <c r="M15" s="2069"/>
      <c r="N15" s="2020"/>
      <c r="O15" s="2069"/>
      <c r="P15" s="2020"/>
      <c r="Q15" s="2069"/>
      <c r="R15" s="2020"/>
      <c r="S15" s="2069"/>
    </row>
    <row r="16" spans="1:24">
      <c r="A16" s="2063"/>
      <c r="B16" s="2021" t="s">
        <v>732</v>
      </c>
      <c r="C16" s="446"/>
      <c r="D16" s="422"/>
      <c r="E16" s="422"/>
      <c r="F16" s="418"/>
      <c r="G16" s="423"/>
      <c r="H16" s="2020"/>
      <c r="I16" s="2069"/>
      <c r="J16" s="2020"/>
      <c r="K16" s="2070"/>
      <c r="L16" s="2020"/>
      <c r="M16" s="2070"/>
      <c r="N16" s="2020"/>
      <c r="O16" s="2070"/>
      <c r="P16" s="2020"/>
      <c r="Q16" s="2070"/>
      <c r="R16" s="2020"/>
      <c r="S16" s="2070"/>
    </row>
    <row r="17" spans="1:41">
      <c r="A17" s="1097"/>
      <c r="B17" s="2021" t="s">
        <v>733</v>
      </c>
      <c r="C17" s="446"/>
      <c r="D17" s="422"/>
      <c r="E17" s="422"/>
      <c r="F17" s="418"/>
      <c r="G17" s="423"/>
      <c r="H17" s="2020"/>
      <c r="I17" s="2069"/>
      <c r="J17" s="2020"/>
      <c r="K17" s="2070"/>
      <c r="L17" s="2020"/>
      <c r="M17" s="2070"/>
      <c r="N17" s="2020"/>
      <c r="O17" s="2070"/>
      <c r="P17" s="2020"/>
      <c r="Q17" s="2070"/>
      <c r="R17" s="2020"/>
      <c r="S17" s="2070"/>
    </row>
    <row r="18" spans="1:41">
      <c r="A18" s="2063"/>
      <c r="B18" s="1988" t="s">
        <v>736</v>
      </c>
      <c r="C18" s="446"/>
      <c r="D18" s="422"/>
      <c r="E18" s="422"/>
      <c r="F18" s="418"/>
      <c r="G18" s="423"/>
      <c r="H18" s="2020"/>
      <c r="I18" s="2069"/>
      <c r="J18" s="2020"/>
      <c r="K18" s="2070"/>
      <c r="L18" s="2020"/>
      <c r="M18" s="2070"/>
      <c r="N18" s="2020"/>
      <c r="O18" s="2070"/>
      <c r="P18" s="2020"/>
      <c r="Q18" s="2070"/>
      <c r="R18" s="2020"/>
      <c r="S18" s="2070"/>
    </row>
    <row r="19" spans="1:41">
      <c r="A19" s="1097"/>
      <c r="B19" s="2048" t="s">
        <v>737</v>
      </c>
      <c r="C19" s="447"/>
      <c r="D19" s="425"/>
      <c r="E19" s="425"/>
      <c r="F19" s="426"/>
      <c r="G19" s="427"/>
      <c r="H19" s="1989"/>
      <c r="I19" s="2049"/>
      <c r="J19" s="1989"/>
      <c r="K19" s="2050"/>
      <c r="L19" s="1989"/>
      <c r="M19" s="2050"/>
      <c r="N19" s="1989"/>
      <c r="O19" s="2050"/>
      <c r="P19" s="1989"/>
      <c r="Q19" s="2050"/>
      <c r="R19" s="1989"/>
      <c r="S19" s="2050"/>
    </row>
    <row r="20" spans="1:41">
      <c r="A20" s="2063"/>
      <c r="B20" s="1104"/>
      <c r="C20" s="70"/>
      <c r="D20" s="86"/>
      <c r="E20" s="86"/>
      <c r="F20" s="280"/>
      <c r="G20" s="274"/>
      <c r="H20" s="2020"/>
      <c r="I20" s="428"/>
      <c r="J20" s="2020"/>
      <c r="K20" s="428"/>
      <c r="L20" s="2020"/>
      <c r="M20" s="428"/>
      <c r="N20" s="2020"/>
      <c r="O20" s="428"/>
      <c r="P20" s="2020"/>
      <c r="Q20" s="428"/>
      <c r="R20" s="2020"/>
      <c r="S20" s="428"/>
    </row>
    <row r="21" spans="1:41" s="69" customFormat="1">
      <c r="A21" s="1097"/>
      <c r="B21" s="2006"/>
      <c r="C21" s="415"/>
      <c r="D21" s="422"/>
      <c r="E21" s="422"/>
      <c r="F21" s="429"/>
      <c r="G21" s="423"/>
      <c r="H21" s="2020"/>
      <c r="I21" s="1107"/>
      <c r="J21" s="2020"/>
      <c r="K21" s="1992"/>
      <c r="L21" s="2020"/>
      <c r="M21" s="1992"/>
      <c r="N21" s="2020"/>
      <c r="O21" s="1107"/>
      <c r="P21" s="2020"/>
      <c r="Q21" s="1107"/>
      <c r="R21" s="2020"/>
      <c r="S21" s="1992"/>
      <c r="T21"/>
      <c r="U21"/>
      <c r="V21"/>
      <c r="W21"/>
      <c r="X21"/>
      <c r="Y21"/>
      <c r="Z21"/>
      <c r="AA21"/>
      <c r="AB21"/>
      <c r="AC21"/>
      <c r="AD21"/>
      <c r="AE21"/>
      <c r="AF21"/>
      <c r="AG21"/>
      <c r="AH21"/>
      <c r="AI21"/>
      <c r="AJ21"/>
      <c r="AK21"/>
      <c r="AL21"/>
      <c r="AM21"/>
      <c r="AN21"/>
      <c r="AO21"/>
    </row>
    <row r="22" spans="1:41">
      <c r="A22" s="2063"/>
      <c r="B22" s="2051"/>
      <c r="C22" s="1396"/>
      <c r="D22" s="2027"/>
      <c r="E22" s="2065"/>
      <c r="F22" s="2028"/>
      <c r="G22" s="2029"/>
      <c r="H22" s="2020"/>
      <c r="I22" s="2070"/>
      <c r="J22" s="2020"/>
      <c r="K22" s="2070"/>
      <c r="L22" s="2020"/>
      <c r="M22" s="2070"/>
      <c r="N22" s="2020"/>
      <c r="O22" s="2070"/>
      <c r="P22" s="2020"/>
      <c r="Q22" s="2070"/>
      <c r="R22" s="2020"/>
      <c r="S22" s="2070"/>
    </row>
    <row r="23" spans="1:41">
      <c r="A23" s="1097"/>
      <c r="B23" s="2051"/>
      <c r="C23" s="415"/>
      <c r="D23" s="430"/>
      <c r="E23" s="422"/>
      <c r="F23" s="431"/>
      <c r="G23" s="2029"/>
      <c r="H23" s="2020"/>
      <c r="I23" s="2070"/>
      <c r="J23" s="2020"/>
      <c r="K23" s="2070"/>
      <c r="L23" s="2020"/>
      <c r="M23" s="2070"/>
      <c r="N23" s="2020"/>
      <c r="O23" s="2070"/>
      <c r="P23" s="2020"/>
      <c r="Q23" s="2070"/>
      <c r="R23" s="2020"/>
      <c r="S23" s="2070"/>
    </row>
    <row r="24" spans="1:41">
      <c r="A24" s="2063"/>
      <c r="B24" s="2051"/>
      <c r="C24" s="415"/>
      <c r="D24" s="430"/>
      <c r="E24" s="422"/>
      <c r="F24" s="431"/>
      <c r="G24" s="2029"/>
      <c r="H24" s="2020"/>
      <c r="I24" s="2070"/>
      <c r="J24" s="2020"/>
      <c r="K24" s="2070"/>
      <c r="L24" s="2020"/>
      <c r="M24" s="2070"/>
      <c r="N24" s="2020"/>
      <c r="O24" s="2070"/>
      <c r="P24" s="2020"/>
      <c r="Q24" s="2070"/>
      <c r="R24" s="2020"/>
      <c r="S24" s="2070"/>
    </row>
    <row r="25" spans="1:41">
      <c r="A25" s="1097"/>
      <c r="B25" s="2051"/>
      <c r="C25" s="415"/>
      <c r="D25" s="430"/>
      <c r="E25" s="422"/>
      <c r="F25" s="431"/>
      <c r="G25" s="2029"/>
      <c r="H25" s="2020"/>
      <c r="I25" s="2070"/>
      <c r="J25" s="2020"/>
      <c r="K25" s="2070"/>
      <c r="L25" s="2020"/>
      <c r="M25" s="2070"/>
      <c r="N25" s="2020"/>
      <c r="O25" s="2070"/>
      <c r="P25" s="2020"/>
      <c r="Q25" s="2070"/>
      <c r="R25" s="2020"/>
      <c r="S25" s="2070"/>
    </row>
    <row r="26" spans="1:41">
      <c r="A26" s="2063"/>
      <c r="B26" s="2051"/>
      <c r="C26" s="415"/>
      <c r="D26" s="430"/>
      <c r="E26" s="422"/>
      <c r="F26" s="431"/>
      <c r="G26" s="2029"/>
      <c r="H26" s="2020"/>
      <c r="I26" s="2070"/>
      <c r="J26" s="2020"/>
      <c r="K26" s="2070"/>
      <c r="L26" s="2020"/>
      <c r="M26" s="2070"/>
      <c r="N26" s="2020"/>
      <c r="O26" s="2070"/>
      <c r="P26" s="2020"/>
      <c r="Q26" s="2070"/>
      <c r="R26" s="2020"/>
      <c r="S26" s="2070"/>
    </row>
    <row r="27" spans="1:41">
      <c r="A27" s="1097"/>
      <c r="B27" s="2051"/>
      <c r="C27" s="415"/>
      <c r="D27" s="430"/>
      <c r="E27" s="422"/>
      <c r="F27" s="431"/>
      <c r="G27" s="2029"/>
      <c r="H27" s="2020"/>
      <c r="I27" s="2070"/>
      <c r="J27" s="2020"/>
      <c r="K27" s="2070"/>
      <c r="L27" s="2020"/>
      <c r="M27" s="2070"/>
      <c r="N27" s="2020"/>
      <c r="O27" s="2070"/>
      <c r="P27" s="2020"/>
      <c r="Q27" s="2070"/>
      <c r="R27" s="2020"/>
      <c r="S27" s="2070"/>
    </row>
    <row r="28" spans="1:41">
      <c r="A28" s="2063"/>
      <c r="B28" s="2051"/>
      <c r="C28" s="415"/>
      <c r="D28" s="430"/>
      <c r="E28" s="422"/>
      <c r="F28" s="431"/>
      <c r="G28" s="2029"/>
      <c r="H28" s="2020"/>
      <c r="I28" s="2070"/>
      <c r="J28" s="2020"/>
      <c r="K28" s="2070"/>
      <c r="L28" s="2020"/>
      <c r="M28" s="2070"/>
      <c r="N28" s="2020"/>
      <c r="O28" s="2070"/>
      <c r="P28" s="2020"/>
      <c r="Q28" s="2070"/>
      <c r="R28" s="2020"/>
      <c r="S28" s="2070"/>
    </row>
    <row r="29" spans="1:41">
      <c r="A29" s="1097"/>
      <c r="B29" s="2051"/>
      <c r="C29" s="415"/>
      <c r="D29" s="430"/>
      <c r="E29" s="422"/>
      <c r="F29" s="431"/>
      <c r="G29" s="2029"/>
      <c r="H29" s="2020"/>
      <c r="I29" s="2070"/>
      <c r="J29" s="2020"/>
      <c r="K29" s="2070"/>
      <c r="L29" s="2020"/>
      <c r="M29" s="2070"/>
      <c r="N29" s="2020"/>
      <c r="O29" s="2070"/>
      <c r="P29" s="2020"/>
      <c r="Q29" s="2070"/>
      <c r="R29" s="2020"/>
      <c r="S29" s="2070"/>
    </row>
    <row r="30" spans="1:41">
      <c r="A30" s="2063"/>
      <c r="B30" s="2051"/>
      <c r="C30" s="415"/>
      <c r="D30" s="430"/>
      <c r="E30" s="422"/>
      <c r="F30" s="431"/>
      <c r="G30" s="2029"/>
      <c r="H30" s="2020"/>
      <c r="I30" s="2070"/>
      <c r="J30" s="2020"/>
      <c r="K30" s="2070"/>
      <c r="L30" s="2020"/>
      <c r="M30" s="2070"/>
      <c r="N30" s="2020"/>
      <c r="O30" s="2070"/>
      <c r="P30" s="2020"/>
      <c r="Q30" s="2070"/>
      <c r="R30" s="2020"/>
      <c r="S30" s="2070"/>
    </row>
    <row r="31" spans="1:41">
      <c r="A31" s="1097"/>
      <c r="B31" s="2051"/>
      <c r="C31" s="415"/>
      <c r="D31" s="430"/>
      <c r="E31" s="422"/>
      <c r="F31" s="431"/>
      <c r="G31" s="2029"/>
      <c r="H31" s="2020"/>
      <c r="I31" s="2070"/>
      <c r="J31" s="2020"/>
      <c r="K31" s="2070"/>
      <c r="L31" s="2020"/>
      <c r="M31" s="2070"/>
      <c r="N31" s="2020"/>
      <c r="O31" s="2070"/>
      <c r="P31" s="2020"/>
      <c r="Q31" s="2070"/>
      <c r="R31" s="2020"/>
      <c r="S31" s="2070"/>
    </row>
    <row r="32" spans="1:41">
      <c r="A32" s="2063"/>
      <c r="B32" s="1999"/>
      <c r="C32" s="23"/>
      <c r="D32" s="430"/>
      <c r="E32" s="422"/>
      <c r="F32" s="431"/>
      <c r="G32" s="2029"/>
      <c r="H32" s="2020"/>
      <c r="I32" s="2070"/>
      <c r="J32" s="2020"/>
      <c r="K32" s="2070"/>
      <c r="L32" s="2020"/>
      <c r="M32" s="2070"/>
      <c r="N32" s="2020"/>
      <c r="O32" s="2070"/>
      <c r="P32" s="2020"/>
      <c r="Q32" s="2070"/>
      <c r="R32" s="2020"/>
      <c r="S32" s="2070"/>
    </row>
    <row r="33" spans="1:19">
      <c r="A33" s="1097"/>
      <c r="B33" s="1999"/>
      <c r="C33" s="23"/>
      <c r="D33" s="87"/>
      <c r="E33" s="86"/>
      <c r="F33" s="431"/>
      <c r="G33" s="2029"/>
      <c r="H33" s="2020"/>
      <c r="I33" s="2070"/>
      <c r="J33" s="2020"/>
      <c r="K33" s="2070"/>
      <c r="L33" s="2020"/>
      <c r="M33" s="2070"/>
      <c r="N33" s="2020"/>
      <c r="O33" s="2070"/>
      <c r="P33" s="2020"/>
      <c r="Q33" s="2070"/>
      <c r="R33" s="2020"/>
      <c r="S33" s="2070"/>
    </row>
    <row r="34" spans="1:19">
      <c r="A34" s="2063"/>
      <c r="B34" s="1999"/>
      <c r="C34" s="23"/>
      <c r="D34" s="87"/>
      <c r="E34" s="86"/>
      <c r="F34" s="431"/>
      <c r="G34" s="2029"/>
      <c r="H34" s="2020"/>
      <c r="I34" s="2070"/>
      <c r="J34" s="2020"/>
      <c r="K34" s="2070"/>
      <c r="L34" s="2020"/>
      <c r="M34" s="2070"/>
      <c r="N34" s="2020"/>
      <c r="O34" s="2070"/>
      <c r="P34" s="2020"/>
      <c r="Q34" s="2070"/>
      <c r="R34" s="2020"/>
      <c r="S34" s="2070"/>
    </row>
    <row r="35" spans="1:19">
      <c r="A35" s="2063"/>
      <c r="B35" s="1999"/>
      <c r="C35" s="23"/>
      <c r="D35" s="87"/>
      <c r="E35" s="86"/>
      <c r="F35" s="431"/>
      <c r="G35" s="2029"/>
      <c r="H35" s="2020"/>
      <c r="I35" s="2070"/>
      <c r="J35" s="2020"/>
      <c r="K35" s="2070"/>
      <c r="L35" s="2020"/>
      <c r="M35" s="2070"/>
      <c r="N35" s="2020"/>
      <c r="O35" s="2070"/>
      <c r="P35" s="2020"/>
      <c r="Q35" s="2070"/>
      <c r="R35" s="2020"/>
      <c r="S35" s="2070"/>
    </row>
    <row r="36" spans="1:19">
      <c r="A36" s="2063"/>
      <c r="B36" s="1999"/>
      <c r="C36" s="23"/>
      <c r="D36" s="87"/>
      <c r="E36" s="86"/>
      <c r="F36" s="431"/>
      <c r="G36" s="2029"/>
      <c r="H36" s="2020"/>
      <c r="I36" s="2070"/>
      <c r="J36" s="2020"/>
      <c r="K36" s="2070"/>
      <c r="L36" s="2020"/>
      <c r="M36" s="2070"/>
      <c r="N36" s="2020"/>
      <c r="O36" s="2070"/>
      <c r="P36" s="2020"/>
      <c r="Q36" s="2070"/>
      <c r="R36" s="2020"/>
      <c r="S36" s="2070"/>
    </row>
    <row r="37" spans="1:19">
      <c r="A37" s="2063"/>
      <c r="B37" s="1999"/>
      <c r="C37" s="23"/>
      <c r="D37" s="87"/>
      <c r="E37" s="86"/>
      <c r="F37" s="431"/>
      <c r="G37" s="2029"/>
      <c r="H37" s="2020"/>
      <c r="I37" s="2070"/>
      <c r="J37" s="2020"/>
      <c r="K37" s="2070"/>
      <c r="L37" s="2020"/>
      <c r="M37" s="2070"/>
      <c r="N37" s="2020"/>
      <c r="O37" s="2070"/>
      <c r="P37" s="2020"/>
      <c r="Q37" s="2070"/>
      <c r="R37" s="2020"/>
      <c r="S37" s="2070"/>
    </row>
    <row r="38" spans="1:19">
      <c r="A38" s="2063"/>
      <c r="B38" s="1999"/>
      <c r="C38" s="23"/>
      <c r="D38" s="87"/>
      <c r="E38" s="86"/>
      <c r="F38" s="431"/>
      <c r="G38" s="2029"/>
      <c r="H38" s="2020"/>
      <c r="I38" s="2070"/>
      <c r="J38" s="2020"/>
      <c r="K38" s="2070"/>
      <c r="L38" s="2020"/>
      <c r="M38" s="2070"/>
      <c r="N38" s="2020"/>
      <c r="O38" s="2070"/>
      <c r="P38" s="2020"/>
      <c r="Q38" s="2070"/>
      <c r="R38" s="2020"/>
      <c r="S38" s="2070"/>
    </row>
    <row r="39" spans="1:19">
      <c r="A39" s="2063"/>
      <c r="B39" s="1999"/>
      <c r="C39" s="23"/>
      <c r="D39" s="87"/>
      <c r="E39" s="86"/>
      <c r="F39" s="431"/>
      <c r="G39" s="2029"/>
      <c r="H39" s="2020"/>
      <c r="I39" s="2070"/>
      <c r="J39" s="2020"/>
      <c r="K39" s="2070"/>
      <c r="L39" s="2020"/>
      <c r="M39" s="2070"/>
      <c r="N39" s="2020"/>
      <c r="O39" s="2070"/>
      <c r="P39" s="2020"/>
      <c r="Q39" s="2070"/>
      <c r="R39" s="2020"/>
      <c r="S39" s="2070"/>
    </row>
    <row r="40" spans="1:19">
      <c r="A40" s="2063"/>
      <c r="B40" s="1999"/>
      <c r="C40" s="23"/>
      <c r="D40" s="87"/>
      <c r="E40" s="86"/>
      <c r="F40" s="431"/>
      <c r="G40" s="2029"/>
      <c r="H40" s="2020"/>
      <c r="I40" s="2070"/>
      <c r="J40" s="2020"/>
      <c r="K40" s="2070"/>
      <c r="L40" s="2020"/>
      <c r="M40" s="2070"/>
      <c r="N40" s="2020"/>
      <c r="O40" s="2070"/>
      <c r="P40" s="2020"/>
      <c r="Q40" s="2070"/>
      <c r="R40" s="2020"/>
      <c r="S40" s="2070"/>
    </row>
    <row r="41" spans="1:19">
      <c r="A41" s="2063"/>
      <c r="B41" s="1999"/>
      <c r="C41" s="23"/>
      <c r="D41" s="87"/>
      <c r="E41" s="86"/>
      <c r="F41" s="431"/>
      <c r="G41" s="2029"/>
      <c r="H41" s="2020"/>
      <c r="I41" s="2070"/>
      <c r="J41" s="2020"/>
      <c r="K41" s="2070"/>
      <c r="L41" s="2020"/>
      <c r="M41" s="2070"/>
      <c r="N41" s="2020"/>
      <c r="O41" s="2070"/>
      <c r="P41" s="2020"/>
      <c r="Q41" s="2070"/>
      <c r="R41" s="2020"/>
      <c r="S41" s="2070"/>
    </row>
    <row r="42" spans="1:19">
      <c r="A42" s="2063"/>
      <c r="B42" s="1999"/>
      <c r="C42" s="23"/>
      <c r="D42" s="87"/>
      <c r="E42" s="86"/>
      <c r="F42" s="431"/>
      <c r="G42" s="2029"/>
      <c r="H42" s="2020"/>
      <c r="I42" s="2070"/>
      <c r="J42" s="2020"/>
      <c r="K42" s="2070"/>
      <c r="L42" s="2020"/>
      <c r="M42" s="2070"/>
      <c r="N42" s="2020"/>
      <c r="O42" s="2070"/>
      <c r="P42" s="2020"/>
      <c r="Q42" s="2070"/>
      <c r="R42" s="2020"/>
      <c r="S42" s="2070"/>
    </row>
    <row r="43" spans="1:19">
      <c r="A43" s="2063"/>
      <c r="B43" s="1999"/>
      <c r="C43" s="23"/>
      <c r="D43" s="87"/>
      <c r="E43" s="86"/>
      <c r="F43" s="431"/>
      <c r="G43" s="2029"/>
      <c r="H43" s="2020"/>
      <c r="I43" s="2070"/>
      <c r="J43" s="2020"/>
      <c r="K43" s="2070"/>
      <c r="L43" s="2020"/>
      <c r="M43" s="2070"/>
      <c r="N43" s="2020"/>
      <c r="O43" s="2070"/>
      <c r="P43" s="2020"/>
      <c r="Q43" s="2070"/>
      <c r="R43" s="2020"/>
      <c r="S43" s="2070"/>
    </row>
    <row r="44" spans="1:19">
      <c r="A44" s="2063"/>
      <c r="B44" s="1999"/>
      <c r="C44" s="23"/>
      <c r="D44" s="87"/>
      <c r="E44" s="86"/>
      <c r="F44" s="431"/>
      <c r="G44" s="2029"/>
      <c r="H44" s="2020"/>
      <c r="I44" s="2070"/>
      <c r="J44" s="2020"/>
      <c r="K44" s="2070"/>
      <c r="L44" s="2020"/>
      <c r="M44" s="2070"/>
      <c r="N44" s="2020"/>
      <c r="O44" s="2070"/>
      <c r="P44" s="2020"/>
      <c r="Q44" s="2070"/>
      <c r="R44" s="2020"/>
      <c r="S44" s="2070"/>
    </row>
    <row r="45" spans="1:19">
      <c r="A45" s="2063"/>
      <c r="B45" s="1999"/>
      <c r="C45" s="23"/>
      <c r="D45" s="87"/>
      <c r="E45" s="86"/>
      <c r="F45" s="431"/>
      <c r="G45" s="2029"/>
      <c r="H45" s="2020"/>
      <c r="I45" s="2070"/>
      <c r="J45" s="2020"/>
      <c r="K45" s="2070"/>
      <c r="L45" s="2020"/>
      <c r="M45" s="2070"/>
      <c r="N45" s="2020"/>
      <c r="O45" s="2070"/>
      <c r="P45" s="2020"/>
      <c r="Q45" s="2070"/>
      <c r="R45" s="2020"/>
      <c r="S45" s="2070"/>
    </row>
    <row r="46" spans="1:19">
      <c r="A46" s="2063"/>
      <c r="B46" s="1999"/>
      <c r="C46" s="23"/>
      <c r="D46" s="87"/>
      <c r="E46" s="86"/>
      <c r="F46" s="431"/>
      <c r="G46" s="2029"/>
      <c r="H46" s="2020"/>
      <c r="I46" s="2070"/>
      <c r="J46" s="2020"/>
      <c r="K46" s="2070"/>
      <c r="L46" s="2020"/>
      <c r="M46" s="2070"/>
      <c r="N46" s="2020"/>
      <c r="O46" s="2070"/>
      <c r="P46" s="2020"/>
      <c r="Q46" s="2070"/>
      <c r="R46" s="2020"/>
      <c r="S46" s="2070"/>
    </row>
    <row r="47" spans="1:19">
      <c r="A47" s="2063"/>
      <c r="B47" s="1999"/>
      <c r="C47" s="23"/>
      <c r="D47" s="87"/>
      <c r="E47" s="86"/>
      <c r="F47" s="431"/>
      <c r="G47" s="2029"/>
      <c r="H47" s="2020"/>
      <c r="I47" s="2070"/>
      <c r="J47" s="2020"/>
      <c r="K47" s="2070"/>
      <c r="L47" s="2020"/>
      <c r="M47" s="2070"/>
      <c r="N47" s="2020"/>
      <c r="O47" s="2070"/>
      <c r="P47" s="2020"/>
      <c r="Q47" s="2070"/>
      <c r="R47" s="2020"/>
      <c r="S47" s="2070"/>
    </row>
    <row r="48" spans="1:19">
      <c r="A48" s="2063"/>
      <c r="B48" s="1999"/>
      <c r="C48" s="23"/>
      <c r="D48" s="87"/>
      <c r="E48" s="86"/>
      <c r="F48" s="431"/>
      <c r="G48" s="2029"/>
      <c r="H48" s="2020"/>
      <c r="I48" s="2070"/>
      <c r="J48" s="2020"/>
      <c r="K48" s="2070"/>
      <c r="L48" s="2020"/>
      <c r="M48" s="2070"/>
      <c r="N48" s="2020"/>
      <c r="O48" s="2070"/>
      <c r="P48" s="2020"/>
      <c r="Q48" s="2070"/>
      <c r="R48" s="2020"/>
      <c r="S48" s="2070"/>
    </row>
    <row r="49" spans="1:34">
      <c r="A49" s="2063"/>
      <c r="B49" s="1999"/>
      <c r="C49" s="23"/>
      <c r="D49" s="87"/>
      <c r="E49" s="86"/>
      <c r="F49" s="431"/>
      <c r="G49" s="830"/>
      <c r="H49" s="2020"/>
      <c r="I49" s="2070"/>
      <c r="J49" s="2020"/>
      <c r="K49" s="2070"/>
      <c r="L49" s="2020"/>
      <c r="M49" s="2070"/>
      <c r="N49" s="2020"/>
      <c r="O49" s="2070"/>
      <c r="P49" s="2020"/>
      <c r="Q49" s="2070"/>
      <c r="R49" s="2020"/>
      <c r="S49" s="2070"/>
    </row>
    <row r="50" spans="1:34" ht="15.75" thickBot="1">
      <c r="A50" s="2063"/>
      <c r="B50" s="1999"/>
      <c r="C50" s="23"/>
      <c r="D50" s="87"/>
      <c r="E50" s="86"/>
      <c r="F50" s="431"/>
      <c r="G50" s="830"/>
      <c r="H50" s="2020"/>
      <c r="I50" s="2070"/>
      <c r="J50" s="2020"/>
      <c r="K50" s="2070"/>
      <c r="L50" s="2020"/>
      <c r="M50" s="2070"/>
      <c r="N50" s="2020"/>
      <c r="O50" s="2070"/>
      <c r="P50" s="2020"/>
      <c r="Q50" s="2070"/>
      <c r="R50" s="2020"/>
      <c r="S50" s="2070"/>
    </row>
    <row r="51" spans="1:34" ht="15.75" thickTop="1">
      <c r="A51" s="296"/>
      <c r="B51" s="301"/>
      <c r="C51" s="297"/>
      <c r="D51" s="15"/>
      <c r="E51" s="16"/>
      <c r="F51" s="282" t="s">
        <v>753</v>
      </c>
      <c r="G51" s="272"/>
      <c r="H51" s="273"/>
      <c r="I51" s="273">
        <f>SUM(I12:I50)</f>
        <v>0</v>
      </c>
      <c r="J51" s="273"/>
      <c r="K51" s="273">
        <f>SUM(K12:K50)</f>
        <v>0</v>
      </c>
      <c r="L51" s="273"/>
      <c r="M51" s="273">
        <f>SUM(M12:M50)</f>
        <v>0</v>
      </c>
      <c r="N51" s="273"/>
      <c r="O51" s="273">
        <f>SUM(O12:O50)</f>
        <v>0</v>
      </c>
      <c r="P51" s="273"/>
      <c r="Q51" s="273">
        <f>SUM(Q12:Q50)</f>
        <v>0</v>
      </c>
      <c r="R51" s="273"/>
      <c r="S51" s="273">
        <f>SUM(S12:S50)</f>
        <v>0</v>
      </c>
    </row>
    <row r="52" spans="1:34">
      <c r="A52" s="1114"/>
      <c r="B52" s="2000"/>
      <c r="C52" s="432"/>
      <c r="D52" s="433"/>
      <c r="E52" s="434"/>
      <c r="F52" s="435" t="s">
        <v>754</v>
      </c>
      <c r="G52" s="436"/>
      <c r="H52" s="2003">
        <v>0</v>
      </c>
      <c r="I52" s="2002"/>
      <c r="J52" s="2003">
        <v>0</v>
      </c>
      <c r="K52" s="2002"/>
      <c r="L52" s="2003">
        <v>0</v>
      </c>
      <c r="M52" s="2002"/>
      <c r="N52" s="2003">
        <v>0</v>
      </c>
      <c r="O52" s="2002"/>
      <c r="P52" s="2003">
        <v>0</v>
      </c>
      <c r="Q52" s="2002"/>
      <c r="R52" s="2003">
        <v>0</v>
      </c>
      <c r="S52" s="2002"/>
    </row>
    <row r="53" spans="1:34">
      <c r="A53" s="1114"/>
      <c r="B53" s="2000"/>
      <c r="C53" s="432"/>
      <c r="D53" s="433"/>
      <c r="E53" s="434"/>
      <c r="F53" s="435" t="s">
        <v>755</v>
      </c>
      <c r="G53" s="436"/>
      <c r="H53" s="2002"/>
      <c r="I53" s="2002">
        <f>I51*H52</f>
        <v>0</v>
      </c>
      <c r="J53" s="2002"/>
      <c r="K53" s="2002">
        <f>K51*J52</f>
        <v>0</v>
      </c>
      <c r="L53" s="2002"/>
      <c r="M53" s="2002">
        <f>M51*L52</f>
        <v>0</v>
      </c>
      <c r="N53" s="2002"/>
      <c r="O53" s="2002">
        <f>O51*N52</f>
        <v>0</v>
      </c>
      <c r="P53" s="2002"/>
      <c r="Q53" s="2002">
        <f>Q51*P52</f>
        <v>0</v>
      </c>
      <c r="R53" s="2002"/>
      <c r="S53" s="2002">
        <f>S51*R52</f>
        <v>0</v>
      </c>
    </row>
    <row r="54" spans="1:34">
      <c r="A54" s="1114"/>
      <c r="B54" s="2000"/>
      <c r="C54" s="432"/>
      <c r="D54" s="433"/>
      <c r="E54" s="434"/>
      <c r="F54" s="435"/>
      <c r="G54" s="436"/>
      <c r="H54" s="2002"/>
      <c r="I54" s="2002"/>
      <c r="J54" s="2002"/>
      <c r="K54" s="2002"/>
      <c r="L54" s="2002"/>
      <c r="M54" s="2002"/>
      <c r="N54" s="2002"/>
      <c r="O54" s="2002"/>
      <c r="P54" s="2002"/>
      <c r="Q54" s="2002"/>
      <c r="R54" s="2002"/>
      <c r="S54" s="2002"/>
    </row>
    <row r="55" spans="1:34">
      <c r="A55" s="1114"/>
      <c r="B55" s="2000"/>
      <c r="C55" s="432"/>
      <c r="D55" s="433"/>
      <c r="E55" s="434"/>
      <c r="F55" s="435" t="s">
        <v>756</v>
      </c>
      <c r="G55" s="436"/>
      <c r="H55" s="2002"/>
      <c r="I55" s="2002">
        <f>SUM(I51:I53)</f>
        <v>0</v>
      </c>
      <c r="J55" s="2002"/>
      <c r="K55" s="2002">
        <f>SUM(K51:K53)</f>
        <v>0</v>
      </c>
      <c r="L55" s="2002"/>
      <c r="M55" s="2002">
        <f>SUM(M51:M53)</f>
        <v>0</v>
      </c>
      <c r="N55" s="2002"/>
      <c r="O55" s="2002">
        <f>SUM(O51:O53)</f>
        <v>0</v>
      </c>
      <c r="P55" s="2002"/>
      <c r="Q55" s="2002">
        <f>SUM(Q51:Q53)</f>
        <v>0</v>
      </c>
      <c r="R55" s="2002"/>
      <c r="S55" s="2002">
        <f>SUM(S51:S53)</f>
        <v>0</v>
      </c>
    </row>
    <row r="56" spans="1:34">
      <c r="A56" s="1114"/>
      <c r="B56" s="2000"/>
      <c r="C56" s="432"/>
      <c r="D56" s="433"/>
      <c r="E56" s="434"/>
      <c r="F56" s="437" t="s">
        <v>757</v>
      </c>
      <c r="G56" s="438"/>
      <c r="H56" s="2004"/>
      <c r="I56" s="2004">
        <f>I55/'Area Calculations'!$G$4</f>
        <v>0</v>
      </c>
      <c r="J56" s="2004"/>
      <c r="K56" s="2004">
        <f>K55/'Area Calculations'!$G$4</f>
        <v>0</v>
      </c>
      <c r="L56" s="2004"/>
      <c r="M56" s="2004">
        <f>M55/'Area Calculations'!$G$4</f>
        <v>0</v>
      </c>
      <c r="N56" s="2004"/>
      <c r="O56" s="2004">
        <f>O55/'Area Calculations'!$G$4</f>
        <v>0</v>
      </c>
      <c r="P56" s="2004"/>
      <c r="Q56" s="2004">
        <f>Q55/'Area Calculations'!$G$4</f>
        <v>0</v>
      </c>
      <c r="R56" s="2004"/>
      <c r="S56" s="2004">
        <f>S55/'Area Calculations'!$G$4</f>
        <v>0</v>
      </c>
    </row>
    <row r="57" spans="1:34">
      <c r="A57" s="1114"/>
      <c r="B57" s="2000"/>
      <c r="C57" s="432"/>
      <c r="D57" s="433"/>
      <c r="E57" s="434"/>
      <c r="F57" s="437" t="s">
        <v>758</v>
      </c>
      <c r="G57" s="438"/>
      <c r="H57" s="2004"/>
      <c r="I57" s="2004">
        <f>I55/'Area Calculations'!$G$9</f>
        <v>0</v>
      </c>
      <c r="J57" s="2004"/>
      <c r="K57" s="2004">
        <f>K55/'Area Calculations'!$G$9</f>
        <v>0</v>
      </c>
      <c r="L57" s="2004"/>
      <c r="M57" s="2004">
        <f>M55/'Area Calculations'!$G$9</f>
        <v>0</v>
      </c>
      <c r="N57" s="2004"/>
      <c r="O57" s="2004">
        <f>O55/'Area Calculations'!$G$9</f>
        <v>0</v>
      </c>
      <c r="P57" s="2004"/>
      <c r="Q57" s="2004">
        <f>Q55/'Area Calculations'!$G$9</f>
        <v>0</v>
      </c>
      <c r="R57" s="2004"/>
      <c r="S57" s="2004">
        <f>S55/'Area Calculations'!$G$9</f>
        <v>0</v>
      </c>
    </row>
    <row r="58" spans="1:34" ht="15.75" thickBot="1">
      <c r="A58" s="1114"/>
      <c r="B58" s="2000"/>
      <c r="C58" s="432"/>
      <c r="D58" s="433"/>
      <c r="E58" s="434"/>
      <c r="F58" s="439"/>
      <c r="G58" s="436"/>
      <c r="H58" s="2005"/>
      <c r="I58" s="2005"/>
      <c r="J58" s="2005"/>
      <c r="K58" s="2005"/>
      <c r="L58" s="2005"/>
      <c r="M58" s="2005"/>
      <c r="N58" s="2005"/>
      <c r="O58" s="2005"/>
      <c r="P58" s="2005"/>
      <c r="Q58" s="2005"/>
      <c r="R58" s="2005"/>
      <c r="S58" s="2005"/>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2030"/>
      <c r="B60" s="2006"/>
      <c r="C60" s="1396"/>
      <c r="D60" s="2065"/>
      <c r="E60" s="2065"/>
      <c r="F60" s="2065"/>
      <c r="G60" s="2031"/>
      <c r="H60" s="2032"/>
      <c r="I60" s="2057"/>
      <c r="J60" s="2057"/>
      <c r="K60" s="2057"/>
      <c r="L60" s="2057"/>
      <c r="M60" s="2057"/>
      <c r="N60" s="2057"/>
      <c r="O60" s="2057"/>
      <c r="P60" s="2057"/>
      <c r="Q60" s="2057"/>
      <c r="R60" s="2057"/>
      <c r="S60" s="2057"/>
    </row>
    <row r="61" spans="1:34">
      <c r="A61" s="2030"/>
      <c r="B61" s="2006"/>
      <c r="C61" s="1396"/>
      <c r="D61" s="2065"/>
      <c r="E61" s="2065"/>
      <c r="F61" s="2065"/>
      <c r="G61" s="2031"/>
      <c r="H61" s="2032"/>
      <c r="I61" s="2057"/>
      <c r="J61" s="2057"/>
      <c r="K61" s="2057"/>
      <c r="L61" s="2057"/>
      <c r="M61" s="2057"/>
      <c r="N61" s="2057"/>
      <c r="O61" s="2057"/>
      <c r="P61" s="2057"/>
      <c r="Q61" s="2057"/>
      <c r="R61" s="2057"/>
      <c r="S61" s="2057"/>
    </row>
    <row r="62" spans="1:34" ht="15.75" thickBot="1">
      <c r="A62" s="2030"/>
      <c r="B62" s="2006"/>
      <c r="C62" s="1396"/>
      <c r="D62" s="2065"/>
      <c r="E62" s="2065"/>
      <c r="F62" s="2065"/>
      <c r="G62" s="2031"/>
      <c r="H62" s="2032"/>
      <c r="I62" s="2057"/>
      <c r="J62" s="2057"/>
      <c r="K62" s="2057"/>
      <c r="L62" s="2057"/>
      <c r="M62" s="2057"/>
      <c r="N62" s="2057"/>
      <c r="O62" s="2057"/>
      <c r="P62" s="2057"/>
      <c r="Q62" s="2057"/>
      <c r="R62" s="2057"/>
      <c r="S62" s="2057"/>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2030"/>
      <c r="B64" s="2006"/>
      <c r="C64" s="1396"/>
      <c r="D64" s="2065"/>
      <c r="E64" s="2065"/>
      <c r="F64" s="2065"/>
      <c r="G64" s="2031"/>
      <c r="H64" s="2032"/>
      <c r="I64" s="2057"/>
      <c r="J64" s="2057"/>
      <c r="K64" s="2057"/>
      <c r="L64" s="2057"/>
      <c r="M64" s="2057"/>
      <c r="N64" s="2057"/>
      <c r="O64" s="2057"/>
      <c r="P64" s="2057"/>
      <c r="Q64" s="2057"/>
      <c r="R64" s="2057"/>
      <c r="S64" s="2057"/>
      <c r="T64"/>
      <c r="U64"/>
      <c r="V64"/>
      <c r="W64"/>
      <c r="X64"/>
      <c r="Y64"/>
      <c r="Z64"/>
      <c r="AA64"/>
      <c r="AB64"/>
      <c r="AC64"/>
      <c r="AD64"/>
      <c r="AE64"/>
      <c r="AF64"/>
      <c r="AG64"/>
      <c r="AH64"/>
    </row>
    <row r="65" spans="1:34" s="2" customFormat="1">
      <c r="A65" s="2030"/>
      <c r="B65" s="2006"/>
      <c r="C65" s="1396"/>
      <c r="D65" s="2065"/>
      <c r="E65" s="2065"/>
      <c r="F65" s="2065"/>
      <c r="G65" s="2031"/>
      <c r="H65" s="2032"/>
      <c r="I65" s="2057"/>
      <c r="J65" s="2057"/>
      <c r="K65" s="2057"/>
      <c r="L65" s="2057"/>
      <c r="M65" s="2057"/>
      <c r="N65" s="2057"/>
      <c r="O65" s="2057"/>
      <c r="P65" s="2057"/>
      <c r="Q65" s="2057"/>
      <c r="R65" s="2057"/>
      <c r="S65" s="2057"/>
      <c r="T65"/>
      <c r="U65"/>
      <c r="V65"/>
      <c r="W65"/>
      <c r="X65"/>
      <c r="Y65"/>
      <c r="Z65"/>
      <c r="AA65"/>
      <c r="AB65"/>
      <c r="AC65"/>
      <c r="AD65"/>
      <c r="AE65"/>
      <c r="AF65"/>
      <c r="AG65"/>
      <c r="AH65"/>
    </row>
    <row r="66" spans="1:34" ht="15.75" thickBot="1">
      <c r="A66" s="2030"/>
      <c r="B66" s="2006"/>
      <c r="C66" s="1396"/>
      <c r="D66" s="2065"/>
      <c r="E66" s="2065"/>
      <c r="F66" s="2065"/>
      <c r="G66" s="2031"/>
      <c r="H66" s="2032"/>
      <c r="I66" s="2057"/>
      <c r="J66" s="2057"/>
      <c r="K66" s="2057"/>
      <c r="L66" s="2057"/>
      <c r="M66" s="2057"/>
      <c r="N66" s="2057"/>
      <c r="O66" s="2057"/>
      <c r="P66" s="2057"/>
      <c r="Q66" s="2057"/>
      <c r="R66" s="2057"/>
      <c r="S66" s="2057"/>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2030"/>
      <c r="B68" s="2006"/>
      <c r="C68" s="1396"/>
      <c r="D68" s="2065"/>
      <c r="E68" s="2065"/>
      <c r="F68" s="2065"/>
      <c r="G68" s="2031"/>
      <c r="H68" s="2032"/>
      <c r="I68" s="2057"/>
      <c r="J68" s="2057"/>
      <c r="K68" s="2057"/>
      <c r="L68" s="2057"/>
      <c r="M68" s="2057"/>
      <c r="N68" s="2057"/>
      <c r="O68" s="2057"/>
      <c r="P68" s="2057"/>
      <c r="Q68" s="2057"/>
      <c r="R68" s="2057"/>
      <c r="S68" s="2057"/>
      <c r="T68"/>
      <c r="U68"/>
      <c r="V68"/>
      <c r="W68"/>
      <c r="X68"/>
      <c r="Y68"/>
      <c r="Z68"/>
      <c r="AA68"/>
      <c r="AB68"/>
      <c r="AC68"/>
      <c r="AD68"/>
      <c r="AE68"/>
      <c r="AF68"/>
      <c r="AG68"/>
      <c r="AH68"/>
    </row>
    <row r="69" spans="1:34" s="2" customFormat="1">
      <c r="A69" s="1124"/>
      <c r="B69" s="2006"/>
      <c r="C69" s="415"/>
      <c r="D69" s="422"/>
      <c r="E69" s="422"/>
      <c r="F69" s="422"/>
      <c r="G69" s="831"/>
      <c r="H69" s="440"/>
      <c r="I69" s="2007"/>
      <c r="J69" s="2007"/>
      <c r="K69" s="2007"/>
      <c r="L69" s="2007"/>
      <c r="M69" s="2007"/>
      <c r="N69" s="2007"/>
      <c r="O69" s="2007"/>
      <c r="P69" s="2007"/>
      <c r="Q69" s="2007"/>
      <c r="R69" s="2007"/>
      <c r="S69" s="2007"/>
      <c r="T69"/>
      <c r="U69"/>
      <c r="V69"/>
      <c r="W69"/>
      <c r="X69"/>
      <c r="Y69"/>
      <c r="Z69"/>
      <c r="AA69"/>
      <c r="AB69"/>
      <c r="AC69"/>
      <c r="AD69"/>
      <c r="AE69"/>
      <c r="AF69"/>
      <c r="AG69"/>
      <c r="AH69"/>
    </row>
    <row r="70" spans="1:34" s="2" customFormat="1" ht="15.75" thickBot="1">
      <c r="A70" s="1126"/>
      <c r="B70" s="2008"/>
      <c r="C70" s="415"/>
      <c r="D70" s="422"/>
      <c r="E70" s="422"/>
      <c r="F70" s="422"/>
      <c r="G70" s="831"/>
      <c r="H70" s="441"/>
      <c r="I70" s="2009"/>
      <c r="J70" s="2009"/>
      <c r="K70" s="2009"/>
      <c r="L70" s="2009"/>
      <c r="M70" s="2009"/>
      <c r="N70" s="2009"/>
      <c r="O70" s="2009"/>
      <c r="P70" s="2009"/>
      <c r="Q70" s="2009"/>
      <c r="R70" s="2009"/>
      <c r="S70" s="2009"/>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2034"/>
      <c r="B72" s="2059"/>
      <c r="C72" s="1396"/>
      <c r="D72" s="2065"/>
      <c r="E72" s="2065"/>
      <c r="F72" s="2065"/>
      <c r="G72" s="2031"/>
      <c r="H72" s="2032"/>
      <c r="I72" s="2057"/>
      <c r="J72" s="2057"/>
      <c r="K72" s="2057"/>
      <c r="L72" s="2057"/>
      <c r="M72" s="2057"/>
      <c r="N72" s="2057"/>
      <c r="O72" s="2057"/>
      <c r="P72" s="2057"/>
      <c r="Q72" s="2057"/>
      <c r="R72" s="2057"/>
      <c r="S72" s="2057"/>
      <c r="T72" s="2"/>
      <c r="U72" s="2"/>
      <c r="V72" s="2"/>
      <c r="W72" s="2"/>
      <c r="X72" s="2"/>
      <c r="Y72" s="2"/>
      <c r="Z72" s="2"/>
      <c r="AA72" s="2"/>
      <c r="AB72" s="2"/>
      <c r="AC72" s="2"/>
      <c r="AD72" s="2"/>
      <c r="AE72" s="2"/>
      <c r="AF72" s="2"/>
      <c r="AG72" s="2"/>
      <c r="AH72" s="2"/>
    </row>
    <row r="73" spans="1:34">
      <c r="A73" s="1126"/>
      <c r="B73" s="2008"/>
      <c r="C73" s="415"/>
      <c r="D73" s="422"/>
      <c r="E73" s="422"/>
      <c r="F73" s="422"/>
      <c r="G73" s="831"/>
      <c r="H73" s="442"/>
      <c r="I73" s="2010"/>
      <c r="J73" s="2010"/>
      <c r="K73" s="2010"/>
      <c r="L73" s="2010"/>
      <c r="M73" s="2010"/>
      <c r="N73" s="2010"/>
      <c r="O73" s="2010"/>
      <c r="P73" s="2010"/>
      <c r="Q73" s="2010"/>
      <c r="R73" s="2010"/>
      <c r="S73" s="2010"/>
      <c r="T73" s="2"/>
      <c r="U73" s="2"/>
      <c r="V73" s="2"/>
      <c r="W73" s="2"/>
      <c r="X73" s="2"/>
      <c r="Y73" s="2"/>
      <c r="Z73" s="2"/>
      <c r="AA73" s="2"/>
      <c r="AB73" s="2"/>
      <c r="AC73" s="2"/>
      <c r="AD73" s="2"/>
      <c r="AE73" s="2"/>
      <c r="AF73" s="2"/>
      <c r="AG73" s="2"/>
      <c r="AH73" s="2"/>
    </row>
    <row r="74" spans="1:34" ht="15.75" thickBot="1">
      <c r="A74" s="1126"/>
      <c r="B74" s="2008"/>
      <c r="C74" s="415"/>
      <c r="D74" s="422"/>
      <c r="E74" s="422"/>
      <c r="F74" s="422"/>
      <c r="G74" s="831"/>
      <c r="H74" s="442"/>
      <c r="I74" s="2010"/>
      <c r="J74" s="2010"/>
      <c r="K74" s="2010"/>
      <c r="L74" s="2010"/>
      <c r="M74" s="2010"/>
      <c r="N74" s="2010"/>
      <c r="O74" s="2010"/>
      <c r="P74" s="2010"/>
      <c r="Q74" s="2010"/>
      <c r="R74" s="2010"/>
      <c r="S74" s="2010"/>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2006" t="s">
        <v>764</v>
      </c>
      <c r="C76" s="415"/>
      <c r="D76" s="422"/>
      <c r="E76" s="422"/>
      <c r="F76" s="422"/>
      <c r="G76" s="831"/>
      <c r="H76" s="442"/>
      <c r="I76" s="2010"/>
      <c r="J76" s="2010"/>
      <c r="K76" s="2010"/>
      <c r="L76" s="2010"/>
      <c r="M76" s="2010"/>
      <c r="N76" s="2010"/>
      <c r="O76" s="2010"/>
      <c r="P76" s="2010"/>
      <c r="Q76" s="2010"/>
      <c r="R76" s="2010"/>
      <c r="S76" s="2010"/>
    </row>
    <row r="77" spans="1:34">
      <c r="A77" s="1124"/>
      <c r="B77" s="2006" t="s">
        <v>765</v>
      </c>
      <c r="C77" s="415"/>
      <c r="D77" s="422"/>
      <c r="E77" s="422"/>
      <c r="F77" s="422"/>
      <c r="G77" s="831"/>
      <c r="H77" s="442"/>
      <c r="I77" s="2010"/>
      <c r="J77" s="2010"/>
      <c r="K77" s="2010"/>
      <c r="L77" s="2010"/>
      <c r="M77" s="2010"/>
      <c r="N77" s="2010"/>
      <c r="O77" s="2010"/>
      <c r="P77" s="2010"/>
      <c r="Q77" s="2010"/>
      <c r="R77" s="2010"/>
      <c r="S77" s="2010"/>
    </row>
    <row r="78" spans="1:34">
      <c r="A78" s="1124"/>
      <c r="B78" s="2006" t="s">
        <v>766</v>
      </c>
      <c r="C78" s="415"/>
      <c r="D78" s="422"/>
      <c r="E78" s="422"/>
      <c r="F78" s="422"/>
      <c r="G78" s="831"/>
      <c r="H78" s="442"/>
      <c r="I78" s="2010"/>
      <c r="J78" s="2010"/>
      <c r="K78" s="2010"/>
      <c r="L78" s="2010"/>
      <c r="M78" s="2010"/>
      <c r="N78" s="2010"/>
      <c r="O78" s="2010"/>
      <c r="P78" s="2010"/>
      <c r="Q78" s="2010"/>
      <c r="R78" s="2010"/>
      <c r="S78" s="2010"/>
    </row>
    <row r="79" spans="1:34">
      <c r="A79" s="1124"/>
      <c r="B79" s="2006" t="s">
        <v>767</v>
      </c>
      <c r="C79" s="415"/>
      <c r="D79" s="422"/>
      <c r="E79" s="422"/>
      <c r="F79" s="422"/>
      <c r="G79" s="831"/>
      <c r="H79" s="442"/>
      <c r="I79" s="2010"/>
      <c r="J79" s="2010"/>
      <c r="K79" s="2010"/>
      <c r="L79" s="2010"/>
      <c r="M79" s="2010"/>
      <c r="N79" s="2010"/>
      <c r="O79" s="2010"/>
      <c r="P79" s="2010"/>
      <c r="Q79" s="2010"/>
      <c r="R79" s="2010"/>
      <c r="S79" s="2010"/>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2030"/>
      <c r="B82" s="2060" t="s">
        <v>769</v>
      </c>
      <c r="C82" s="1396"/>
      <c r="D82" s="2065"/>
      <c r="E82" s="2065"/>
      <c r="F82" s="2065"/>
      <c r="G82" s="2031"/>
      <c r="H82" s="2037"/>
      <c r="I82" s="2062"/>
      <c r="J82" s="2062"/>
      <c r="K82" s="2062"/>
      <c r="L82" s="2062"/>
      <c r="M82" s="2062"/>
      <c r="N82" s="2062"/>
      <c r="O82" s="2062"/>
      <c r="P82" s="2062"/>
      <c r="Q82" s="2062"/>
      <c r="R82" s="2062"/>
      <c r="S82" s="2062"/>
    </row>
    <row r="83" spans="1:19">
      <c r="A83" s="1124"/>
      <c r="B83" s="2006" t="s">
        <v>770</v>
      </c>
      <c r="C83" s="415"/>
      <c r="D83" s="422"/>
      <c r="E83" s="422"/>
      <c r="F83" s="422"/>
      <c r="G83" s="831"/>
      <c r="H83" s="445"/>
      <c r="I83" s="2011"/>
      <c r="J83" s="2011"/>
      <c r="K83" s="2011"/>
      <c r="L83" s="2011"/>
      <c r="M83" s="2011"/>
      <c r="N83" s="2011"/>
      <c r="O83" s="2011"/>
      <c r="P83" s="2011"/>
      <c r="Q83" s="2011"/>
      <c r="R83" s="2011"/>
      <c r="S83" s="2011"/>
    </row>
    <row r="84" spans="1:19" ht="15.75" thickBot="1">
      <c r="A84" s="1183"/>
      <c r="B84" s="1184" t="s">
        <v>771</v>
      </c>
      <c r="C84" s="1185"/>
      <c r="D84" s="1186"/>
      <c r="E84" s="1186"/>
      <c r="F84" s="1186"/>
      <c r="G84" s="1187"/>
      <c r="H84" s="1188"/>
      <c r="I84" s="1189"/>
      <c r="J84" s="1189"/>
      <c r="K84" s="1189"/>
      <c r="L84" s="1189"/>
      <c r="M84" s="1189"/>
      <c r="N84" s="1189"/>
      <c r="O84" s="1189"/>
      <c r="P84" s="1189"/>
      <c r="Q84" s="1189"/>
      <c r="R84" s="1189"/>
      <c r="S84" s="1189"/>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2039"/>
      <c r="F87" s="2"/>
      <c r="G87" s="2"/>
      <c r="H87" s="2"/>
      <c r="I87" s="2"/>
      <c r="J87" s="2"/>
      <c r="K87" s="2"/>
      <c r="L87" s="2"/>
      <c r="M87" s="2"/>
      <c r="N87" s="2"/>
      <c r="O87" s="2"/>
      <c r="P87" s="2"/>
      <c r="Q87" s="2"/>
      <c r="R87" s="2"/>
      <c r="S87" s="2"/>
    </row>
    <row r="88" spans="1:19">
      <c r="A88" s="1142" t="s">
        <v>702</v>
      </c>
      <c r="B88" s="2039"/>
      <c r="F88" s="2"/>
      <c r="G88" s="2"/>
      <c r="H88" s="2"/>
      <c r="I88" s="2"/>
      <c r="J88" s="2"/>
      <c r="K88" s="2"/>
      <c r="L88" s="2"/>
      <c r="M88" s="2"/>
      <c r="N88" s="2"/>
      <c r="O88" s="2"/>
      <c r="P88" s="2"/>
      <c r="Q88" s="2"/>
      <c r="R88" s="2"/>
      <c r="S88" s="2"/>
    </row>
    <row r="89" spans="1:19">
      <c r="A89" s="2013" t="s">
        <v>708</v>
      </c>
      <c r="B89" s="2014"/>
      <c r="F89" s="2"/>
      <c r="G89" s="2"/>
      <c r="H89" s="2"/>
      <c r="I89" s="2"/>
      <c r="J89" s="2"/>
      <c r="K89" s="2"/>
      <c r="L89" s="2"/>
      <c r="M89" s="2"/>
      <c r="N89" s="2"/>
      <c r="O89" s="2"/>
      <c r="P89" s="2"/>
      <c r="Q89" s="2"/>
      <c r="R89" s="2"/>
      <c r="S89" s="2"/>
    </row>
    <row r="90" spans="1:19">
      <c r="A90" s="2013" t="s">
        <v>713</v>
      </c>
      <c r="B90" s="2015"/>
      <c r="F90" s="2"/>
      <c r="G90" s="2"/>
      <c r="H90" s="2"/>
      <c r="I90" s="2"/>
      <c r="J90" s="2"/>
      <c r="K90" s="2"/>
      <c r="L90" s="2"/>
      <c r="M90" s="2"/>
      <c r="N90" s="2"/>
      <c r="O90" s="2"/>
      <c r="P90" s="2"/>
      <c r="Q90" s="2"/>
      <c r="R90" s="2"/>
      <c r="S90" s="2"/>
    </row>
    <row r="91" spans="1:19" ht="15.75" thickBot="1">
      <c r="A91" s="1194" t="s">
        <v>69</v>
      </c>
      <c r="B91" s="1195"/>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4:I4"/>
    <mergeCell ref="J4:K4"/>
    <mergeCell ref="L4:M4"/>
    <mergeCell ref="N4:O4"/>
    <mergeCell ref="P4:Q4"/>
    <mergeCell ref="R4:S4"/>
    <mergeCell ref="H5:I5"/>
    <mergeCell ref="J5:K5"/>
    <mergeCell ref="L5:M5"/>
    <mergeCell ref="N5:O5"/>
    <mergeCell ref="P5:Q5"/>
  </mergeCells>
  <conditionalFormatting sqref="H11:H18 J11:J18 L11:L18 N11:N18 P11:P18 R11:R18">
    <cfRule type="cellIs" dxfId="69" priority="13" operator="equal">
      <formula>"X"</formula>
    </cfRule>
    <cfRule type="cellIs" dxfId="68" priority="14" operator="equal">
      <formula>"I"</formula>
    </cfRule>
  </conditionalFormatting>
  <conditionalFormatting sqref="H20:H50">
    <cfRule type="cellIs" dxfId="67" priority="1" operator="equal">
      <formula>"X"</formula>
    </cfRule>
    <cfRule type="cellIs" dxfId="66" priority="2" operator="equal">
      <formula>"I"</formula>
    </cfRule>
  </conditionalFormatting>
  <conditionalFormatting sqref="J20:J50">
    <cfRule type="cellIs" dxfId="65" priority="3" operator="equal">
      <formula>"X"</formula>
    </cfRule>
    <cfRule type="cellIs" dxfId="64" priority="4" operator="equal">
      <formula>"I"</formula>
    </cfRule>
  </conditionalFormatting>
  <conditionalFormatting sqref="L20:L50">
    <cfRule type="cellIs" dxfId="63" priority="5" operator="equal">
      <formula>"X"</formula>
    </cfRule>
    <cfRule type="cellIs" dxfId="62" priority="6" operator="equal">
      <formula>"I"</formula>
    </cfRule>
  </conditionalFormatting>
  <conditionalFormatting sqref="N20:N50">
    <cfRule type="cellIs" dxfId="61" priority="7" operator="equal">
      <formula>"X"</formula>
    </cfRule>
    <cfRule type="cellIs" dxfId="60" priority="8" operator="equal">
      <formula>"I"</formula>
    </cfRule>
  </conditionalFormatting>
  <conditionalFormatting sqref="P20:P50">
    <cfRule type="cellIs" dxfId="59" priority="9" operator="equal">
      <formula>"X"</formula>
    </cfRule>
    <cfRule type="cellIs" dxfId="58" priority="10" operator="equal">
      <formula>"I"</formula>
    </cfRule>
  </conditionalFormatting>
  <conditionalFormatting sqref="R20:R50">
    <cfRule type="cellIs" dxfId="57" priority="11" operator="equal">
      <formula>"X"</formula>
    </cfRule>
    <cfRule type="cellIs" dxfId="56" priority="12" operator="equal">
      <formula>"I"</formula>
    </cfRule>
  </conditionalFormatting>
  <hyperlinks>
    <hyperlink ref="B4" location="'Cost Summary'!A1" display="BACK TO SUMMARY SHEET" xr:uid="{F45C27B4-F634-48EA-BA1E-21E519FAB13F}"/>
  </hyperlink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BB01-5446-4D66-BF9B-18E89A4EC9B2}">
  <sheetPr>
    <tabColor rgb="FF00B0F0"/>
  </sheetPr>
  <dimension ref="A1:AF193"/>
  <sheetViews>
    <sheetView zoomScale="90" zoomScaleNormal="90" workbookViewId="0">
      <pane xSplit="2" ySplit="10" topLeftCell="C25" activePane="bottomRight" state="frozen"/>
      <selection pane="topRight" activeCell="C1" sqref="C1"/>
      <selection pane="bottomLeft" activeCell="A10" sqref="A10"/>
      <selection pane="bottomRight" activeCell="B42" sqref="B42"/>
    </sheetView>
  </sheetViews>
  <sheetFormatPr defaultRowHeight="15"/>
  <cols>
    <col min="1" max="1" width="11" customWidth="1"/>
    <col min="2" max="2" width="70.7109375" style="1" customWidth="1"/>
    <col min="3" max="3" width="12.7109375" style="2" customWidth="1"/>
    <col min="4" max="4" width="12.7109375" style="497"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2">
      <c r="E1" s="68"/>
      <c r="F1" s="275"/>
      <c r="G1" s="269" t="s">
        <v>679</v>
      </c>
      <c r="V1" s="261"/>
    </row>
    <row r="2" spans="1:22">
      <c r="E2" s="68"/>
      <c r="F2" s="276" t="s">
        <v>680</v>
      </c>
      <c r="G2" s="269" t="s">
        <v>681</v>
      </c>
      <c r="V2" s="261"/>
    </row>
    <row r="3" spans="1:22" ht="15.75" thickBot="1">
      <c r="E3" s="68"/>
      <c r="F3" s="277" t="s">
        <v>682</v>
      </c>
      <c r="G3" s="269" t="s">
        <v>683</v>
      </c>
      <c r="V3" s="261"/>
    </row>
    <row r="4" spans="1:22" ht="15.75" thickBot="1">
      <c r="B4" s="262" t="s">
        <v>684</v>
      </c>
      <c r="E4" s="68"/>
      <c r="F4" s="278"/>
      <c r="G4" s="270" t="s">
        <v>685</v>
      </c>
      <c r="H4" s="2319" t="s">
        <v>687</v>
      </c>
      <c r="I4" s="2320"/>
      <c r="J4" s="2319" t="s">
        <v>688</v>
      </c>
      <c r="K4" s="2320"/>
      <c r="L4" s="2319" t="s">
        <v>686</v>
      </c>
      <c r="M4" s="2320"/>
      <c r="N4" s="2319" t="s">
        <v>689</v>
      </c>
      <c r="O4" s="2320"/>
      <c r="P4" s="2319" t="s">
        <v>690</v>
      </c>
      <c r="Q4" s="2320"/>
      <c r="R4" s="2319" t="s">
        <v>774</v>
      </c>
      <c r="S4" s="2320"/>
      <c r="V4" s="261"/>
    </row>
    <row r="5" spans="1:22" ht="15.75" thickTop="1">
      <c r="A5" s="292" t="s">
        <v>692</v>
      </c>
      <c r="B5" s="299" t="str">
        <f>'Area Calculations'!B4</f>
        <v>ERAU Residential Hall &amp; Garage Building</v>
      </c>
      <c r="C5" s="294"/>
      <c r="D5" s="498"/>
      <c r="E5" s="264"/>
      <c r="F5" s="279"/>
      <c r="G5" s="271" t="s">
        <v>693</v>
      </c>
      <c r="H5" s="2321" t="s">
        <v>2669</v>
      </c>
      <c r="I5" s="2322"/>
      <c r="J5" s="2321" t="s">
        <v>2670</v>
      </c>
      <c r="K5" s="2322"/>
      <c r="L5" s="2321" t="s">
        <v>2671</v>
      </c>
      <c r="M5" s="2322"/>
      <c r="N5" s="2321" t="s">
        <v>2672</v>
      </c>
      <c r="O5" s="2322"/>
      <c r="P5" s="2333"/>
      <c r="Q5" s="2334"/>
      <c r="R5" s="2333"/>
      <c r="S5" s="2334"/>
      <c r="V5" s="261"/>
    </row>
    <row r="6" spans="1:22">
      <c r="A6" s="1082" t="s">
        <v>700</v>
      </c>
      <c r="B6" s="2016" t="s">
        <v>2673</v>
      </c>
      <c r="C6" s="415"/>
      <c r="D6" s="499"/>
      <c r="E6" s="417"/>
      <c r="F6" s="418"/>
      <c r="G6" s="419" t="s">
        <v>702</v>
      </c>
      <c r="H6" s="2325" t="s">
        <v>2674</v>
      </c>
      <c r="I6" s="2326"/>
      <c r="J6" s="2325"/>
      <c r="K6" s="2326"/>
      <c r="L6" s="2325" t="s">
        <v>2675</v>
      </c>
      <c r="M6" s="2326"/>
      <c r="N6" s="2325"/>
      <c r="O6" s="2326"/>
      <c r="P6" s="2313"/>
      <c r="Q6" s="2314"/>
      <c r="R6" s="2313"/>
      <c r="S6" s="2314"/>
      <c r="V6" s="261"/>
    </row>
    <row r="7" spans="1:22">
      <c r="A7" s="1082" t="s">
        <v>706</v>
      </c>
      <c r="B7" s="2017" t="s">
        <v>2676</v>
      </c>
      <c r="C7" s="415"/>
      <c r="D7" s="499"/>
      <c r="E7" s="417"/>
      <c r="F7" s="418"/>
      <c r="G7" s="829" t="s">
        <v>708</v>
      </c>
      <c r="H7" s="2325" t="s">
        <v>2677</v>
      </c>
      <c r="I7" s="2326"/>
      <c r="J7" s="2325"/>
      <c r="K7" s="2326"/>
      <c r="L7" s="2325" t="s">
        <v>2678</v>
      </c>
      <c r="M7" s="2326"/>
      <c r="N7" s="2325"/>
      <c r="O7" s="2326"/>
      <c r="P7" s="2313"/>
      <c r="Q7" s="2314"/>
      <c r="R7" s="2313"/>
      <c r="S7" s="2314"/>
      <c r="V7" s="261"/>
    </row>
    <row r="8" spans="1:22">
      <c r="A8" s="1082" t="s">
        <v>712</v>
      </c>
      <c r="B8" s="2018"/>
      <c r="C8" s="415"/>
      <c r="D8" s="499"/>
      <c r="E8" s="417"/>
      <c r="F8" s="418"/>
      <c r="G8" s="829" t="s">
        <v>713</v>
      </c>
      <c r="H8" s="2327" t="s">
        <v>2679</v>
      </c>
      <c r="I8" s="2328"/>
      <c r="J8" s="2327"/>
      <c r="K8" s="2328"/>
      <c r="L8" s="2327" t="s">
        <v>2680</v>
      </c>
      <c r="M8" s="2328"/>
      <c r="N8" s="2329"/>
      <c r="O8" s="2328"/>
      <c r="P8" s="2315"/>
      <c r="Q8" s="2316"/>
      <c r="R8" s="2315"/>
      <c r="S8" s="2316"/>
      <c r="V8" s="261"/>
    </row>
    <row r="9" spans="1:22" ht="15.75" thickBot="1">
      <c r="A9" s="420"/>
      <c r="B9" s="421"/>
      <c r="C9" s="23"/>
      <c r="D9" s="500"/>
      <c r="E9" s="266"/>
      <c r="F9" s="283"/>
      <c r="G9" s="284" t="s">
        <v>717</v>
      </c>
      <c r="H9" s="2317">
        <f>I156</f>
        <v>2548634.023333333</v>
      </c>
      <c r="I9" s="2318"/>
      <c r="J9" s="2317">
        <f>K156</f>
        <v>2808745.4</v>
      </c>
      <c r="K9" s="2318"/>
      <c r="L9" s="2317">
        <f>M156</f>
        <v>2952315.26565</v>
      </c>
      <c r="M9" s="2318"/>
      <c r="N9" s="2330">
        <f>O156</f>
        <v>2802655.2</v>
      </c>
      <c r="O9" s="2330"/>
      <c r="P9" s="2317">
        <f>Q156</f>
        <v>0</v>
      </c>
      <c r="Q9" s="2318"/>
      <c r="R9" s="2317">
        <f>S156</f>
        <v>0</v>
      </c>
      <c r="S9" s="2318"/>
      <c r="V9" s="261"/>
    </row>
    <row r="10" spans="1:22" s="267" customFormat="1" ht="32.1" customHeight="1" thickBot="1">
      <c r="A10" s="293"/>
      <c r="B10" s="300"/>
      <c r="C10" s="295" t="s">
        <v>718</v>
      </c>
      <c r="D10" s="501"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V10" s="268"/>
    </row>
    <row r="11" spans="1:22" ht="15.75">
      <c r="A11" s="2040"/>
      <c r="B11" s="2064" t="s">
        <v>725</v>
      </c>
      <c r="C11" s="1398"/>
      <c r="D11" s="2071"/>
      <c r="E11" s="2042"/>
      <c r="F11" s="2043"/>
      <c r="G11" s="2044"/>
      <c r="H11" s="2068"/>
      <c r="I11" s="285"/>
      <c r="J11" s="2068"/>
      <c r="K11" s="2047"/>
      <c r="L11" s="2068"/>
      <c r="M11" s="2046"/>
      <c r="N11" s="2068"/>
      <c r="O11" s="2047"/>
      <c r="P11" s="2068"/>
      <c r="Q11" s="2047"/>
      <c r="R11" s="2068"/>
      <c r="S11" s="2047"/>
    </row>
    <row r="12" spans="1:22">
      <c r="A12" s="2040"/>
      <c r="B12" s="2019" t="s">
        <v>726</v>
      </c>
      <c r="C12" s="446"/>
      <c r="D12" s="499"/>
      <c r="E12" s="422"/>
      <c r="F12" s="418"/>
      <c r="G12" s="423"/>
      <c r="H12" s="2020" t="s">
        <v>727</v>
      </c>
      <c r="I12" s="2047"/>
      <c r="J12" s="2020"/>
      <c r="K12" s="2047"/>
      <c r="L12" s="2020" t="s">
        <v>727</v>
      </c>
      <c r="M12" s="2046"/>
      <c r="N12" s="2020"/>
      <c r="O12" s="2047"/>
      <c r="P12" s="2020"/>
      <c r="Q12" s="2047"/>
      <c r="R12" s="2020"/>
      <c r="S12" s="2047"/>
    </row>
    <row r="13" spans="1:22">
      <c r="A13" s="1097"/>
      <c r="B13" s="2019" t="s">
        <v>728</v>
      </c>
      <c r="C13" s="446"/>
      <c r="D13" s="499"/>
      <c r="E13" s="422"/>
      <c r="F13" s="418"/>
      <c r="G13" s="423"/>
      <c r="H13" s="2020" t="s">
        <v>727</v>
      </c>
      <c r="I13" s="2047"/>
      <c r="J13" s="2020"/>
      <c r="K13" s="2047"/>
      <c r="L13" s="2020" t="s">
        <v>727</v>
      </c>
      <c r="M13" s="2046"/>
      <c r="N13" s="2020"/>
      <c r="O13" s="2047"/>
      <c r="P13" s="2020"/>
      <c r="Q13" s="2047"/>
      <c r="R13" s="2020"/>
      <c r="S13" s="2047"/>
    </row>
    <row r="14" spans="1:22">
      <c r="A14" s="2040"/>
      <c r="B14" s="2021" t="s">
        <v>729</v>
      </c>
      <c r="C14" s="446"/>
      <c r="D14" s="499"/>
      <c r="E14" s="422"/>
      <c r="F14" s="418"/>
      <c r="G14" s="423"/>
      <c r="H14" s="2020" t="s">
        <v>730</v>
      </c>
      <c r="I14" s="2072" t="s">
        <v>1948</v>
      </c>
      <c r="J14" s="2020"/>
      <c r="K14" s="2047"/>
      <c r="L14" s="2020" t="s">
        <v>730</v>
      </c>
      <c r="M14" s="2046" t="s">
        <v>1948</v>
      </c>
      <c r="N14" s="2020"/>
      <c r="O14" s="2047"/>
      <c r="P14" s="2020"/>
      <c r="Q14" s="2047"/>
      <c r="R14" s="2020"/>
      <c r="S14" s="2047"/>
    </row>
    <row r="15" spans="1:22">
      <c r="A15" s="1097"/>
      <c r="B15" s="2021" t="s">
        <v>731</v>
      </c>
      <c r="C15" s="446"/>
      <c r="D15" s="499"/>
      <c r="E15" s="422"/>
      <c r="F15" s="418"/>
      <c r="G15" s="423"/>
      <c r="H15" s="2020" t="s">
        <v>727</v>
      </c>
      <c r="I15" s="2046"/>
      <c r="J15" s="2020"/>
      <c r="K15" s="2046"/>
      <c r="L15" s="2020" t="s">
        <v>727</v>
      </c>
      <c r="M15" s="2046"/>
      <c r="N15" s="2020"/>
      <c r="O15" s="2046"/>
      <c r="P15" s="2020"/>
      <c r="Q15" s="2046"/>
      <c r="R15" s="2020"/>
      <c r="S15" s="2046"/>
    </row>
    <row r="16" spans="1:22">
      <c r="A16" s="2040"/>
      <c r="B16" s="2021" t="s">
        <v>732</v>
      </c>
      <c r="C16" s="446"/>
      <c r="D16" s="499"/>
      <c r="E16" s="422"/>
      <c r="F16" s="418"/>
      <c r="G16" s="423"/>
      <c r="H16" s="2020" t="s">
        <v>727</v>
      </c>
      <c r="I16" s="2047"/>
      <c r="J16" s="2020"/>
      <c r="K16" s="2047"/>
      <c r="L16" s="2020" t="s">
        <v>727</v>
      </c>
      <c r="M16" s="2046"/>
      <c r="N16" s="2020"/>
      <c r="O16" s="2047"/>
      <c r="P16" s="2020"/>
      <c r="Q16" s="2047"/>
      <c r="R16" s="2020"/>
      <c r="S16" s="2047"/>
    </row>
    <row r="17" spans="1:19">
      <c r="A17" s="1097"/>
      <c r="B17" s="2021" t="s">
        <v>733</v>
      </c>
      <c r="C17" s="446"/>
      <c r="D17" s="499"/>
      <c r="E17" s="422"/>
      <c r="F17" s="418"/>
      <c r="G17" s="423"/>
      <c r="H17" s="2020" t="s">
        <v>727</v>
      </c>
      <c r="I17" s="2047"/>
      <c r="J17" s="2020"/>
      <c r="K17" s="2047"/>
      <c r="L17" s="2020" t="s">
        <v>727</v>
      </c>
      <c r="M17" s="2046"/>
      <c r="N17" s="2020"/>
      <c r="O17" s="2047"/>
      <c r="P17" s="2020"/>
      <c r="Q17" s="2047"/>
      <c r="R17" s="2020"/>
      <c r="S17" s="2047"/>
    </row>
    <row r="18" spans="1:19">
      <c r="A18" s="2040"/>
      <c r="B18" s="534" t="s">
        <v>734</v>
      </c>
      <c r="C18" s="446"/>
      <c r="D18" s="499"/>
      <c r="E18" s="422"/>
      <c r="F18" s="418"/>
      <c r="G18" s="423"/>
      <c r="H18" s="2020" t="s">
        <v>730</v>
      </c>
      <c r="I18" s="2047"/>
      <c r="J18" s="2020"/>
      <c r="K18" s="2047"/>
      <c r="L18" s="2020" t="s">
        <v>730</v>
      </c>
      <c r="M18" s="2046"/>
      <c r="N18" s="2020"/>
      <c r="O18" s="2047"/>
      <c r="P18" s="2020"/>
      <c r="Q18" s="2047"/>
      <c r="R18" s="2020"/>
      <c r="S18" s="2047"/>
    </row>
    <row r="19" spans="1:19">
      <c r="A19" s="2040"/>
      <c r="B19" s="1988" t="s">
        <v>736</v>
      </c>
      <c r="C19" s="446"/>
      <c r="D19" s="499"/>
      <c r="E19" s="422"/>
      <c r="F19" s="418"/>
      <c r="G19" s="423"/>
      <c r="H19" s="2020"/>
      <c r="I19" s="2047"/>
      <c r="J19" s="2020"/>
      <c r="K19" s="2047"/>
      <c r="L19" s="2020"/>
      <c r="M19" s="2046"/>
      <c r="N19" s="2020"/>
      <c r="O19" s="2047"/>
      <c r="P19" s="2020"/>
      <c r="Q19" s="2047"/>
      <c r="R19" s="2020"/>
      <c r="S19" s="2047"/>
    </row>
    <row r="20" spans="1:19">
      <c r="A20" s="1097"/>
      <c r="B20" s="2023" t="s">
        <v>737</v>
      </c>
      <c r="C20" s="447"/>
      <c r="D20" s="502"/>
      <c r="E20" s="425"/>
      <c r="F20" s="426"/>
      <c r="G20" s="427"/>
      <c r="H20" s="1989"/>
      <c r="I20" s="2025"/>
      <c r="J20" s="1989"/>
      <c r="K20" s="2025">
        <v>2942495.4</v>
      </c>
      <c r="L20" s="1989"/>
      <c r="M20" s="2024"/>
      <c r="N20" s="1989"/>
      <c r="O20" s="2025">
        <v>2326135.2000000002</v>
      </c>
      <c r="P20" s="1989"/>
      <c r="Q20" s="2025"/>
      <c r="R20" s="1989"/>
      <c r="S20" s="2025"/>
    </row>
    <row r="21" spans="1:19">
      <c r="A21" s="2040"/>
      <c r="B21" s="1999"/>
      <c r="C21" s="23"/>
      <c r="D21" s="503"/>
      <c r="E21" s="86"/>
      <c r="F21" s="431"/>
      <c r="G21" s="2029"/>
      <c r="H21" s="2020"/>
      <c r="I21" s="2047"/>
      <c r="J21" s="2020"/>
      <c r="K21" s="2047"/>
      <c r="L21" s="2020"/>
      <c r="M21" s="2047"/>
      <c r="N21" s="2020"/>
      <c r="O21" s="2047"/>
      <c r="P21" s="2020"/>
      <c r="Q21" s="2047"/>
      <c r="R21" s="2020"/>
      <c r="S21" s="2047"/>
    </row>
    <row r="22" spans="1:19">
      <c r="A22" s="2040"/>
      <c r="B22" s="2051" t="s">
        <v>2681</v>
      </c>
      <c r="C22" s="415"/>
      <c r="D22" s="504"/>
      <c r="E22" s="422"/>
      <c r="F22" s="431"/>
      <c r="G22" s="2029"/>
      <c r="H22" s="2020"/>
      <c r="I22" s="2047"/>
      <c r="J22" s="2020"/>
      <c r="K22" s="2047"/>
      <c r="L22" s="2020"/>
      <c r="M22" s="2047"/>
      <c r="N22" s="2020"/>
      <c r="O22" s="2047"/>
      <c r="P22" s="2020"/>
      <c r="Q22" s="2047"/>
      <c r="R22" s="2020"/>
      <c r="S22" s="2047"/>
    </row>
    <row r="23" spans="1:19">
      <c r="A23" s="1097"/>
      <c r="B23" s="2051" t="s">
        <v>283</v>
      </c>
      <c r="C23" s="415"/>
      <c r="D23" s="504"/>
      <c r="E23" s="422"/>
      <c r="F23" s="431"/>
      <c r="G23" s="2029"/>
      <c r="H23" s="2020"/>
      <c r="I23" s="2047"/>
      <c r="J23" s="2020"/>
      <c r="K23" s="2047"/>
      <c r="L23" s="2020"/>
      <c r="M23" s="2047"/>
      <c r="N23" s="2020"/>
      <c r="O23" s="2047"/>
      <c r="P23" s="2020"/>
      <c r="Q23" s="2047"/>
      <c r="R23" s="2020"/>
      <c r="S23" s="2047"/>
    </row>
    <row r="24" spans="1:19">
      <c r="A24" s="2040"/>
      <c r="B24" s="2051" t="s">
        <v>770</v>
      </c>
      <c r="C24" s="23"/>
      <c r="D24" s="504"/>
      <c r="E24" s="422"/>
      <c r="F24" s="431"/>
      <c r="G24" s="2029"/>
      <c r="H24" s="2020"/>
      <c r="I24" s="2047">
        <f>5250+5890.5</f>
        <v>11140.5</v>
      </c>
      <c r="J24" s="2020"/>
      <c r="K24" s="2047"/>
      <c r="L24" s="2020"/>
      <c r="M24" s="2047">
        <v>16226</v>
      </c>
      <c r="N24" s="2020"/>
      <c r="O24" s="2047"/>
      <c r="P24" s="2020"/>
      <c r="Q24" s="2047"/>
      <c r="R24" s="2020"/>
      <c r="S24" s="2047"/>
    </row>
    <row r="25" spans="1:19">
      <c r="A25" s="2040"/>
      <c r="B25" s="1999" t="s">
        <v>2682</v>
      </c>
      <c r="C25" s="23"/>
      <c r="D25" s="504"/>
      <c r="E25" s="422"/>
      <c r="F25" s="431"/>
      <c r="G25" s="2029"/>
      <c r="H25" s="2020"/>
      <c r="I25" s="2047">
        <f>25987.5+21955.5</f>
        <v>47943</v>
      </c>
      <c r="J25" s="2020"/>
      <c r="K25" s="2047"/>
      <c r="L25" s="2020"/>
      <c r="M25" s="2047">
        <f>49806.5+1464</f>
        <v>51270.5</v>
      </c>
      <c r="N25" s="2020"/>
      <c r="O25" s="2047"/>
      <c r="P25" s="2020"/>
      <c r="Q25" s="2047"/>
      <c r="R25" s="2020"/>
      <c r="S25" s="2047"/>
    </row>
    <row r="26" spans="1:19">
      <c r="A26" s="1097"/>
      <c r="B26" s="1999" t="s">
        <v>802</v>
      </c>
      <c r="C26" s="23"/>
      <c r="D26" s="503"/>
      <c r="E26" s="86"/>
      <c r="F26" s="431"/>
      <c r="G26" s="2029"/>
      <c r="H26" s="2020"/>
      <c r="I26" s="2073">
        <v>5000</v>
      </c>
      <c r="J26" s="2020"/>
      <c r="K26" s="2047"/>
      <c r="L26" s="2020"/>
      <c r="M26" s="2047">
        <v>5490</v>
      </c>
      <c r="N26" s="2020"/>
      <c r="O26" s="2047"/>
      <c r="P26" s="2020"/>
      <c r="Q26" s="2047"/>
      <c r="R26" s="2020"/>
      <c r="S26" s="2047"/>
    </row>
    <row r="27" spans="1:19">
      <c r="A27" s="2040"/>
      <c r="B27" s="1999" t="s">
        <v>2683</v>
      </c>
      <c r="C27" s="23"/>
      <c r="D27" s="503"/>
      <c r="E27" s="86"/>
      <c r="F27" s="431"/>
      <c r="G27" s="2029"/>
      <c r="H27" s="2020"/>
      <c r="I27" s="2047">
        <f>5250+6426</f>
        <v>11676</v>
      </c>
      <c r="J27" s="2020"/>
      <c r="K27" s="2047"/>
      <c r="L27" s="2020"/>
      <c r="M27" s="2047">
        <f>3172+10333+1952+5743+8174</f>
        <v>29374</v>
      </c>
      <c r="N27" s="2020"/>
      <c r="O27" s="2047"/>
      <c r="P27" s="2020"/>
      <c r="Q27" s="2047"/>
      <c r="R27" s="2020"/>
      <c r="S27" s="2047"/>
    </row>
    <row r="28" spans="1:19">
      <c r="A28" s="2040"/>
      <c r="B28" s="1999" t="s">
        <v>2684</v>
      </c>
      <c r="C28" s="23"/>
      <c r="D28" s="503"/>
      <c r="E28" s="86"/>
      <c r="F28" s="431"/>
      <c r="G28" s="2029"/>
      <c r="H28" s="2020"/>
      <c r="I28" s="2047">
        <v>14175</v>
      </c>
      <c r="J28" s="2020"/>
      <c r="K28" s="2047"/>
      <c r="L28" s="2020"/>
      <c r="M28" s="2047">
        <v>14579</v>
      </c>
      <c r="N28" s="2020"/>
      <c r="O28" s="2047"/>
      <c r="P28" s="2020"/>
      <c r="Q28" s="2047"/>
      <c r="R28" s="2020"/>
      <c r="S28" s="2047"/>
    </row>
    <row r="29" spans="1:19">
      <c r="A29" s="2040"/>
      <c r="B29" s="1999" t="s">
        <v>2685</v>
      </c>
      <c r="C29" s="23"/>
      <c r="D29" s="503"/>
      <c r="E29" s="86"/>
      <c r="F29" s="431"/>
      <c r="G29" s="2029"/>
      <c r="H29" s="2020"/>
      <c r="I29" s="2047">
        <v>1233.31</v>
      </c>
      <c r="J29" s="2020"/>
      <c r="K29" s="2047"/>
      <c r="L29" s="2020"/>
      <c r="M29" s="2047">
        <f>4247.83+7503-9</f>
        <v>11741.83</v>
      </c>
      <c r="N29" s="2020"/>
      <c r="O29" s="2047"/>
      <c r="P29" s="2020"/>
      <c r="Q29" s="2047"/>
      <c r="R29" s="2020"/>
      <c r="S29" s="2047"/>
    </row>
    <row r="30" spans="1:19">
      <c r="A30" s="2040"/>
      <c r="B30" s="1999" t="s">
        <v>2667</v>
      </c>
      <c r="C30" s="23"/>
      <c r="D30" s="503"/>
      <c r="E30" s="86"/>
      <c r="F30" s="431"/>
      <c r="G30" s="2029"/>
      <c r="H30" s="2020"/>
      <c r="I30" s="2047"/>
      <c r="J30" s="2020"/>
      <c r="K30" s="2047"/>
      <c r="L30" s="2020"/>
      <c r="M30" s="2047">
        <v>21343.9</v>
      </c>
      <c r="N30" s="2020"/>
      <c r="O30" s="2047"/>
      <c r="P30" s="2020"/>
      <c r="Q30" s="2047"/>
      <c r="R30" s="2020"/>
      <c r="S30" s="2047"/>
    </row>
    <row r="31" spans="1:19">
      <c r="A31" s="2040"/>
      <c r="B31" s="1999"/>
      <c r="C31" s="23"/>
      <c r="D31" s="503"/>
      <c r="E31" s="86"/>
      <c r="F31" s="431"/>
      <c r="G31" s="2029"/>
      <c r="H31" s="2020"/>
      <c r="I31" s="2047"/>
      <c r="J31" s="2020"/>
      <c r="K31" s="2047"/>
      <c r="L31" s="2020"/>
      <c r="M31" s="2047"/>
      <c r="N31" s="2020"/>
      <c r="O31" s="2047"/>
      <c r="P31" s="2020"/>
      <c r="Q31" s="2047"/>
      <c r="R31" s="2020"/>
      <c r="S31" s="2047"/>
    </row>
    <row r="32" spans="1:19">
      <c r="A32" s="2040"/>
      <c r="B32" s="2074" t="s">
        <v>2686</v>
      </c>
      <c r="C32" s="23"/>
      <c r="D32" s="503"/>
      <c r="E32" s="86"/>
      <c r="F32" s="431"/>
      <c r="G32" s="2029"/>
      <c r="H32" s="2020"/>
      <c r="I32" s="2047"/>
      <c r="J32" s="2020"/>
      <c r="K32" s="2047"/>
      <c r="L32" s="2020"/>
      <c r="M32" s="2047"/>
      <c r="N32" s="2020"/>
      <c r="O32" s="2047"/>
      <c r="P32" s="2020"/>
      <c r="Q32" s="2047"/>
      <c r="R32" s="2020"/>
      <c r="S32" s="2047"/>
    </row>
    <row r="33" spans="1:19">
      <c r="A33" s="2040"/>
      <c r="B33" s="1999"/>
      <c r="C33" s="23"/>
      <c r="D33" s="503"/>
      <c r="E33" s="86"/>
      <c r="F33" s="431"/>
      <c r="G33" s="2029"/>
      <c r="H33" s="2020"/>
      <c r="I33" s="2047"/>
      <c r="J33" s="2020"/>
      <c r="K33" s="2047"/>
      <c r="L33" s="2020"/>
      <c r="M33" s="2047"/>
      <c r="N33" s="2020"/>
      <c r="O33" s="2047"/>
      <c r="P33" s="2020"/>
      <c r="Q33" s="2047"/>
      <c r="R33" s="2020"/>
      <c r="S33" s="2047"/>
    </row>
    <row r="34" spans="1:19">
      <c r="A34" s="2040"/>
      <c r="B34" s="1999" t="s">
        <v>2687</v>
      </c>
      <c r="C34" s="23"/>
      <c r="D34" s="503"/>
      <c r="E34" s="86"/>
      <c r="F34" s="431"/>
      <c r="G34" s="2029"/>
      <c r="H34" s="2020"/>
      <c r="I34" s="2047"/>
      <c r="J34" s="2020"/>
      <c r="K34" s="2047"/>
      <c r="L34" s="2020"/>
      <c r="M34" s="2047"/>
      <c r="N34" s="2020"/>
      <c r="O34" s="2047"/>
      <c r="P34" s="2020"/>
      <c r="Q34" s="2047"/>
      <c r="R34" s="2020"/>
      <c r="S34" s="2047"/>
    </row>
    <row r="35" spans="1:19">
      <c r="A35" s="2040"/>
      <c r="B35" s="1999" t="s">
        <v>2688</v>
      </c>
      <c r="C35" s="23"/>
      <c r="D35" s="503">
        <v>2274</v>
      </c>
      <c r="E35" s="86" t="s">
        <v>529</v>
      </c>
      <c r="F35" s="431"/>
      <c r="G35" s="2029"/>
      <c r="H35" s="2020"/>
      <c r="I35" s="2047">
        <v>7169.4</v>
      </c>
      <c r="J35" s="2020"/>
      <c r="K35" s="2047"/>
      <c r="L35" s="2020"/>
      <c r="M35" s="2073">
        <v>7200</v>
      </c>
      <c r="N35" s="2020"/>
      <c r="O35" s="2047"/>
      <c r="P35" s="2020"/>
      <c r="Q35" s="2047"/>
      <c r="R35" s="2020"/>
      <c r="S35" s="2047"/>
    </row>
    <row r="36" spans="1:19">
      <c r="A36" s="2040"/>
      <c r="B36" s="1999" t="s">
        <v>2689</v>
      </c>
      <c r="C36" s="23"/>
      <c r="D36" s="503">
        <v>1</v>
      </c>
      <c r="E36" s="86" t="s">
        <v>468</v>
      </c>
      <c r="F36" s="431"/>
      <c r="G36" s="2029"/>
      <c r="H36" s="2020"/>
      <c r="I36" s="2047">
        <v>2625</v>
      </c>
      <c r="J36" s="2020"/>
      <c r="K36" s="2047"/>
      <c r="L36" s="2020"/>
      <c r="M36" s="2047">
        <v>6117.6</v>
      </c>
      <c r="N36" s="2020"/>
      <c r="O36" s="2047"/>
      <c r="P36" s="2020"/>
      <c r="Q36" s="2047"/>
      <c r="R36" s="2020"/>
      <c r="S36" s="2047"/>
    </row>
    <row r="37" spans="1:19">
      <c r="A37" s="2040"/>
      <c r="B37" s="1999" t="s">
        <v>2690</v>
      </c>
      <c r="C37" s="23"/>
      <c r="D37" s="503"/>
      <c r="E37" s="86" t="s">
        <v>800</v>
      </c>
      <c r="F37" s="431"/>
      <c r="G37" s="2029"/>
      <c r="H37" s="2020"/>
      <c r="I37" s="2047"/>
      <c r="J37" s="2020"/>
      <c r="K37" s="2047"/>
      <c r="L37" s="2020"/>
      <c r="M37" s="2047"/>
      <c r="N37" s="2020"/>
      <c r="O37" s="2047"/>
      <c r="P37" s="2020"/>
      <c r="Q37" s="2047"/>
      <c r="R37" s="2020"/>
      <c r="S37" s="2047"/>
    </row>
    <row r="38" spans="1:19">
      <c r="A38" s="2040"/>
      <c r="B38" s="1999" t="s">
        <v>2691</v>
      </c>
      <c r="C38" s="23"/>
      <c r="D38" s="503"/>
      <c r="E38" s="86" t="s">
        <v>800</v>
      </c>
      <c r="F38" s="431"/>
      <c r="G38" s="2029"/>
      <c r="H38" s="2020"/>
      <c r="I38" s="2047"/>
      <c r="J38" s="2020"/>
      <c r="K38" s="2047"/>
      <c r="L38" s="2020"/>
      <c r="M38" s="2047"/>
      <c r="N38" s="2020"/>
      <c r="O38" s="2047"/>
      <c r="P38" s="2020"/>
      <c r="Q38" s="2047"/>
      <c r="R38" s="2020"/>
      <c r="S38" s="2047"/>
    </row>
    <row r="39" spans="1:19">
      <c r="A39" s="2040"/>
      <c r="B39" s="1999" t="s">
        <v>2692</v>
      </c>
      <c r="C39" s="23"/>
      <c r="D39" s="503"/>
      <c r="E39" s="86" t="s">
        <v>800</v>
      </c>
      <c r="F39" s="431"/>
      <c r="G39" s="2029"/>
      <c r="H39" s="2020"/>
      <c r="I39" s="2047"/>
      <c r="J39" s="2020"/>
      <c r="K39" s="2047"/>
      <c r="L39" s="2020"/>
      <c r="M39" s="2047"/>
      <c r="N39" s="2020"/>
      <c r="O39" s="2047"/>
      <c r="P39" s="2020"/>
      <c r="Q39" s="2047"/>
      <c r="R39" s="2020"/>
      <c r="S39" s="2047"/>
    </row>
    <row r="40" spans="1:19">
      <c r="A40" s="2040"/>
      <c r="B40" s="1999" t="s">
        <v>2693</v>
      </c>
      <c r="C40" s="23"/>
      <c r="D40" s="503"/>
      <c r="E40" s="86" t="s">
        <v>800</v>
      </c>
      <c r="F40" s="431"/>
      <c r="G40" s="2029"/>
      <c r="H40" s="2020"/>
      <c r="I40" s="2047"/>
      <c r="J40" s="2020"/>
      <c r="K40" s="2047"/>
      <c r="L40" s="2020"/>
      <c r="M40" s="2047"/>
      <c r="N40" s="2020"/>
      <c r="O40" s="2047"/>
      <c r="P40" s="2020"/>
      <c r="Q40" s="2047"/>
      <c r="R40" s="2020"/>
      <c r="S40" s="2047"/>
    </row>
    <row r="41" spans="1:19">
      <c r="A41" s="2040"/>
      <c r="B41" s="1999" t="s">
        <v>2694</v>
      </c>
      <c r="C41" s="23"/>
      <c r="D41" s="503">
        <f>SUM(D99:D104)</f>
        <v>31</v>
      </c>
      <c r="E41" s="86" t="s">
        <v>468</v>
      </c>
      <c r="F41" s="431"/>
      <c r="G41" s="2029"/>
      <c r="H41" s="2020"/>
      <c r="I41" s="2047"/>
      <c r="J41" s="2020"/>
      <c r="K41" s="2047"/>
      <c r="L41" s="2020"/>
      <c r="M41" s="2047">
        <v>1830</v>
      </c>
      <c r="N41" s="2020"/>
      <c r="O41" s="2047"/>
      <c r="P41" s="2020"/>
      <c r="Q41" s="2047"/>
      <c r="R41" s="2020"/>
      <c r="S41" s="2047"/>
    </row>
    <row r="42" spans="1:19">
      <c r="A42" s="2040"/>
      <c r="B42" s="1999" t="s">
        <v>2695</v>
      </c>
      <c r="C42" s="23"/>
      <c r="D42" s="503">
        <v>10</v>
      </c>
      <c r="E42" s="86" t="s">
        <v>468</v>
      </c>
      <c r="F42" s="431"/>
      <c r="G42" s="2029"/>
      <c r="H42" s="2020"/>
      <c r="I42" s="2047"/>
      <c r="J42" s="2020"/>
      <c r="K42" s="2047"/>
      <c r="L42" s="2020"/>
      <c r="M42" s="2047"/>
      <c r="N42" s="2020"/>
      <c r="O42" s="2047"/>
      <c r="P42" s="2020"/>
      <c r="Q42" s="2047"/>
      <c r="R42" s="2020"/>
      <c r="S42" s="2047"/>
    </row>
    <row r="43" spans="1:19">
      <c r="A43" s="2040"/>
      <c r="B43" s="1999"/>
      <c r="C43" s="23"/>
      <c r="D43" s="503"/>
      <c r="E43" s="86"/>
      <c r="F43" s="431"/>
      <c r="G43" s="2029"/>
      <c r="H43" s="2020"/>
      <c r="I43" s="2047"/>
      <c r="J43" s="2020"/>
      <c r="K43" s="2047"/>
      <c r="L43" s="2020"/>
      <c r="M43" s="2047"/>
      <c r="N43" s="2020"/>
      <c r="O43" s="2047"/>
      <c r="P43" s="2020"/>
      <c r="Q43" s="2047"/>
      <c r="R43" s="2020"/>
      <c r="S43" s="2047"/>
    </row>
    <row r="44" spans="1:19">
      <c r="A44" s="2040"/>
      <c r="B44" s="1999" t="s">
        <v>2696</v>
      </c>
      <c r="C44" s="23"/>
      <c r="D44" s="503"/>
      <c r="E44" s="86"/>
      <c r="F44" s="431"/>
      <c r="G44" s="2029"/>
      <c r="H44" s="2020"/>
      <c r="I44" s="2047"/>
      <c r="J44" s="2020"/>
      <c r="K44" s="2047"/>
      <c r="L44" s="2020"/>
      <c r="M44" s="2047"/>
      <c r="N44" s="2020"/>
      <c r="O44" s="2047"/>
      <c r="P44" s="2020"/>
      <c r="Q44" s="2047"/>
      <c r="R44" s="2020"/>
      <c r="S44" s="2047"/>
    </row>
    <row r="45" spans="1:19">
      <c r="A45" s="2040"/>
      <c r="B45" s="2051" t="s">
        <v>2697</v>
      </c>
      <c r="C45" s="23"/>
      <c r="D45" s="503">
        <v>108</v>
      </c>
      <c r="E45" s="86" t="s">
        <v>468</v>
      </c>
      <c r="F45" s="431"/>
      <c r="G45" s="2029"/>
      <c r="H45" s="2020" t="s">
        <v>682</v>
      </c>
      <c r="I45" s="2073">
        <v>7000</v>
      </c>
      <c r="J45" s="2020"/>
      <c r="K45" s="2047"/>
      <c r="L45" s="2020" t="s">
        <v>682</v>
      </c>
      <c r="M45" s="2047">
        <v>6900.3</v>
      </c>
      <c r="N45" s="2020"/>
      <c r="O45" s="2047"/>
      <c r="P45" s="2020"/>
      <c r="Q45" s="2047"/>
      <c r="R45" s="2020"/>
      <c r="S45" s="2047"/>
    </row>
    <row r="46" spans="1:19">
      <c r="A46" s="2040"/>
      <c r="B46" s="2051" t="s">
        <v>2698</v>
      </c>
      <c r="C46" s="23"/>
      <c r="D46" s="503">
        <v>16</v>
      </c>
      <c r="E46" s="86" t="s">
        <v>468</v>
      </c>
      <c r="F46" s="431">
        <v>185</v>
      </c>
      <c r="G46" s="2029">
        <f>D46*F46</f>
        <v>2960</v>
      </c>
      <c r="H46" s="2020"/>
      <c r="I46" s="2073">
        <f>$G46</f>
        <v>2960</v>
      </c>
      <c r="J46" s="2020"/>
      <c r="K46" s="2047"/>
      <c r="L46" s="2020" t="s">
        <v>682</v>
      </c>
      <c r="M46" s="2047">
        <v>2928</v>
      </c>
      <c r="N46" s="2020"/>
      <c r="O46" s="2047"/>
      <c r="P46" s="2020"/>
      <c r="Q46" s="2047"/>
      <c r="R46" s="2020"/>
      <c r="S46" s="2047"/>
    </row>
    <row r="47" spans="1:19">
      <c r="A47" s="2040"/>
      <c r="B47" s="2051" t="s">
        <v>2699</v>
      </c>
      <c r="C47" s="23"/>
      <c r="D47" s="503"/>
      <c r="E47" s="86"/>
      <c r="F47" s="431"/>
      <c r="G47" s="2029"/>
      <c r="H47" s="2020"/>
      <c r="I47" s="2073">
        <v>600</v>
      </c>
      <c r="J47" s="2020"/>
      <c r="K47" s="2047"/>
      <c r="L47" s="2020" t="s">
        <v>682</v>
      </c>
      <c r="M47" s="2047">
        <v>617.1</v>
      </c>
      <c r="N47" s="2020"/>
      <c r="O47" s="2047"/>
      <c r="P47" s="2020"/>
      <c r="Q47" s="2047"/>
      <c r="R47" s="2020"/>
      <c r="S47" s="2047"/>
    </row>
    <row r="48" spans="1:19">
      <c r="A48" s="2040"/>
      <c r="B48" s="2051" t="s">
        <v>2700</v>
      </c>
      <c r="C48" s="23"/>
      <c r="D48" s="503">
        <v>286188</v>
      </c>
      <c r="E48" s="86" t="s">
        <v>511</v>
      </c>
      <c r="F48" s="431"/>
      <c r="G48" s="2029"/>
      <c r="H48" s="2020" t="s">
        <v>682</v>
      </c>
      <c r="I48" s="2047">
        <f>50232+51560.25</f>
        <v>101792.25</v>
      </c>
      <c r="J48" s="2020"/>
      <c r="K48" s="2047"/>
      <c r="L48" s="2020" t="s">
        <v>682</v>
      </c>
      <c r="M48" s="2047">
        <f>16774.33+72042.16</f>
        <v>88816.49</v>
      </c>
      <c r="N48" s="2020"/>
      <c r="O48" s="2047"/>
      <c r="P48" s="2020"/>
      <c r="Q48" s="2047"/>
      <c r="R48" s="2020"/>
      <c r="S48" s="2047"/>
    </row>
    <row r="49" spans="1:19">
      <c r="A49" s="2040"/>
      <c r="B49" s="2051" t="s">
        <v>2701</v>
      </c>
      <c r="C49" s="23"/>
      <c r="D49" s="503"/>
      <c r="E49" s="86"/>
      <c r="F49" s="431"/>
      <c r="G49" s="2029"/>
      <c r="H49" s="2020" t="s">
        <v>682</v>
      </c>
      <c r="I49" s="2075">
        <v>44982</v>
      </c>
      <c r="J49" s="2020"/>
      <c r="K49" s="2047"/>
      <c r="L49" s="2020" t="s">
        <v>682</v>
      </c>
      <c r="M49" s="2047">
        <f>302887.39-SUM(M45:M48)-M53</f>
        <v>193865.5</v>
      </c>
      <c r="N49" s="2020"/>
      <c r="O49" s="2073">
        <v>200000</v>
      </c>
      <c r="P49" s="2020"/>
      <c r="Q49" s="2047"/>
      <c r="R49" s="2020"/>
      <c r="S49" s="2047"/>
    </row>
    <row r="50" spans="1:19">
      <c r="A50" s="2040"/>
      <c r="B50" s="2051" t="s">
        <v>2702</v>
      </c>
      <c r="C50" s="23"/>
      <c r="D50" s="503"/>
      <c r="E50" s="86"/>
      <c r="F50" s="431"/>
      <c r="G50" s="2029"/>
      <c r="H50" s="2020"/>
      <c r="I50" s="2073">
        <v>100000</v>
      </c>
      <c r="J50" s="2020"/>
      <c r="K50" s="2047"/>
      <c r="L50" s="2020"/>
      <c r="M50" s="2047"/>
      <c r="N50" s="2020"/>
      <c r="O50" s="2047"/>
      <c r="P50" s="2020"/>
      <c r="Q50" s="2047"/>
      <c r="R50" s="2020"/>
      <c r="S50" s="2047"/>
    </row>
    <row r="51" spans="1:19">
      <c r="A51" s="2040"/>
      <c r="B51" s="1999"/>
      <c r="C51" s="23"/>
      <c r="D51" s="503"/>
      <c r="E51" s="86"/>
      <c r="F51" s="431"/>
      <c r="G51" s="2029"/>
      <c r="H51" s="2020"/>
      <c r="I51" s="2047"/>
      <c r="J51" s="2020"/>
      <c r="K51" s="2047"/>
      <c r="L51" s="2020"/>
      <c r="M51" s="2047"/>
      <c r="N51" s="2020"/>
      <c r="O51" s="2047"/>
      <c r="P51" s="2020"/>
      <c r="Q51" s="2047"/>
      <c r="R51" s="2020"/>
      <c r="S51" s="2047"/>
    </row>
    <row r="52" spans="1:19">
      <c r="A52" s="2040"/>
      <c r="B52" s="1999" t="s">
        <v>2703</v>
      </c>
      <c r="C52" s="23"/>
      <c r="D52" s="503"/>
      <c r="E52" s="86"/>
      <c r="F52" s="431"/>
      <c r="G52" s="2029"/>
      <c r="H52" s="2020"/>
      <c r="I52" s="2047"/>
      <c r="J52" s="2020"/>
      <c r="K52" s="2047"/>
      <c r="L52" s="2020"/>
      <c r="M52" s="2047"/>
      <c r="N52" s="2020"/>
      <c r="O52" s="2047"/>
      <c r="P52" s="2020"/>
      <c r="Q52" s="2047"/>
      <c r="R52" s="2020"/>
      <c r="S52" s="2047"/>
    </row>
    <row r="53" spans="1:19">
      <c r="A53" s="2040"/>
      <c r="B53" s="1999" t="s">
        <v>2704</v>
      </c>
      <c r="C53" s="23"/>
      <c r="D53" s="503"/>
      <c r="E53" s="86"/>
      <c r="F53" s="431"/>
      <c r="G53" s="2029"/>
      <c r="H53" s="2020"/>
      <c r="I53" s="2047">
        <v>26250</v>
      </c>
      <c r="J53" s="2020"/>
      <c r="K53" s="2047"/>
      <c r="L53" s="2020" t="s">
        <v>682</v>
      </c>
      <c r="M53" s="2047">
        <v>9760</v>
      </c>
      <c r="N53" s="2020"/>
      <c r="O53" s="2047"/>
      <c r="P53" s="2020"/>
      <c r="Q53" s="2047"/>
      <c r="R53" s="2020"/>
      <c r="S53" s="2047"/>
    </row>
    <row r="54" spans="1:19">
      <c r="A54" s="2040"/>
      <c r="B54" s="2051" t="s">
        <v>2705</v>
      </c>
      <c r="C54" s="23"/>
      <c r="D54" s="503"/>
      <c r="E54" s="86"/>
      <c r="F54" s="431"/>
      <c r="G54" s="2029"/>
      <c r="H54" s="2020"/>
      <c r="I54" s="2047">
        <v>327446.96000000002</v>
      </c>
      <c r="J54" s="2020"/>
      <c r="K54" s="2047"/>
      <c r="L54" s="2020"/>
      <c r="M54" s="2047">
        <v>501305.35</v>
      </c>
      <c r="N54" s="2020"/>
      <c r="O54" s="2047"/>
      <c r="P54" s="2020"/>
      <c r="Q54" s="2047"/>
      <c r="R54" s="2020"/>
      <c r="S54" s="2047"/>
    </row>
    <row r="55" spans="1:19">
      <c r="A55" s="2040"/>
      <c r="B55" s="2076" t="s">
        <v>2706</v>
      </c>
      <c r="C55" s="23"/>
      <c r="D55" s="503"/>
      <c r="E55" s="86"/>
      <c r="F55" s="431"/>
      <c r="G55" s="2029"/>
      <c r="H55" s="2020" t="s">
        <v>682</v>
      </c>
      <c r="I55" s="2047"/>
      <c r="J55" s="2020"/>
      <c r="K55" s="2047"/>
      <c r="L55" s="2020"/>
      <c r="M55" s="2047"/>
      <c r="N55" s="2020"/>
      <c r="O55" s="2047"/>
      <c r="P55" s="2020"/>
      <c r="Q55" s="2047"/>
      <c r="R55" s="2020"/>
      <c r="S55" s="2047"/>
    </row>
    <row r="56" spans="1:19">
      <c r="A56" s="2040"/>
      <c r="B56" s="2077" t="s">
        <v>2707</v>
      </c>
      <c r="C56" s="23"/>
      <c r="D56" s="503"/>
      <c r="E56" s="86"/>
      <c r="F56" s="431"/>
      <c r="G56" s="2029"/>
      <c r="H56" s="2020" t="s">
        <v>682</v>
      </c>
      <c r="I56" s="2047"/>
      <c r="J56" s="2020"/>
      <c r="K56" s="2047"/>
      <c r="L56" s="2020"/>
      <c r="M56" s="2047"/>
      <c r="N56" s="2020"/>
      <c r="O56" s="2047"/>
      <c r="P56" s="2020"/>
      <c r="Q56" s="2047"/>
      <c r="R56" s="2020"/>
      <c r="S56" s="2047"/>
    </row>
    <row r="57" spans="1:19">
      <c r="A57" s="2040"/>
      <c r="B57" s="2077" t="s">
        <v>2708</v>
      </c>
      <c r="C57" s="23"/>
      <c r="D57" s="503"/>
      <c r="E57" s="86"/>
      <c r="F57" s="431"/>
      <c r="G57" s="2029"/>
      <c r="H57" s="2020" t="s">
        <v>682</v>
      </c>
      <c r="I57" s="2047"/>
      <c r="J57" s="2020"/>
      <c r="K57" s="2047"/>
      <c r="L57" s="2020"/>
      <c r="M57" s="2047"/>
      <c r="N57" s="2020"/>
      <c r="O57" s="2047"/>
      <c r="P57" s="2020"/>
      <c r="Q57" s="2047"/>
      <c r="R57" s="2020"/>
      <c r="S57" s="2047"/>
    </row>
    <row r="58" spans="1:19">
      <c r="A58" s="2040"/>
      <c r="B58" s="2077" t="s">
        <v>2709</v>
      </c>
      <c r="C58" s="23"/>
      <c r="D58" s="503"/>
      <c r="E58" s="86"/>
      <c r="F58" s="431"/>
      <c r="G58" s="2029"/>
      <c r="H58" s="2020" t="s">
        <v>682</v>
      </c>
      <c r="I58" s="2047"/>
      <c r="J58" s="2020"/>
      <c r="K58" s="2047"/>
      <c r="L58" s="2020"/>
      <c r="M58" s="2047"/>
      <c r="N58" s="2020"/>
      <c r="O58" s="2047"/>
      <c r="P58" s="2020"/>
      <c r="Q58" s="2047"/>
      <c r="R58" s="2020"/>
      <c r="S58" s="2047"/>
    </row>
    <row r="59" spans="1:19">
      <c r="A59" s="2040"/>
      <c r="B59" s="2077" t="s">
        <v>2710</v>
      </c>
      <c r="C59" s="23"/>
      <c r="D59" s="503"/>
      <c r="E59" s="86"/>
      <c r="F59" s="431"/>
      <c r="G59" s="2029"/>
      <c r="H59" s="2020" t="s">
        <v>682</v>
      </c>
      <c r="I59" s="2047"/>
      <c r="J59" s="2020"/>
      <c r="K59" s="2047"/>
      <c r="L59" s="2020"/>
      <c r="M59" s="2047"/>
      <c r="N59" s="2020"/>
      <c r="O59" s="2047"/>
      <c r="P59" s="2020"/>
      <c r="Q59" s="2047"/>
      <c r="R59" s="2020"/>
      <c r="S59" s="2047"/>
    </row>
    <row r="60" spans="1:19">
      <c r="A60" s="2040"/>
      <c r="B60" s="2077" t="s">
        <v>2711</v>
      </c>
      <c r="C60" s="23"/>
      <c r="D60" s="503"/>
      <c r="E60" s="86"/>
      <c r="F60" s="431"/>
      <c r="G60" s="2029"/>
      <c r="H60" s="2020" t="s">
        <v>682</v>
      </c>
      <c r="I60" s="2047"/>
      <c r="J60" s="2020"/>
      <c r="K60" s="2047"/>
      <c r="L60" s="2020"/>
      <c r="M60" s="2047"/>
      <c r="N60" s="2020"/>
      <c r="O60" s="2047"/>
      <c r="P60" s="2020"/>
      <c r="Q60" s="2047"/>
      <c r="R60" s="2020"/>
      <c r="S60" s="2047"/>
    </row>
    <row r="61" spans="1:19">
      <c r="A61" s="2040"/>
      <c r="B61" s="2077" t="s">
        <v>2712</v>
      </c>
      <c r="C61" s="23"/>
      <c r="D61" s="503"/>
      <c r="E61" s="86"/>
      <c r="F61" s="431"/>
      <c r="G61" s="2029"/>
      <c r="H61" s="2020" t="s">
        <v>682</v>
      </c>
      <c r="I61" s="2047"/>
      <c r="J61" s="2020"/>
      <c r="K61" s="2047"/>
      <c r="L61" s="2020"/>
      <c r="M61" s="2047"/>
      <c r="N61" s="2020"/>
      <c r="O61" s="2047"/>
      <c r="P61" s="2020"/>
      <c r="Q61" s="2047"/>
      <c r="R61" s="2020"/>
      <c r="S61" s="2047"/>
    </row>
    <row r="62" spans="1:19">
      <c r="A62" s="2040"/>
      <c r="B62" s="2077" t="s">
        <v>2713</v>
      </c>
      <c r="C62" s="23"/>
      <c r="D62" s="503"/>
      <c r="E62" s="86"/>
      <c r="F62" s="431"/>
      <c r="G62" s="2029"/>
      <c r="H62" s="2020" t="s">
        <v>682</v>
      </c>
      <c r="I62" s="2047"/>
      <c r="J62" s="2020"/>
      <c r="K62" s="2047"/>
      <c r="L62" s="2020"/>
      <c r="M62" s="2047"/>
      <c r="N62" s="2020"/>
      <c r="O62" s="2047"/>
      <c r="P62" s="2020"/>
      <c r="Q62" s="2047"/>
      <c r="R62" s="2020"/>
      <c r="S62" s="2047"/>
    </row>
    <row r="63" spans="1:19">
      <c r="A63" s="2040"/>
      <c r="B63" s="2077" t="s">
        <v>2714</v>
      </c>
      <c r="C63" s="23"/>
      <c r="D63" s="503"/>
      <c r="E63" s="86"/>
      <c r="F63" s="431"/>
      <c r="G63" s="2029"/>
      <c r="H63" s="2020" t="s">
        <v>682</v>
      </c>
      <c r="I63" s="2047"/>
      <c r="J63" s="2020"/>
      <c r="K63" s="2047"/>
      <c r="L63" s="2020"/>
      <c r="M63" s="2047"/>
      <c r="N63" s="2020"/>
      <c r="O63" s="2047"/>
      <c r="P63" s="2020"/>
      <c r="Q63" s="2047"/>
      <c r="R63" s="2020"/>
      <c r="S63" s="2047"/>
    </row>
    <row r="64" spans="1:19">
      <c r="A64" s="2040"/>
      <c r="B64" s="2077" t="s">
        <v>2715</v>
      </c>
      <c r="C64" s="23"/>
      <c r="D64" s="503"/>
      <c r="E64" s="86"/>
      <c r="F64" s="431"/>
      <c r="G64" s="2029"/>
      <c r="H64" s="2020" t="s">
        <v>682</v>
      </c>
      <c r="I64" s="2047"/>
      <c r="J64" s="2020"/>
      <c r="K64" s="2047"/>
      <c r="L64" s="2020"/>
      <c r="M64" s="2047"/>
      <c r="N64" s="2020"/>
      <c r="O64" s="2047"/>
      <c r="P64" s="2020"/>
      <c r="Q64" s="2047"/>
      <c r="R64" s="2020"/>
      <c r="S64" s="2047"/>
    </row>
    <row r="65" spans="1:19">
      <c r="A65" s="2040"/>
      <c r="B65" s="2077" t="s">
        <v>2716</v>
      </c>
      <c r="C65" s="23"/>
      <c r="D65" s="503"/>
      <c r="E65" s="86"/>
      <c r="F65" s="431"/>
      <c r="G65" s="830"/>
      <c r="H65" s="2020" t="s">
        <v>682</v>
      </c>
      <c r="I65" s="2047"/>
      <c r="J65" s="2020"/>
      <c r="K65" s="2047"/>
      <c r="L65" s="2020"/>
      <c r="M65" s="2047"/>
      <c r="N65" s="2020"/>
      <c r="O65" s="2047"/>
      <c r="P65" s="2020"/>
      <c r="Q65" s="2047"/>
      <c r="R65" s="2020"/>
      <c r="S65" s="2047"/>
    </row>
    <row r="66" spans="1:19">
      <c r="A66" s="2040"/>
      <c r="B66" s="1999" t="s">
        <v>2717</v>
      </c>
      <c r="C66" s="23"/>
      <c r="D66" s="503"/>
      <c r="E66" s="86"/>
      <c r="F66" s="431"/>
      <c r="G66" s="830"/>
      <c r="H66" s="2020"/>
      <c r="I66" s="2047"/>
      <c r="J66" s="2020"/>
      <c r="K66" s="2047"/>
      <c r="L66" s="2020"/>
      <c r="M66" s="2047"/>
      <c r="N66" s="2020"/>
      <c r="O66" s="2047"/>
      <c r="P66" s="2020"/>
      <c r="Q66" s="2047"/>
      <c r="R66" s="2020"/>
      <c r="S66" s="2047"/>
    </row>
    <row r="67" spans="1:19">
      <c r="A67" s="2040"/>
      <c r="B67" s="1999"/>
      <c r="C67" s="23"/>
      <c r="D67" s="503"/>
      <c r="E67" s="86"/>
      <c r="F67" s="431"/>
      <c r="G67" s="830"/>
      <c r="H67" s="2020"/>
      <c r="I67" s="2047"/>
      <c r="J67" s="2020"/>
      <c r="K67" s="2047"/>
      <c r="L67" s="2020"/>
      <c r="M67" s="2047"/>
      <c r="N67" s="2020"/>
      <c r="O67" s="2047"/>
      <c r="P67" s="2020"/>
      <c r="Q67" s="2047"/>
      <c r="R67" s="2020"/>
      <c r="S67" s="2047"/>
    </row>
    <row r="68" spans="1:19">
      <c r="A68" s="2040"/>
      <c r="B68" s="1999" t="s">
        <v>2718</v>
      </c>
      <c r="C68" s="23"/>
      <c r="D68" s="503"/>
      <c r="E68" s="86"/>
      <c r="F68" s="431"/>
      <c r="G68" s="830"/>
      <c r="H68" s="2020"/>
      <c r="I68" s="2047">
        <v>149328</v>
      </c>
      <c r="J68" s="2020"/>
      <c r="K68" s="2047"/>
      <c r="L68" s="2020"/>
      <c r="M68" s="2047">
        <v>464803.55</v>
      </c>
      <c r="N68" s="2020"/>
      <c r="O68" s="2047"/>
      <c r="P68" s="2020"/>
      <c r="Q68" s="2047"/>
      <c r="R68" s="2020"/>
      <c r="S68" s="2047"/>
    </row>
    <row r="69" spans="1:19">
      <c r="A69" s="2040"/>
      <c r="B69" s="1999" t="s">
        <v>2719</v>
      </c>
      <c r="C69" s="23"/>
      <c r="D69" s="503">
        <f>31320/9</f>
        <v>3480</v>
      </c>
      <c r="E69" s="86" t="s">
        <v>2720</v>
      </c>
      <c r="F69" s="431"/>
      <c r="G69" s="830"/>
      <c r="H69" s="2020" t="s">
        <v>682</v>
      </c>
      <c r="I69" s="2047"/>
      <c r="J69" s="2020"/>
      <c r="K69" s="2047"/>
      <c r="L69" s="2020" t="s">
        <v>682</v>
      </c>
      <c r="M69" s="2047"/>
      <c r="N69" s="2020"/>
      <c r="O69" s="2047"/>
      <c r="P69" s="2020"/>
      <c r="Q69" s="2047"/>
      <c r="R69" s="2020"/>
      <c r="S69" s="2047"/>
    </row>
    <row r="70" spans="1:19">
      <c r="A70" s="2040"/>
      <c r="B70" s="1999" t="s">
        <v>2721</v>
      </c>
      <c r="C70" s="23"/>
      <c r="D70" s="503">
        <f>D69</f>
        <v>3480</v>
      </c>
      <c r="E70" s="86" t="s">
        <v>2720</v>
      </c>
      <c r="F70" s="431"/>
      <c r="G70" s="830"/>
      <c r="H70" s="2020" t="s">
        <v>682</v>
      </c>
      <c r="I70" s="2047"/>
      <c r="J70" s="2020"/>
      <c r="K70" s="2047"/>
      <c r="L70" s="2020" t="s">
        <v>682</v>
      </c>
      <c r="M70" s="2047"/>
      <c r="N70" s="2020"/>
      <c r="O70" s="2047"/>
      <c r="P70" s="2020"/>
      <c r="Q70" s="2047"/>
      <c r="R70" s="2020"/>
      <c r="S70" s="2047"/>
    </row>
    <row r="71" spans="1:19">
      <c r="A71" s="2040"/>
      <c r="B71" s="1999" t="s">
        <v>2722</v>
      </c>
      <c r="C71" s="23"/>
      <c r="D71" s="503">
        <f>D69</f>
        <v>3480</v>
      </c>
      <c r="E71" s="86" t="s">
        <v>2720</v>
      </c>
      <c r="F71" s="431"/>
      <c r="G71" s="830"/>
      <c r="H71" s="2020" t="s">
        <v>682</v>
      </c>
      <c r="I71" s="2047"/>
      <c r="J71" s="2020"/>
      <c r="K71" s="2047"/>
      <c r="L71" s="2020" t="s">
        <v>682</v>
      </c>
      <c r="M71" s="2047"/>
      <c r="N71" s="2020"/>
      <c r="O71" s="2047"/>
      <c r="P71" s="2020"/>
      <c r="Q71" s="2047"/>
      <c r="R71" s="2020"/>
      <c r="S71" s="2047"/>
    </row>
    <row r="72" spans="1:19" ht="25.5">
      <c r="A72" s="2040"/>
      <c r="B72" s="1999" t="s">
        <v>2723</v>
      </c>
      <c r="C72" s="23"/>
      <c r="D72" s="503"/>
      <c r="E72" s="86"/>
      <c r="F72" s="431"/>
      <c r="G72" s="830"/>
      <c r="H72" s="2020"/>
      <c r="I72" s="2047"/>
      <c r="J72" s="2020"/>
      <c r="K72" s="2047"/>
      <c r="L72" s="2020"/>
      <c r="M72" s="2047"/>
      <c r="N72" s="2020"/>
      <c r="O72" s="2047"/>
      <c r="P72" s="2020"/>
      <c r="Q72" s="2047"/>
      <c r="R72" s="2020"/>
      <c r="S72" s="2047"/>
    </row>
    <row r="73" spans="1:19">
      <c r="A73" s="2040"/>
      <c r="B73" s="2077" t="s">
        <v>2724</v>
      </c>
      <c r="C73" s="23"/>
      <c r="D73" s="500">
        <f>25921/9</f>
        <v>2880.1111111111113</v>
      </c>
      <c r="E73" s="86" t="s">
        <v>2720</v>
      </c>
      <c r="F73" s="431"/>
      <c r="G73" s="830"/>
      <c r="H73" s="2020"/>
      <c r="I73" s="2078"/>
      <c r="J73" s="2020"/>
      <c r="K73" s="2047"/>
      <c r="L73" s="2020" t="s">
        <v>682</v>
      </c>
      <c r="M73" s="2047"/>
      <c r="N73" s="2020"/>
      <c r="O73" s="2047"/>
      <c r="P73" s="2020"/>
      <c r="Q73" s="2047"/>
      <c r="R73" s="2020"/>
      <c r="S73" s="2047"/>
    </row>
    <row r="74" spans="1:19">
      <c r="A74" s="2040"/>
      <c r="B74" s="2077" t="s">
        <v>2725</v>
      </c>
      <c r="C74" s="23"/>
      <c r="D74" s="503">
        <f>D73</f>
        <v>2880.1111111111113</v>
      </c>
      <c r="E74" s="86" t="s">
        <v>2720</v>
      </c>
      <c r="F74" s="431">
        <v>30</v>
      </c>
      <c r="G74" s="830">
        <f>F74*D74</f>
        <v>86403.333333333343</v>
      </c>
      <c r="H74" s="2020"/>
      <c r="I74" s="2073">
        <f>$G74</f>
        <v>86403.333333333343</v>
      </c>
      <c r="J74" s="2020"/>
      <c r="K74" s="2047"/>
      <c r="L74" s="2020" t="s">
        <v>682</v>
      </c>
      <c r="M74" s="2047"/>
      <c r="N74" s="2020"/>
      <c r="O74" s="2047"/>
      <c r="P74" s="2020"/>
      <c r="Q74" s="2047"/>
      <c r="R74" s="2020"/>
      <c r="S74" s="2047"/>
    </row>
    <row r="75" spans="1:19">
      <c r="A75" s="2040"/>
      <c r="B75" s="1999" t="s">
        <v>2726</v>
      </c>
      <c r="C75" s="23"/>
      <c r="D75" s="503"/>
      <c r="E75" s="86"/>
      <c r="F75" s="431"/>
      <c r="G75" s="830"/>
      <c r="H75" s="2020"/>
      <c r="I75" s="2075">
        <v>1512</v>
      </c>
      <c r="J75" s="2020"/>
      <c r="K75" s="2047"/>
      <c r="L75" s="2020"/>
      <c r="M75" s="2047"/>
      <c r="N75" s="2020"/>
      <c r="O75" s="2047"/>
      <c r="P75" s="2020"/>
      <c r="Q75" s="2047"/>
      <c r="R75" s="2020"/>
      <c r="S75" s="2047"/>
    </row>
    <row r="76" spans="1:19">
      <c r="A76" s="2040"/>
      <c r="B76" s="1999"/>
      <c r="C76" s="23"/>
      <c r="D76" s="503"/>
      <c r="E76" s="86"/>
      <c r="F76" s="431"/>
      <c r="G76" s="830"/>
      <c r="H76" s="2020"/>
      <c r="I76" s="2047"/>
      <c r="J76" s="2020"/>
      <c r="K76" s="2047"/>
      <c r="L76" s="2020"/>
      <c r="M76" s="2047"/>
      <c r="N76" s="2020"/>
      <c r="O76" s="2047"/>
      <c r="P76" s="2020"/>
      <c r="Q76" s="2047"/>
      <c r="R76" s="2020"/>
      <c r="S76" s="2047"/>
    </row>
    <row r="77" spans="1:19">
      <c r="A77" s="2040"/>
      <c r="B77" s="1999" t="s">
        <v>2727</v>
      </c>
      <c r="C77" s="23"/>
      <c r="D77" s="503"/>
      <c r="E77" s="86"/>
      <c r="F77" s="431"/>
      <c r="G77" s="830"/>
      <c r="H77" s="2020"/>
      <c r="I77" s="2047"/>
      <c r="J77" s="2020"/>
      <c r="K77" s="2047"/>
      <c r="L77" s="2020"/>
      <c r="M77" s="2047">
        <v>319071.77</v>
      </c>
      <c r="N77" s="2020"/>
      <c r="O77" s="2047"/>
      <c r="P77" s="2020"/>
      <c r="Q77" s="2047"/>
      <c r="R77" s="2020"/>
      <c r="S77" s="2047"/>
    </row>
    <row r="78" spans="1:19">
      <c r="A78" s="2040"/>
      <c r="B78" s="1999" t="s">
        <v>2728</v>
      </c>
      <c r="C78" s="23"/>
      <c r="D78" s="503">
        <f>30030/9</f>
        <v>3336.6666666666665</v>
      </c>
      <c r="E78" s="86" t="s">
        <v>2720</v>
      </c>
      <c r="F78" s="431"/>
      <c r="G78" s="830"/>
      <c r="H78" s="2020" t="s">
        <v>682</v>
      </c>
      <c r="I78" s="2047">
        <v>55402.2</v>
      </c>
      <c r="J78" s="2020"/>
      <c r="K78" s="2047"/>
      <c r="L78" s="2020" t="s">
        <v>682</v>
      </c>
      <c r="M78" s="2047"/>
      <c r="N78" s="2020"/>
      <c r="O78" s="2073">
        <v>55000</v>
      </c>
      <c r="P78" s="2020"/>
      <c r="Q78" s="2047"/>
      <c r="R78" s="2020"/>
      <c r="S78" s="2047"/>
    </row>
    <row r="79" spans="1:19">
      <c r="A79" s="2040"/>
      <c r="B79" s="1999" t="s">
        <v>2729</v>
      </c>
      <c r="C79" s="23"/>
      <c r="D79" s="503">
        <f>D78*9</f>
        <v>30030</v>
      </c>
      <c r="E79" s="86" t="s">
        <v>511</v>
      </c>
      <c r="F79" s="431"/>
      <c r="G79" s="830"/>
      <c r="H79" s="2020" t="s">
        <v>682</v>
      </c>
      <c r="I79" s="2047">
        <v>268884.03999999998</v>
      </c>
      <c r="J79" s="2020"/>
      <c r="K79" s="2047"/>
      <c r="L79" s="2020" t="s">
        <v>682</v>
      </c>
      <c r="M79" s="2047"/>
      <c r="N79" s="2020"/>
      <c r="O79" s="2047"/>
      <c r="P79" s="2020"/>
      <c r="Q79" s="2047"/>
      <c r="R79" s="2020"/>
      <c r="S79" s="2047"/>
    </row>
    <row r="80" spans="1:19">
      <c r="A80" s="2040"/>
      <c r="B80" s="1999" t="s">
        <v>2730</v>
      </c>
      <c r="C80" s="23"/>
      <c r="D80" s="503">
        <v>420</v>
      </c>
      <c r="E80" s="86" t="s">
        <v>511</v>
      </c>
      <c r="F80" s="431"/>
      <c r="G80" s="830"/>
      <c r="H80" s="2020" t="s">
        <v>682</v>
      </c>
      <c r="I80" s="2047">
        <v>6300</v>
      </c>
      <c r="J80" s="2020"/>
      <c r="K80" s="2047"/>
      <c r="L80" s="2020" t="s">
        <v>682</v>
      </c>
      <c r="M80" s="2047"/>
      <c r="N80" s="2020"/>
      <c r="O80" s="2047"/>
      <c r="P80" s="2020"/>
      <c r="Q80" s="2047"/>
      <c r="R80" s="2020"/>
      <c r="S80" s="2047"/>
    </row>
    <row r="81" spans="1:19">
      <c r="A81" s="2040"/>
      <c r="B81" s="1999" t="s">
        <v>2731</v>
      </c>
      <c r="C81" s="23"/>
      <c r="D81" s="503">
        <v>784</v>
      </c>
      <c r="E81" s="86" t="s">
        <v>529</v>
      </c>
      <c r="F81" s="431"/>
      <c r="G81" s="830"/>
      <c r="H81" s="2020" t="s">
        <v>682</v>
      </c>
      <c r="I81" s="2047">
        <v>6378.75</v>
      </c>
      <c r="J81" s="2020"/>
      <c r="K81" s="2047"/>
      <c r="L81" s="2020" t="s">
        <v>682</v>
      </c>
      <c r="M81" s="2047"/>
      <c r="N81" s="2020"/>
      <c r="O81" s="2047"/>
      <c r="P81" s="2020"/>
      <c r="Q81" s="2047"/>
      <c r="R81" s="2020"/>
      <c r="S81" s="2047"/>
    </row>
    <row r="82" spans="1:19">
      <c r="A82" s="2040"/>
      <c r="B82" s="1999" t="s">
        <v>2732</v>
      </c>
      <c r="C82" s="23"/>
      <c r="D82" s="503">
        <v>302</v>
      </c>
      <c r="E82" s="86" t="s">
        <v>529</v>
      </c>
      <c r="F82" s="431"/>
      <c r="G82" s="830"/>
      <c r="H82" s="2020" t="s">
        <v>682</v>
      </c>
      <c r="I82" s="2047">
        <v>38695.5</v>
      </c>
      <c r="J82" s="2020"/>
      <c r="K82" s="2047"/>
      <c r="L82" s="2020" t="s">
        <v>682</v>
      </c>
      <c r="M82" s="2047"/>
      <c r="N82" s="2020"/>
      <c r="O82" s="2047"/>
      <c r="P82" s="2020"/>
      <c r="Q82" s="2047"/>
      <c r="R82" s="2020"/>
      <c r="S82" s="2047"/>
    </row>
    <row r="83" spans="1:19">
      <c r="A83" s="2040"/>
      <c r="B83" s="1999" t="s">
        <v>2733</v>
      </c>
      <c r="C83" s="23"/>
      <c r="D83" s="503">
        <v>70</v>
      </c>
      <c r="E83" s="86" t="s">
        <v>529</v>
      </c>
      <c r="F83" s="431"/>
      <c r="G83" s="830"/>
      <c r="H83" s="2020" t="s">
        <v>682</v>
      </c>
      <c r="I83" s="2047">
        <v>2991.82</v>
      </c>
      <c r="J83" s="2020"/>
      <c r="K83" s="2047"/>
      <c r="L83" s="2020" t="s">
        <v>682</v>
      </c>
      <c r="M83" s="2047"/>
      <c r="N83" s="2020"/>
      <c r="O83" s="2047"/>
      <c r="P83" s="2020"/>
      <c r="Q83" s="2047"/>
      <c r="R83" s="2020"/>
      <c r="S83" s="2047"/>
    </row>
    <row r="84" spans="1:19">
      <c r="A84" s="2040"/>
      <c r="B84" s="1999"/>
      <c r="C84" s="23"/>
      <c r="D84" s="503"/>
      <c r="E84" s="86"/>
      <c r="F84" s="431"/>
      <c r="G84" s="830"/>
      <c r="H84" s="2020"/>
      <c r="I84" s="2047"/>
      <c r="J84" s="2020"/>
      <c r="K84" s="2047"/>
      <c r="L84" s="2020"/>
      <c r="M84" s="2047"/>
      <c r="N84" s="2020"/>
      <c r="O84" s="2047"/>
      <c r="P84" s="2020"/>
      <c r="Q84" s="2047"/>
      <c r="R84" s="2020"/>
      <c r="S84" s="2047"/>
    </row>
    <row r="85" spans="1:19">
      <c r="A85" s="2040"/>
      <c r="B85" s="1999" t="s">
        <v>2734</v>
      </c>
      <c r="C85" s="23"/>
      <c r="D85" s="503"/>
      <c r="E85" s="86"/>
      <c r="F85" s="431"/>
      <c r="G85" s="830"/>
      <c r="H85" s="2020"/>
      <c r="I85" s="2047"/>
      <c r="J85" s="2020"/>
      <c r="K85" s="2047"/>
      <c r="L85" s="2020"/>
      <c r="M85" s="2047"/>
      <c r="N85" s="2020"/>
      <c r="O85" s="2047"/>
      <c r="P85" s="2020"/>
      <c r="Q85" s="2047"/>
      <c r="R85" s="2020"/>
      <c r="S85" s="2047"/>
    </row>
    <row r="86" spans="1:19">
      <c r="A86" s="2040"/>
      <c r="B86" s="1999" t="s">
        <v>2735</v>
      </c>
      <c r="C86" s="23"/>
      <c r="D86" s="503">
        <f>8259/9</f>
        <v>917.66666666666663</v>
      </c>
      <c r="E86" s="86" t="s">
        <v>2720</v>
      </c>
      <c r="F86" s="431"/>
      <c r="G86" s="830"/>
      <c r="H86" s="2020" t="s">
        <v>682</v>
      </c>
      <c r="I86" s="2047" t="s">
        <v>2736</v>
      </c>
      <c r="J86" s="2020"/>
      <c r="K86" s="2047"/>
      <c r="L86" s="2020" t="s">
        <v>682</v>
      </c>
      <c r="M86" s="2047"/>
      <c r="N86" s="2020"/>
      <c r="O86" s="2047"/>
      <c r="P86" s="2020"/>
      <c r="Q86" s="2047"/>
      <c r="R86" s="2020"/>
      <c r="S86" s="2047"/>
    </row>
    <row r="87" spans="1:19">
      <c r="A87" s="2040"/>
      <c r="B87" s="1999"/>
      <c r="C87" s="23"/>
      <c r="D87" s="503"/>
      <c r="E87" s="86"/>
      <c r="F87" s="431"/>
      <c r="G87" s="830"/>
      <c r="H87" s="2020"/>
      <c r="I87" s="2047"/>
      <c r="J87" s="2020"/>
      <c r="K87" s="2047"/>
      <c r="L87" s="2020"/>
      <c r="M87" s="2047"/>
      <c r="N87" s="2020"/>
      <c r="O87" s="2047"/>
      <c r="P87" s="2020"/>
      <c r="Q87" s="2047"/>
      <c r="R87" s="2020"/>
      <c r="S87" s="2047"/>
    </row>
    <row r="88" spans="1:19">
      <c r="A88" s="2040"/>
      <c r="B88" s="1999" t="s">
        <v>2737</v>
      </c>
      <c r="C88" s="23"/>
      <c r="D88" s="503"/>
      <c r="E88" s="86"/>
      <c r="F88" s="431"/>
      <c r="G88" s="830"/>
      <c r="H88" s="2020"/>
      <c r="I88" s="2047"/>
      <c r="J88" s="2020"/>
      <c r="K88" s="2047"/>
      <c r="L88" s="2020"/>
      <c r="M88" s="2047">
        <f>84970.67+905945.57</f>
        <v>990916.24</v>
      </c>
      <c r="N88" s="2020"/>
      <c r="O88" s="2047"/>
      <c r="P88" s="2020"/>
      <c r="Q88" s="2047"/>
      <c r="R88" s="2020"/>
      <c r="S88" s="2047"/>
    </row>
    <row r="89" spans="1:19">
      <c r="A89" s="2040"/>
      <c r="B89" s="1999" t="s">
        <v>2738</v>
      </c>
      <c r="C89" s="23"/>
      <c r="D89" s="503"/>
      <c r="E89" s="86"/>
      <c r="F89" s="431"/>
      <c r="G89" s="830"/>
      <c r="H89" s="2020"/>
      <c r="I89" s="2047">
        <v>93817.04</v>
      </c>
      <c r="J89" s="2020"/>
      <c r="K89" s="2047"/>
      <c r="L89" s="2020"/>
      <c r="M89" s="2047"/>
      <c r="N89" s="2020"/>
      <c r="O89" s="2047"/>
      <c r="P89" s="2020"/>
      <c r="Q89" s="2047"/>
      <c r="R89" s="2020"/>
      <c r="S89" s="2047"/>
    </row>
    <row r="90" spans="1:19">
      <c r="A90" s="2040"/>
      <c r="B90" s="2077" t="s">
        <v>2739</v>
      </c>
      <c r="C90" s="23"/>
      <c r="D90" s="503">
        <v>38</v>
      </c>
      <c r="E90" s="86" t="s">
        <v>529</v>
      </c>
      <c r="F90" s="431"/>
      <c r="G90" s="830"/>
      <c r="H90" s="2020" t="s">
        <v>682</v>
      </c>
      <c r="I90" s="2047"/>
      <c r="J90" s="2020"/>
      <c r="K90" s="2047"/>
      <c r="L90" s="2020" t="s">
        <v>682</v>
      </c>
      <c r="M90" s="2047"/>
      <c r="N90" s="2020"/>
      <c r="O90" s="2047"/>
      <c r="P90" s="2020"/>
      <c r="Q90" s="2047"/>
      <c r="R90" s="2020"/>
      <c r="S90" s="2047"/>
    </row>
    <row r="91" spans="1:19">
      <c r="A91" s="2040"/>
      <c r="B91" s="2077" t="s">
        <v>2740</v>
      </c>
      <c r="C91" s="23"/>
      <c r="D91" s="503">
        <v>63</v>
      </c>
      <c r="E91" s="86" t="s">
        <v>529</v>
      </c>
      <c r="F91" s="431"/>
      <c r="G91" s="830"/>
      <c r="H91" s="2020" t="s">
        <v>682</v>
      </c>
      <c r="I91" s="2047"/>
      <c r="J91" s="2020"/>
      <c r="K91" s="2047"/>
      <c r="L91" s="2020" t="s">
        <v>682</v>
      </c>
      <c r="M91" s="2047"/>
      <c r="N91" s="2020"/>
      <c r="O91" s="2047"/>
      <c r="P91" s="2020"/>
      <c r="Q91" s="2047"/>
      <c r="R91" s="2020"/>
      <c r="S91" s="2047"/>
    </row>
    <row r="92" spans="1:19">
      <c r="A92" s="2040"/>
      <c r="B92" s="2077" t="s">
        <v>2741</v>
      </c>
      <c r="C92" s="23"/>
      <c r="D92" s="503">
        <v>607</v>
      </c>
      <c r="E92" s="86" t="s">
        <v>529</v>
      </c>
      <c r="F92" s="431"/>
      <c r="G92" s="830"/>
      <c r="H92" s="2020" t="s">
        <v>682</v>
      </c>
      <c r="I92" s="2047"/>
      <c r="J92" s="2020"/>
      <c r="K92" s="2047"/>
      <c r="L92" s="2020" t="s">
        <v>682</v>
      </c>
      <c r="M92" s="2047"/>
      <c r="N92" s="2020"/>
      <c r="O92" s="2047"/>
      <c r="P92" s="2020"/>
      <c r="Q92" s="2047"/>
      <c r="R92" s="2020"/>
      <c r="S92" s="2047"/>
    </row>
    <row r="93" spans="1:19">
      <c r="A93" s="2040"/>
      <c r="B93" s="2077" t="s">
        <v>2742</v>
      </c>
      <c r="C93" s="23"/>
      <c r="D93" s="503">
        <v>2</v>
      </c>
      <c r="E93" s="86" t="s">
        <v>468</v>
      </c>
      <c r="F93" s="431"/>
      <c r="G93" s="830"/>
      <c r="H93" s="2020" t="s">
        <v>682</v>
      </c>
      <c r="I93" s="2047"/>
      <c r="J93" s="2020"/>
      <c r="K93" s="2047"/>
      <c r="L93" s="2020" t="s">
        <v>682</v>
      </c>
      <c r="M93" s="2047"/>
      <c r="N93" s="2020"/>
      <c r="O93" s="2047"/>
      <c r="P93" s="2020"/>
      <c r="Q93" s="2047"/>
      <c r="R93" s="2020"/>
      <c r="S93" s="2047"/>
    </row>
    <row r="94" spans="1:19">
      <c r="A94" s="2040"/>
      <c r="B94" s="2077" t="s">
        <v>2743</v>
      </c>
      <c r="C94" s="23"/>
      <c r="D94" s="503">
        <v>4</v>
      </c>
      <c r="E94" s="86" t="s">
        <v>468</v>
      </c>
      <c r="F94" s="431"/>
      <c r="G94" s="830"/>
      <c r="H94" s="2020" t="s">
        <v>682</v>
      </c>
      <c r="I94" s="2047"/>
      <c r="J94" s="2020"/>
      <c r="K94" s="2047"/>
      <c r="L94" s="2020" t="s">
        <v>682</v>
      </c>
      <c r="M94" s="2047"/>
      <c r="N94" s="2020"/>
      <c r="O94" s="2047"/>
      <c r="P94" s="2020"/>
      <c r="Q94" s="2047"/>
      <c r="R94" s="2020"/>
      <c r="S94" s="2047"/>
    </row>
    <row r="95" spans="1:19">
      <c r="A95" s="2040"/>
      <c r="B95" s="2077" t="s">
        <v>2744</v>
      </c>
      <c r="C95" s="23"/>
      <c r="D95" s="503">
        <v>2</v>
      </c>
      <c r="E95" s="86" t="s">
        <v>468</v>
      </c>
      <c r="F95" s="431"/>
      <c r="G95" s="830"/>
      <c r="H95" s="2020" t="s">
        <v>682</v>
      </c>
      <c r="I95" s="2079">
        <v>15020.78</v>
      </c>
      <c r="J95" s="2020"/>
      <c r="K95" s="2047"/>
      <c r="L95" s="2020" t="s">
        <v>682</v>
      </c>
      <c r="M95" s="2047"/>
      <c r="N95" s="2020"/>
      <c r="O95" s="2079">
        <v>28050</v>
      </c>
      <c r="P95" s="2020"/>
      <c r="Q95" s="2047"/>
      <c r="R95" s="2020"/>
      <c r="S95" s="2047"/>
    </row>
    <row r="96" spans="1:19">
      <c r="A96" s="2040"/>
      <c r="B96" s="2077" t="s">
        <v>2745</v>
      </c>
      <c r="C96" s="23"/>
      <c r="D96" s="503">
        <v>2</v>
      </c>
      <c r="E96" s="86" t="s">
        <v>468</v>
      </c>
      <c r="F96" s="431"/>
      <c r="G96" s="830"/>
      <c r="H96" s="2020" t="s">
        <v>682</v>
      </c>
      <c r="I96" s="2047"/>
      <c r="J96" s="2020"/>
      <c r="K96" s="2047"/>
      <c r="L96" s="2020" t="s">
        <v>682</v>
      </c>
      <c r="M96" s="2047"/>
      <c r="N96" s="2020"/>
      <c r="O96" s="2047"/>
      <c r="P96" s="2020"/>
      <c r="Q96" s="2047"/>
      <c r="R96" s="2020"/>
      <c r="S96" s="2047"/>
    </row>
    <row r="97" spans="1:19">
      <c r="A97" s="2040"/>
      <c r="B97" s="2077" t="s">
        <v>2746</v>
      </c>
      <c r="C97" s="23"/>
      <c r="D97" s="503">
        <v>2</v>
      </c>
      <c r="E97" s="86" t="s">
        <v>468</v>
      </c>
      <c r="F97" s="431"/>
      <c r="G97" s="830"/>
      <c r="H97" s="2020" t="s">
        <v>682</v>
      </c>
      <c r="I97" s="2047"/>
      <c r="J97" s="2020"/>
      <c r="K97" s="2047"/>
      <c r="L97" s="2020" t="s">
        <v>682</v>
      </c>
      <c r="M97" s="2047"/>
      <c r="N97" s="2020"/>
      <c r="O97" s="2047"/>
      <c r="P97" s="2020"/>
      <c r="Q97" s="2047"/>
      <c r="R97" s="2020"/>
      <c r="S97" s="2047"/>
    </row>
    <row r="98" spans="1:19">
      <c r="A98" s="2040"/>
      <c r="B98" s="1999" t="s">
        <v>2747</v>
      </c>
      <c r="C98" s="23"/>
      <c r="D98" s="503"/>
      <c r="E98" s="86"/>
      <c r="F98" s="431"/>
      <c r="G98" s="830"/>
      <c r="H98" s="2020"/>
      <c r="I98" s="2047">
        <v>675132.34999999986</v>
      </c>
      <c r="J98" s="2020"/>
      <c r="K98" s="2047"/>
      <c r="L98" s="2020"/>
      <c r="M98" s="2047"/>
      <c r="N98" s="2020"/>
      <c r="O98" s="2047"/>
      <c r="P98" s="2020"/>
      <c r="Q98" s="2047"/>
      <c r="R98" s="2020"/>
      <c r="S98" s="2047"/>
    </row>
    <row r="99" spans="1:19">
      <c r="A99" s="2040"/>
      <c r="B99" s="2077" t="s">
        <v>2748</v>
      </c>
      <c r="C99" s="23"/>
      <c r="D99" s="500">
        <v>4</v>
      </c>
      <c r="E99" s="86" t="s">
        <v>468</v>
      </c>
      <c r="F99" s="431"/>
      <c r="G99" s="830"/>
      <c r="H99" s="2020" t="s">
        <v>682</v>
      </c>
      <c r="I99" s="2047"/>
      <c r="J99" s="2020"/>
      <c r="K99" s="2047"/>
      <c r="L99" s="2020" t="s">
        <v>682</v>
      </c>
      <c r="M99" s="2047"/>
      <c r="N99" s="2020"/>
      <c r="O99" s="2047"/>
      <c r="P99" s="2020"/>
      <c r="Q99" s="2047"/>
      <c r="R99" s="2020"/>
      <c r="S99" s="2047"/>
    </row>
    <row r="100" spans="1:19">
      <c r="A100" s="2040"/>
      <c r="B100" s="2077" t="s">
        <v>2749</v>
      </c>
      <c r="C100" s="23"/>
      <c r="D100" s="500">
        <v>1</v>
      </c>
      <c r="E100" s="86" t="s">
        <v>468</v>
      </c>
      <c r="F100" s="431"/>
      <c r="G100" s="830"/>
      <c r="H100" s="2020" t="s">
        <v>682</v>
      </c>
      <c r="I100" s="2047"/>
      <c r="J100" s="2020"/>
      <c r="K100" s="2047"/>
      <c r="L100" s="2020" t="s">
        <v>682</v>
      </c>
      <c r="M100" s="2047"/>
      <c r="N100" s="2020"/>
      <c r="O100" s="2047"/>
      <c r="P100" s="2020"/>
      <c r="Q100" s="2047"/>
      <c r="R100" s="2020"/>
      <c r="S100" s="2047"/>
    </row>
    <row r="101" spans="1:19">
      <c r="A101" s="2040"/>
      <c r="B101" s="2077" t="s">
        <v>2750</v>
      </c>
      <c r="C101" s="23"/>
      <c r="D101" s="500">
        <v>6</v>
      </c>
      <c r="E101" s="86" t="s">
        <v>468</v>
      </c>
      <c r="F101" s="431"/>
      <c r="G101" s="830"/>
      <c r="H101" s="2020" t="s">
        <v>682</v>
      </c>
      <c r="I101" s="2047"/>
      <c r="J101" s="2020"/>
      <c r="K101" s="2047"/>
      <c r="L101" s="2020" t="s">
        <v>682</v>
      </c>
      <c r="M101" s="2047"/>
      <c r="N101" s="2020"/>
      <c r="O101" s="2047"/>
      <c r="P101" s="2020"/>
      <c r="Q101" s="2047"/>
      <c r="R101" s="2020"/>
      <c r="S101" s="2047"/>
    </row>
    <row r="102" spans="1:19">
      <c r="A102" s="2040"/>
      <c r="B102" s="2077" t="s">
        <v>2751</v>
      </c>
      <c r="C102" s="23"/>
      <c r="D102" s="500">
        <v>7</v>
      </c>
      <c r="E102" s="86" t="s">
        <v>468</v>
      </c>
      <c r="F102" s="431"/>
      <c r="G102" s="830"/>
      <c r="H102" s="2020" t="s">
        <v>682</v>
      </c>
      <c r="I102" s="2047"/>
      <c r="J102" s="2020"/>
      <c r="K102" s="2047"/>
      <c r="L102" s="2020" t="s">
        <v>682</v>
      </c>
      <c r="M102" s="2047"/>
      <c r="N102" s="2020"/>
      <c r="O102" s="2047"/>
      <c r="P102" s="2020"/>
      <c r="Q102" s="2047"/>
      <c r="R102" s="2020"/>
      <c r="S102" s="2047"/>
    </row>
    <row r="103" spans="1:19">
      <c r="A103" s="2040"/>
      <c r="B103" s="2077" t="s">
        <v>2752</v>
      </c>
      <c r="C103" s="23"/>
      <c r="D103" s="500">
        <v>1</v>
      </c>
      <c r="E103" s="86" t="s">
        <v>468</v>
      </c>
      <c r="F103" s="431"/>
      <c r="G103" s="830"/>
      <c r="H103" s="2020" t="s">
        <v>682</v>
      </c>
      <c r="I103" s="2047"/>
      <c r="J103" s="2020"/>
      <c r="K103" s="2047"/>
      <c r="L103" s="2020" t="s">
        <v>682</v>
      </c>
      <c r="M103" s="2047"/>
      <c r="N103" s="2020"/>
      <c r="O103" s="2047"/>
      <c r="P103" s="2020"/>
      <c r="Q103" s="2047"/>
      <c r="R103" s="2020"/>
      <c r="S103" s="2047"/>
    </row>
    <row r="104" spans="1:19">
      <c r="A104" s="2040"/>
      <c r="B104" s="2077" t="s">
        <v>2753</v>
      </c>
      <c r="C104" s="23"/>
      <c r="D104" s="500">
        <v>12</v>
      </c>
      <c r="E104" s="86" t="s">
        <v>468</v>
      </c>
      <c r="F104" s="431"/>
      <c r="G104" s="830"/>
      <c r="H104" s="2020" t="s">
        <v>682</v>
      </c>
      <c r="I104" s="2047"/>
      <c r="J104" s="2020"/>
      <c r="K104" s="2047"/>
      <c r="L104" s="2020" t="s">
        <v>682</v>
      </c>
      <c r="M104" s="2047"/>
      <c r="N104" s="2020"/>
      <c r="O104" s="2047"/>
      <c r="P104" s="2020"/>
      <c r="Q104" s="2047"/>
      <c r="R104" s="2020"/>
      <c r="S104" s="2047"/>
    </row>
    <row r="105" spans="1:19">
      <c r="A105" s="2040"/>
      <c r="B105" s="2077" t="s">
        <v>2754</v>
      </c>
      <c r="C105" s="23"/>
      <c r="D105" s="500">
        <v>4</v>
      </c>
      <c r="E105" s="86" t="s">
        <v>468</v>
      </c>
      <c r="F105" s="431"/>
      <c r="G105" s="830"/>
      <c r="H105" s="2020" t="s">
        <v>682</v>
      </c>
      <c r="I105" s="2047"/>
      <c r="J105" s="2020"/>
      <c r="K105" s="2047"/>
      <c r="L105" s="2020" t="s">
        <v>682</v>
      </c>
      <c r="M105" s="2047"/>
      <c r="N105" s="2020"/>
      <c r="O105" s="2047"/>
      <c r="P105" s="2020"/>
      <c r="Q105" s="2047"/>
      <c r="R105" s="2020"/>
      <c r="S105" s="2047"/>
    </row>
    <row r="106" spans="1:19">
      <c r="A106" s="2040"/>
      <c r="B106" s="2077" t="s">
        <v>2755</v>
      </c>
      <c r="C106" s="23"/>
      <c r="D106" s="500">
        <v>7</v>
      </c>
      <c r="E106" s="86" t="s">
        <v>468</v>
      </c>
      <c r="F106" s="431"/>
      <c r="G106" s="830"/>
      <c r="H106" s="2020" t="s">
        <v>682</v>
      </c>
      <c r="I106" s="2047"/>
      <c r="J106" s="2020"/>
      <c r="K106" s="2047"/>
      <c r="L106" s="2020" t="s">
        <v>682</v>
      </c>
      <c r="M106" s="2047"/>
      <c r="N106" s="2020"/>
      <c r="O106" s="2047"/>
      <c r="P106" s="2020"/>
      <c r="Q106" s="2047"/>
      <c r="R106" s="2020"/>
      <c r="S106" s="2047"/>
    </row>
    <row r="107" spans="1:19">
      <c r="A107" s="2040"/>
      <c r="B107" s="2077" t="s">
        <v>2756</v>
      </c>
      <c r="C107" s="23"/>
      <c r="D107" s="500">
        <v>2</v>
      </c>
      <c r="E107" s="86" t="s">
        <v>468</v>
      </c>
      <c r="F107" s="431"/>
      <c r="G107" s="830"/>
      <c r="H107" s="2020" t="s">
        <v>682</v>
      </c>
      <c r="I107" s="2047"/>
      <c r="J107" s="2020"/>
      <c r="K107" s="2047"/>
      <c r="L107" s="2020" t="s">
        <v>682</v>
      </c>
      <c r="M107" s="2047"/>
      <c r="N107" s="2020"/>
      <c r="O107" s="2047"/>
      <c r="P107" s="2020"/>
      <c r="Q107" s="2047"/>
      <c r="R107" s="2020"/>
      <c r="S107" s="2047"/>
    </row>
    <row r="108" spans="1:19">
      <c r="A108" s="2040"/>
      <c r="B108" s="2077" t="s">
        <v>2757</v>
      </c>
      <c r="C108" s="23"/>
      <c r="D108" s="500">
        <v>6110</v>
      </c>
      <c r="E108" s="86" t="s">
        <v>2758</v>
      </c>
      <c r="F108" s="431"/>
      <c r="G108" s="830"/>
      <c r="H108" s="2020" t="s">
        <v>682</v>
      </c>
      <c r="I108" s="2047"/>
      <c r="J108" s="2020"/>
      <c r="K108" s="2047"/>
      <c r="L108" s="2020" t="s">
        <v>682</v>
      </c>
      <c r="M108" s="2047"/>
      <c r="N108" s="2020"/>
      <c r="O108" s="2047"/>
      <c r="P108" s="2020"/>
      <c r="Q108" s="2047"/>
      <c r="R108" s="2020"/>
      <c r="S108" s="2047"/>
    </row>
    <row r="109" spans="1:19">
      <c r="A109" s="2040"/>
      <c r="B109" s="2077" t="s">
        <v>2759</v>
      </c>
      <c r="C109" s="23"/>
      <c r="D109" s="500">
        <v>29676</v>
      </c>
      <c r="E109" s="86" t="s">
        <v>2758</v>
      </c>
      <c r="F109" s="431"/>
      <c r="G109" s="830"/>
      <c r="H109" s="2020" t="s">
        <v>682</v>
      </c>
      <c r="I109" s="2047"/>
      <c r="J109" s="2020"/>
      <c r="K109" s="2047"/>
      <c r="L109" s="2020" t="s">
        <v>682</v>
      </c>
      <c r="M109" s="2047"/>
      <c r="N109" s="2020"/>
      <c r="O109" s="2047"/>
      <c r="P109" s="2020"/>
      <c r="Q109" s="2047"/>
      <c r="R109" s="2020"/>
      <c r="S109" s="2047"/>
    </row>
    <row r="110" spans="1:19">
      <c r="A110" s="2040"/>
      <c r="B110" s="2077" t="s">
        <v>2760</v>
      </c>
      <c r="C110" s="23"/>
      <c r="D110" s="500">
        <v>10070</v>
      </c>
      <c r="E110" s="86" t="s">
        <v>2758</v>
      </c>
      <c r="F110" s="431"/>
      <c r="G110" s="830"/>
      <c r="H110" s="2020" t="s">
        <v>682</v>
      </c>
      <c r="I110" s="2047"/>
      <c r="J110" s="2020"/>
      <c r="K110" s="2047"/>
      <c r="L110" s="2020" t="s">
        <v>682</v>
      </c>
      <c r="M110" s="2047"/>
      <c r="N110" s="2020"/>
      <c r="O110" s="2047"/>
      <c r="P110" s="2020"/>
      <c r="Q110" s="2047"/>
      <c r="R110" s="2020"/>
      <c r="S110" s="2047"/>
    </row>
    <row r="111" spans="1:19">
      <c r="A111" s="2040"/>
      <c r="B111" s="2077" t="s">
        <v>2761</v>
      </c>
      <c r="C111" s="23"/>
      <c r="D111" s="500">
        <v>1462</v>
      </c>
      <c r="E111" s="86" t="s">
        <v>529</v>
      </c>
      <c r="F111" s="431"/>
      <c r="G111" s="830"/>
      <c r="H111" s="2020" t="s">
        <v>682</v>
      </c>
      <c r="I111" s="2047"/>
      <c r="J111" s="2020"/>
      <c r="K111" s="2047"/>
      <c r="L111" s="2020" t="s">
        <v>682</v>
      </c>
      <c r="M111" s="2047"/>
      <c r="N111" s="2020"/>
      <c r="O111" s="2047"/>
      <c r="P111" s="2020"/>
      <c r="Q111" s="2047"/>
      <c r="R111" s="2020"/>
      <c r="S111" s="2047"/>
    </row>
    <row r="112" spans="1:19">
      <c r="A112" s="2040"/>
      <c r="B112" s="2077" t="s">
        <v>2762</v>
      </c>
      <c r="C112" s="23"/>
      <c r="D112" s="500">
        <v>276</v>
      </c>
      <c r="E112" s="86" t="s">
        <v>529</v>
      </c>
      <c r="F112" s="431"/>
      <c r="G112" s="830"/>
      <c r="H112" s="2020" t="s">
        <v>682</v>
      </c>
      <c r="I112" s="2047"/>
      <c r="J112" s="2020"/>
      <c r="K112" s="2047"/>
      <c r="L112" s="2020" t="s">
        <v>682</v>
      </c>
      <c r="M112" s="2047"/>
      <c r="N112" s="2020"/>
      <c r="O112" s="2047"/>
      <c r="P112" s="2020"/>
      <c r="Q112" s="2047"/>
      <c r="R112" s="2020"/>
      <c r="S112" s="2047"/>
    </row>
    <row r="113" spans="1:19">
      <c r="A113" s="2040"/>
      <c r="B113" s="2077" t="s">
        <v>2763</v>
      </c>
      <c r="C113" s="23"/>
      <c r="D113" s="500">
        <v>220</v>
      </c>
      <c r="E113" s="86" t="s">
        <v>529</v>
      </c>
      <c r="F113" s="431"/>
      <c r="G113" s="830"/>
      <c r="H113" s="2020" t="s">
        <v>682</v>
      </c>
      <c r="I113" s="2047"/>
      <c r="J113" s="2020"/>
      <c r="K113" s="2047"/>
      <c r="L113" s="2020" t="s">
        <v>682</v>
      </c>
      <c r="M113" s="2047"/>
      <c r="N113" s="2020"/>
      <c r="O113" s="2047"/>
      <c r="P113" s="2020"/>
      <c r="Q113" s="2047"/>
      <c r="R113" s="2020"/>
      <c r="S113" s="2047"/>
    </row>
    <row r="114" spans="1:19">
      <c r="A114" s="2040"/>
      <c r="B114" s="2077" t="s">
        <v>2764</v>
      </c>
      <c r="C114" s="23"/>
      <c r="D114" s="500">
        <v>352</v>
      </c>
      <c r="E114" s="86" t="s">
        <v>529</v>
      </c>
      <c r="F114" s="431"/>
      <c r="G114" s="830"/>
      <c r="H114" s="2020" t="s">
        <v>682</v>
      </c>
      <c r="I114" s="2047"/>
      <c r="J114" s="2020"/>
      <c r="K114" s="2047"/>
      <c r="L114" s="2020" t="s">
        <v>682</v>
      </c>
      <c r="M114" s="2047"/>
      <c r="N114" s="2020"/>
      <c r="O114" s="2047"/>
      <c r="P114" s="2020"/>
      <c r="Q114" s="2047"/>
      <c r="R114" s="2020"/>
      <c r="S114" s="2047"/>
    </row>
    <row r="115" spans="1:19">
      <c r="A115" s="2040"/>
      <c r="B115" s="2077" t="s">
        <v>2765</v>
      </c>
      <c r="C115" s="23"/>
      <c r="D115" s="500">
        <v>29</v>
      </c>
      <c r="E115" s="86" t="s">
        <v>529</v>
      </c>
      <c r="F115" s="431"/>
      <c r="G115" s="830"/>
      <c r="H115" s="2020" t="s">
        <v>682</v>
      </c>
      <c r="I115" s="2047"/>
      <c r="J115" s="2020"/>
      <c r="K115" s="2047"/>
      <c r="L115" s="2020" t="s">
        <v>682</v>
      </c>
      <c r="M115" s="2047"/>
      <c r="N115" s="2020"/>
      <c r="O115" s="2047"/>
      <c r="P115" s="2020"/>
      <c r="Q115" s="2047"/>
      <c r="R115" s="2020"/>
      <c r="S115" s="2047"/>
    </row>
    <row r="116" spans="1:19">
      <c r="A116" s="2040"/>
      <c r="B116" s="2077" t="s">
        <v>2766</v>
      </c>
      <c r="C116" s="23"/>
      <c r="D116" s="500">
        <v>53</v>
      </c>
      <c r="E116" s="86" t="s">
        <v>529</v>
      </c>
      <c r="F116" s="431"/>
      <c r="G116" s="830"/>
      <c r="H116" s="2020" t="s">
        <v>682</v>
      </c>
      <c r="I116" s="2047"/>
      <c r="J116" s="2020"/>
      <c r="K116" s="2047"/>
      <c r="L116" s="2020" t="s">
        <v>682</v>
      </c>
      <c r="M116" s="2047"/>
      <c r="N116" s="2020"/>
      <c r="O116" s="2047"/>
      <c r="P116" s="2020"/>
      <c r="Q116" s="2047"/>
      <c r="R116" s="2020"/>
      <c r="S116" s="2047"/>
    </row>
    <row r="117" spans="1:19">
      <c r="A117" s="2040"/>
      <c r="B117" s="2077" t="s">
        <v>2767</v>
      </c>
      <c r="C117" s="23"/>
      <c r="D117" s="500">
        <v>240</v>
      </c>
      <c r="E117" s="86" t="s">
        <v>529</v>
      </c>
      <c r="F117" s="431"/>
      <c r="G117" s="830"/>
      <c r="H117" s="2020" t="s">
        <v>682</v>
      </c>
      <c r="I117" s="2047"/>
      <c r="J117" s="2020"/>
      <c r="K117" s="2047"/>
      <c r="L117" s="2020" t="s">
        <v>682</v>
      </c>
      <c r="M117" s="2047"/>
      <c r="N117" s="2020"/>
      <c r="O117" s="2047"/>
      <c r="P117" s="2020"/>
      <c r="Q117" s="2047"/>
      <c r="R117" s="2020"/>
      <c r="S117" s="2047"/>
    </row>
    <row r="118" spans="1:19">
      <c r="A118" s="2040"/>
      <c r="B118" s="2077" t="s">
        <v>2768</v>
      </c>
      <c r="C118" s="23"/>
      <c r="D118" s="500">
        <v>30</v>
      </c>
      <c r="E118" s="86" t="s">
        <v>529</v>
      </c>
      <c r="F118" s="431"/>
      <c r="G118" s="830"/>
      <c r="H118" s="2020" t="s">
        <v>682</v>
      </c>
      <c r="I118" s="2047"/>
      <c r="J118" s="2020"/>
      <c r="K118" s="2047"/>
      <c r="L118" s="2020" t="s">
        <v>682</v>
      </c>
      <c r="M118" s="2047"/>
      <c r="N118" s="2020"/>
      <c r="O118" s="2047"/>
      <c r="P118" s="2020"/>
      <c r="Q118" s="2047"/>
      <c r="R118" s="2020"/>
      <c r="S118" s="2047"/>
    </row>
    <row r="119" spans="1:19">
      <c r="A119" s="2040"/>
      <c r="B119" s="2077" t="s">
        <v>2741</v>
      </c>
      <c r="C119" s="23"/>
      <c r="D119" s="500">
        <v>780</v>
      </c>
      <c r="E119" s="86" t="s">
        <v>529</v>
      </c>
      <c r="F119" s="431"/>
      <c r="G119" s="830"/>
      <c r="H119" s="2020" t="s">
        <v>682</v>
      </c>
      <c r="I119" s="2047"/>
      <c r="J119" s="2020"/>
      <c r="K119" s="2047"/>
      <c r="L119" s="2020" t="s">
        <v>682</v>
      </c>
      <c r="M119" s="2047"/>
      <c r="N119" s="2020"/>
      <c r="O119" s="2047"/>
      <c r="P119" s="2020"/>
      <c r="Q119" s="2047"/>
      <c r="R119" s="2020"/>
      <c r="S119" s="2047"/>
    </row>
    <row r="120" spans="1:19">
      <c r="A120" s="2040"/>
      <c r="B120" s="2077" t="s">
        <v>2769</v>
      </c>
      <c r="C120" s="23"/>
      <c r="D120" s="500">
        <v>21</v>
      </c>
      <c r="E120" s="86" t="s">
        <v>468</v>
      </c>
      <c r="F120" s="431"/>
      <c r="G120" s="830"/>
      <c r="H120" s="2020" t="s">
        <v>682</v>
      </c>
      <c r="I120" s="2047"/>
      <c r="J120" s="2020"/>
      <c r="K120" s="2047"/>
      <c r="L120" s="2020" t="s">
        <v>682</v>
      </c>
      <c r="M120" s="2047"/>
      <c r="N120" s="2020"/>
      <c r="O120" s="2047"/>
      <c r="P120" s="2020"/>
      <c r="Q120" s="2047"/>
      <c r="R120" s="2020"/>
      <c r="S120" s="2047"/>
    </row>
    <row r="121" spans="1:19">
      <c r="A121" s="2040"/>
      <c r="B121" s="2077" t="s">
        <v>2770</v>
      </c>
      <c r="C121" s="23"/>
      <c r="D121" s="500">
        <v>4</v>
      </c>
      <c r="E121" s="86" t="s">
        <v>468</v>
      </c>
      <c r="F121" s="431"/>
      <c r="G121" s="830"/>
      <c r="H121" s="2020" t="s">
        <v>682</v>
      </c>
      <c r="I121" s="2047"/>
      <c r="J121" s="2020"/>
      <c r="K121" s="2047"/>
      <c r="L121" s="2020" t="s">
        <v>682</v>
      </c>
      <c r="M121" s="2047"/>
      <c r="N121" s="2020"/>
      <c r="O121" s="2047"/>
      <c r="P121" s="2020"/>
      <c r="Q121" s="2047"/>
      <c r="R121" s="2020"/>
      <c r="S121" s="2047"/>
    </row>
    <row r="122" spans="1:19">
      <c r="A122" s="2040"/>
      <c r="B122" s="1999" t="s">
        <v>2771</v>
      </c>
      <c r="C122" s="23"/>
      <c r="D122" s="503"/>
      <c r="E122" s="86"/>
      <c r="F122" s="431"/>
      <c r="G122" s="830"/>
      <c r="H122" s="2020"/>
      <c r="I122" s="2047">
        <v>172888.61</v>
      </c>
      <c r="J122" s="2020"/>
      <c r="K122" s="2047"/>
      <c r="L122" s="2020"/>
      <c r="M122" s="2047"/>
      <c r="N122" s="2020"/>
      <c r="O122" s="2047"/>
      <c r="P122" s="2020"/>
      <c r="Q122" s="2047"/>
      <c r="R122" s="2020"/>
      <c r="S122" s="2047"/>
    </row>
    <row r="123" spans="1:19">
      <c r="A123" s="2040"/>
      <c r="B123" s="2077" t="s">
        <v>2772</v>
      </c>
      <c r="C123" s="23"/>
      <c r="D123" s="500">
        <v>1</v>
      </c>
      <c r="E123" s="86" t="s">
        <v>468</v>
      </c>
      <c r="F123" s="431"/>
      <c r="G123" s="830"/>
      <c r="H123" s="2020" t="s">
        <v>682</v>
      </c>
      <c r="I123" s="2047"/>
      <c r="J123" s="2020"/>
      <c r="K123" s="2047"/>
      <c r="L123" s="2020" t="s">
        <v>682</v>
      </c>
      <c r="M123" s="2047"/>
      <c r="N123" s="2020"/>
      <c r="O123" s="2047"/>
      <c r="P123" s="2020"/>
      <c r="Q123" s="2047"/>
      <c r="R123" s="2020"/>
      <c r="S123" s="2047"/>
    </row>
    <row r="124" spans="1:19">
      <c r="A124" s="2040"/>
      <c r="B124" s="2077" t="s">
        <v>2773</v>
      </c>
      <c r="C124" s="23"/>
      <c r="D124" s="500">
        <v>2</v>
      </c>
      <c r="E124" s="86" t="s">
        <v>468</v>
      </c>
      <c r="F124" s="431"/>
      <c r="G124" s="830"/>
      <c r="H124" s="2020" t="s">
        <v>682</v>
      </c>
      <c r="I124" s="2047"/>
      <c r="J124" s="2020"/>
      <c r="K124" s="2047"/>
      <c r="L124" s="2020" t="s">
        <v>682</v>
      </c>
      <c r="M124" s="2047"/>
      <c r="N124" s="2020"/>
      <c r="O124" s="2047"/>
      <c r="P124" s="2020"/>
      <c r="Q124" s="2047"/>
      <c r="R124" s="2020"/>
      <c r="S124" s="2047"/>
    </row>
    <row r="125" spans="1:19">
      <c r="A125" s="2040"/>
      <c r="B125" s="2077" t="s">
        <v>2774</v>
      </c>
      <c r="C125" s="23"/>
      <c r="D125" s="500">
        <v>1</v>
      </c>
      <c r="E125" s="86" t="s">
        <v>468</v>
      </c>
      <c r="F125" s="431"/>
      <c r="G125" s="830"/>
      <c r="H125" s="2020" t="s">
        <v>682</v>
      </c>
      <c r="I125" s="2047"/>
      <c r="J125" s="2020"/>
      <c r="K125" s="2047"/>
      <c r="L125" s="2020" t="s">
        <v>682</v>
      </c>
      <c r="M125" s="2047"/>
      <c r="N125" s="2020"/>
      <c r="O125" s="2047"/>
      <c r="P125" s="2020"/>
      <c r="Q125" s="2047"/>
      <c r="R125" s="2020"/>
      <c r="S125" s="2047"/>
    </row>
    <row r="126" spans="1:19">
      <c r="A126" s="2040"/>
      <c r="B126" s="2077" t="s">
        <v>2739</v>
      </c>
      <c r="C126" s="23"/>
      <c r="D126" s="500">
        <v>170</v>
      </c>
      <c r="E126" s="86" t="s">
        <v>529</v>
      </c>
      <c r="F126" s="431"/>
      <c r="G126" s="830"/>
      <c r="H126" s="2020" t="s">
        <v>682</v>
      </c>
      <c r="I126" s="2047"/>
      <c r="J126" s="2020"/>
      <c r="K126" s="2047"/>
      <c r="L126" s="2020" t="s">
        <v>682</v>
      </c>
      <c r="M126" s="2047"/>
      <c r="N126" s="2020"/>
      <c r="O126" s="2047"/>
      <c r="P126" s="2020"/>
      <c r="Q126" s="2047"/>
      <c r="R126" s="2020"/>
      <c r="S126" s="2047"/>
    </row>
    <row r="127" spans="1:19">
      <c r="A127" s="2040"/>
      <c r="B127" s="2077" t="s">
        <v>2740</v>
      </c>
      <c r="C127" s="23"/>
      <c r="D127" s="500">
        <v>132</v>
      </c>
      <c r="E127" s="86" t="s">
        <v>529</v>
      </c>
      <c r="F127" s="431"/>
      <c r="G127" s="830"/>
      <c r="H127" s="2020" t="s">
        <v>682</v>
      </c>
      <c r="I127" s="2047"/>
      <c r="J127" s="2020"/>
      <c r="K127" s="2047"/>
      <c r="L127" s="2020" t="s">
        <v>682</v>
      </c>
      <c r="M127" s="2047"/>
      <c r="N127" s="2020"/>
      <c r="O127" s="2047"/>
      <c r="P127" s="2020"/>
      <c r="Q127" s="2047"/>
      <c r="R127" s="2020"/>
      <c r="S127" s="2047"/>
    </row>
    <row r="128" spans="1:19">
      <c r="A128" s="2040"/>
      <c r="B128" s="2077"/>
      <c r="C128" s="23"/>
      <c r="D128" s="500"/>
      <c r="E128" s="86"/>
      <c r="F128" s="431"/>
      <c r="G128" s="830"/>
      <c r="H128" s="2020"/>
      <c r="I128" s="2047"/>
      <c r="J128" s="2020"/>
      <c r="K128" s="2047"/>
      <c r="L128" s="2020"/>
      <c r="M128" s="2047"/>
      <c r="N128" s="2020"/>
      <c r="O128" s="2047"/>
      <c r="P128" s="2020"/>
      <c r="Q128" s="2047"/>
      <c r="R128" s="2020"/>
      <c r="S128" s="2047"/>
    </row>
    <row r="129" spans="1:19">
      <c r="A129" s="2040"/>
      <c r="B129" s="2080" t="s">
        <v>2775</v>
      </c>
      <c r="C129" s="23"/>
      <c r="D129" s="500"/>
      <c r="E129" s="86"/>
      <c r="F129" s="431"/>
      <c r="G129" s="830"/>
      <c r="H129" s="2020" t="s">
        <v>680</v>
      </c>
      <c r="I129" s="2047"/>
      <c r="J129" s="2020"/>
      <c r="K129" s="2047"/>
      <c r="L129" s="2020"/>
      <c r="M129" s="2047"/>
      <c r="N129" s="2020"/>
      <c r="O129" s="2047"/>
      <c r="P129" s="2020"/>
      <c r="Q129" s="2047"/>
      <c r="R129" s="2020"/>
      <c r="S129" s="2047"/>
    </row>
    <row r="130" spans="1:19">
      <c r="A130" s="2040"/>
      <c r="B130" s="2080" t="s">
        <v>2776</v>
      </c>
      <c r="C130" s="23"/>
      <c r="D130" s="500"/>
      <c r="E130" s="86"/>
      <c r="F130" s="431"/>
      <c r="G130" s="830"/>
      <c r="H130" s="2020" t="s">
        <v>680</v>
      </c>
      <c r="I130" s="2047"/>
      <c r="J130" s="2020"/>
      <c r="K130" s="2047"/>
      <c r="L130" s="2020"/>
      <c r="M130" s="2047"/>
      <c r="N130" s="2020"/>
      <c r="O130" s="2047"/>
      <c r="P130" s="2020"/>
      <c r="Q130" s="2047"/>
      <c r="R130" s="2020"/>
      <c r="S130" s="2047"/>
    </row>
    <row r="131" spans="1:19">
      <c r="A131" s="2040"/>
      <c r="B131" s="1999"/>
      <c r="C131" s="23"/>
      <c r="D131" s="503"/>
      <c r="E131" s="86"/>
      <c r="F131" s="431"/>
      <c r="G131" s="830"/>
      <c r="H131" s="2020"/>
      <c r="I131" s="2047"/>
      <c r="J131" s="2020"/>
      <c r="K131" s="2047"/>
      <c r="L131" s="2020"/>
      <c r="M131" s="2047"/>
      <c r="N131" s="2020"/>
      <c r="O131" s="2047"/>
      <c r="P131" s="2020"/>
      <c r="Q131" s="2047"/>
      <c r="R131" s="2020"/>
      <c r="S131" s="2047"/>
    </row>
    <row r="132" spans="1:19">
      <c r="A132" s="2040"/>
      <c r="B132" s="1999" t="s">
        <v>2777</v>
      </c>
      <c r="C132" s="23"/>
      <c r="D132" s="503"/>
      <c r="E132" s="86"/>
      <c r="F132" s="431"/>
      <c r="G132" s="830"/>
      <c r="H132" s="2020"/>
      <c r="I132" s="2047">
        <v>22090.53</v>
      </c>
      <c r="J132" s="2020"/>
      <c r="K132" s="2047"/>
      <c r="L132" s="2020"/>
      <c r="M132" s="2047"/>
      <c r="N132" s="2020"/>
      <c r="O132" s="2047"/>
      <c r="P132" s="2020"/>
      <c r="Q132" s="2047"/>
      <c r="R132" s="2020"/>
      <c r="S132" s="2047"/>
    </row>
    <row r="133" spans="1:19">
      <c r="A133" s="2040"/>
      <c r="B133" s="2077" t="s">
        <v>2778</v>
      </c>
      <c r="C133" s="23"/>
      <c r="D133" s="503">
        <v>123</v>
      </c>
      <c r="E133" s="86" t="s">
        <v>468</v>
      </c>
      <c r="F133" s="431"/>
      <c r="G133" s="830"/>
      <c r="H133" s="2020" t="s">
        <v>682</v>
      </c>
      <c r="I133" s="2047"/>
      <c r="J133" s="2020"/>
      <c r="K133" s="2047"/>
      <c r="L133" s="2020" t="s">
        <v>682</v>
      </c>
      <c r="M133" s="2047"/>
      <c r="N133" s="2020"/>
      <c r="O133" s="2047"/>
      <c r="P133" s="2020"/>
      <c r="Q133" s="2047"/>
      <c r="R133" s="2020"/>
      <c r="S133" s="2047"/>
    </row>
    <row r="134" spans="1:19">
      <c r="A134" s="2040"/>
      <c r="B134" s="2077" t="s">
        <v>2779</v>
      </c>
      <c r="C134" s="23"/>
      <c r="D134" s="503">
        <v>8</v>
      </c>
      <c r="E134" s="86" t="s">
        <v>468</v>
      </c>
      <c r="F134" s="431"/>
      <c r="G134" s="830"/>
      <c r="H134" s="2020" t="s">
        <v>682</v>
      </c>
      <c r="I134" s="2047"/>
      <c r="J134" s="2020"/>
      <c r="K134" s="2047"/>
      <c r="L134" s="2020" t="s">
        <v>682</v>
      </c>
      <c r="M134" s="2047"/>
      <c r="N134" s="2020"/>
      <c r="O134" s="2047"/>
      <c r="P134" s="2020"/>
      <c r="Q134" s="2047"/>
      <c r="R134" s="2020"/>
      <c r="S134" s="2047"/>
    </row>
    <row r="135" spans="1:19">
      <c r="A135" s="2040"/>
      <c r="B135" s="2077" t="s">
        <v>2780</v>
      </c>
      <c r="C135" s="23"/>
      <c r="D135" s="503">
        <v>70</v>
      </c>
      <c r="E135" s="86" t="s">
        <v>529</v>
      </c>
      <c r="F135" s="431"/>
      <c r="G135" s="830"/>
      <c r="H135" s="2020" t="s">
        <v>682</v>
      </c>
      <c r="I135" s="2047"/>
      <c r="J135" s="2020"/>
      <c r="K135" s="2047"/>
      <c r="L135" s="2020" t="s">
        <v>682</v>
      </c>
      <c r="M135" s="2047"/>
      <c r="N135" s="2020"/>
      <c r="O135" s="2047"/>
      <c r="P135" s="2020"/>
      <c r="Q135" s="2047"/>
      <c r="R135" s="2020"/>
      <c r="S135" s="2047"/>
    </row>
    <row r="136" spans="1:19">
      <c r="A136" s="2040"/>
      <c r="B136" s="2077" t="s">
        <v>2781</v>
      </c>
      <c r="C136" s="23"/>
      <c r="D136" s="503">
        <v>1093</v>
      </c>
      <c r="E136" s="86" t="s">
        <v>511</v>
      </c>
      <c r="F136" s="431"/>
      <c r="G136" s="830"/>
      <c r="H136" s="2020" t="s">
        <v>682</v>
      </c>
      <c r="I136" s="2047"/>
      <c r="J136" s="2020"/>
      <c r="K136" s="2047"/>
      <c r="L136" s="2020" t="s">
        <v>682</v>
      </c>
      <c r="M136" s="2047"/>
      <c r="N136" s="2020"/>
      <c r="O136" s="2047"/>
      <c r="P136" s="2020"/>
      <c r="Q136" s="2047"/>
      <c r="R136" s="2020"/>
      <c r="S136" s="2047"/>
    </row>
    <row r="137" spans="1:19">
      <c r="A137" s="2040"/>
      <c r="B137" s="2077" t="s">
        <v>2782</v>
      </c>
      <c r="C137" s="23"/>
      <c r="D137" s="503"/>
      <c r="E137" s="86" t="s">
        <v>468</v>
      </c>
      <c r="F137" s="431"/>
      <c r="G137" s="830"/>
      <c r="H137" s="2020" t="s">
        <v>682</v>
      </c>
      <c r="I137" s="2047"/>
      <c r="J137" s="2020"/>
      <c r="K137" s="2047"/>
      <c r="L137" s="2020" t="s">
        <v>682</v>
      </c>
      <c r="M137" s="2047"/>
      <c r="N137" s="2020"/>
      <c r="O137" s="2047"/>
      <c r="P137" s="2020"/>
      <c r="Q137" s="2047"/>
      <c r="R137" s="2020"/>
      <c r="S137" s="2047"/>
    </row>
    <row r="138" spans="1:19">
      <c r="A138" s="2040"/>
      <c r="B138" s="2077" t="s">
        <v>2783</v>
      </c>
      <c r="C138" s="23"/>
      <c r="D138" s="503">
        <v>6</v>
      </c>
      <c r="E138" s="86" t="s">
        <v>468</v>
      </c>
      <c r="F138" s="431"/>
      <c r="G138" s="830"/>
      <c r="H138" s="2020" t="s">
        <v>682</v>
      </c>
      <c r="I138" s="2047"/>
      <c r="J138" s="2020"/>
      <c r="K138" s="2047"/>
      <c r="L138" s="2020" t="s">
        <v>682</v>
      </c>
      <c r="M138" s="2047"/>
      <c r="N138" s="2020"/>
      <c r="O138" s="2047"/>
      <c r="P138" s="2020"/>
      <c r="Q138" s="2047"/>
      <c r="R138" s="2020"/>
      <c r="S138" s="2047"/>
    </row>
    <row r="139" spans="1:19">
      <c r="A139" s="2040"/>
      <c r="B139" s="2077" t="s">
        <v>2784</v>
      </c>
      <c r="C139" s="23"/>
      <c r="D139" s="503">
        <f>D133+D134</f>
        <v>131</v>
      </c>
      <c r="E139" s="86" t="s">
        <v>468</v>
      </c>
      <c r="F139" s="431"/>
      <c r="G139" s="830"/>
      <c r="H139" s="2020" t="s">
        <v>682</v>
      </c>
      <c r="I139" s="2047"/>
      <c r="J139" s="2020"/>
      <c r="K139" s="2047"/>
      <c r="L139" s="2020" t="s">
        <v>682</v>
      </c>
      <c r="M139" s="2047"/>
      <c r="N139" s="2020"/>
      <c r="O139" s="2047"/>
      <c r="P139" s="2020"/>
      <c r="Q139" s="2047"/>
      <c r="R139" s="2020"/>
      <c r="S139" s="2047"/>
    </row>
    <row r="140" spans="1:19">
      <c r="A140" s="2040"/>
      <c r="B140" s="2077"/>
      <c r="C140" s="23"/>
      <c r="D140" s="503"/>
      <c r="E140" s="86"/>
      <c r="F140" s="431"/>
      <c r="G140" s="830"/>
      <c r="H140" s="2020"/>
      <c r="I140" s="2047"/>
      <c r="J140" s="2020"/>
      <c r="K140" s="2047"/>
      <c r="L140" s="2020"/>
      <c r="M140" s="2047"/>
      <c r="N140" s="2020"/>
      <c r="O140" s="2047"/>
      <c r="P140" s="2020"/>
      <c r="Q140" s="2047"/>
      <c r="R140" s="2020"/>
      <c r="S140" s="2047"/>
    </row>
    <row r="141" spans="1:19">
      <c r="A141" s="2040"/>
      <c r="B141" s="1999" t="s">
        <v>2785</v>
      </c>
      <c r="C141" s="23"/>
      <c r="D141" s="503"/>
      <c r="E141" s="86"/>
      <c r="F141" s="431"/>
      <c r="G141" s="830"/>
      <c r="H141" s="2020"/>
      <c r="I141" s="2047"/>
      <c r="J141" s="2020" t="s">
        <v>682</v>
      </c>
      <c r="K141" s="2047"/>
      <c r="L141" s="2020"/>
      <c r="M141" s="2047"/>
      <c r="N141" s="2020"/>
      <c r="O141" s="2047"/>
      <c r="P141" s="2020"/>
      <c r="Q141" s="2047"/>
      <c r="R141" s="2020"/>
      <c r="S141" s="2047"/>
    </row>
    <row r="142" spans="1:19">
      <c r="A142" s="2040"/>
      <c r="B142" s="2077" t="s">
        <v>2778</v>
      </c>
      <c r="C142" s="23"/>
      <c r="D142" s="503">
        <v>877</v>
      </c>
      <c r="E142" s="86" t="s">
        <v>468</v>
      </c>
      <c r="F142" s="431">
        <v>20</v>
      </c>
      <c r="G142" s="830">
        <f t="shared" ref="G142:G145" si="0">F142*D142</f>
        <v>17540</v>
      </c>
      <c r="H142" s="2020"/>
      <c r="I142" s="2073">
        <f t="shared" ref="I142:I145" si="1">$G142</f>
        <v>17540</v>
      </c>
      <c r="J142" s="2020"/>
      <c r="K142" s="2047"/>
      <c r="L142" s="2020"/>
      <c r="M142" s="2073">
        <f t="shared" ref="M142:O145" si="2">$G142</f>
        <v>17540</v>
      </c>
      <c r="N142" s="2020"/>
      <c r="O142" s="2073">
        <f t="shared" si="2"/>
        <v>17540</v>
      </c>
      <c r="P142" s="2020"/>
      <c r="Q142" s="2047"/>
      <c r="R142" s="2020"/>
      <c r="S142" s="2047"/>
    </row>
    <row r="143" spans="1:19">
      <c r="A143" s="2040"/>
      <c r="B143" s="2077" t="s">
        <v>2779</v>
      </c>
      <c r="C143" s="23"/>
      <c r="D143" s="503">
        <v>48</v>
      </c>
      <c r="E143" s="86" t="s">
        <v>468</v>
      </c>
      <c r="F143" s="431">
        <v>500</v>
      </c>
      <c r="G143" s="830">
        <f t="shared" si="0"/>
        <v>24000</v>
      </c>
      <c r="H143" s="2020"/>
      <c r="I143" s="2073">
        <f t="shared" si="1"/>
        <v>24000</v>
      </c>
      <c r="J143" s="2020"/>
      <c r="K143" s="2047"/>
      <c r="L143" s="2020"/>
      <c r="M143" s="2073">
        <f t="shared" si="2"/>
        <v>24000</v>
      </c>
      <c r="N143" s="2020"/>
      <c r="O143" s="2073">
        <f t="shared" si="2"/>
        <v>24000</v>
      </c>
      <c r="P143" s="2020"/>
      <c r="Q143" s="2047"/>
      <c r="R143" s="2020"/>
      <c r="S143" s="2047"/>
    </row>
    <row r="144" spans="1:19">
      <c r="A144" s="2040"/>
      <c r="B144" s="2077" t="s">
        <v>2786</v>
      </c>
      <c r="C144" s="23"/>
      <c r="D144" s="503">
        <v>9674</v>
      </c>
      <c r="E144" s="86" t="s">
        <v>511</v>
      </c>
      <c r="F144" s="431">
        <v>7.5</v>
      </c>
      <c r="G144" s="830">
        <f t="shared" si="0"/>
        <v>72555</v>
      </c>
      <c r="H144" s="2020"/>
      <c r="I144" s="2073">
        <f t="shared" si="1"/>
        <v>72555</v>
      </c>
      <c r="J144" s="2020"/>
      <c r="K144" s="2047"/>
      <c r="L144" s="2020"/>
      <c r="M144" s="2073">
        <f t="shared" si="2"/>
        <v>72555</v>
      </c>
      <c r="N144" s="2020"/>
      <c r="O144" s="2073">
        <f t="shared" si="2"/>
        <v>72555</v>
      </c>
      <c r="P144" s="2020"/>
      <c r="Q144" s="2047"/>
      <c r="R144" s="2020"/>
      <c r="S144" s="2047"/>
    </row>
    <row r="145" spans="1:19">
      <c r="A145" s="2040"/>
      <c r="B145" s="2077" t="s">
        <v>2787</v>
      </c>
      <c r="C145" s="23"/>
      <c r="D145" s="503">
        <f>D142+D143</f>
        <v>925</v>
      </c>
      <c r="E145" s="86" t="s">
        <v>468</v>
      </c>
      <c r="F145" s="431">
        <v>75</v>
      </c>
      <c r="G145" s="830">
        <f t="shared" si="0"/>
        <v>69375</v>
      </c>
      <c r="H145" s="2020"/>
      <c r="I145" s="2073">
        <f t="shared" si="1"/>
        <v>69375</v>
      </c>
      <c r="J145" s="2020"/>
      <c r="K145" s="2047"/>
      <c r="L145" s="2020"/>
      <c r="M145" s="2073">
        <f t="shared" si="2"/>
        <v>69375</v>
      </c>
      <c r="N145" s="2020"/>
      <c r="O145" s="2073">
        <f t="shared" si="2"/>
        <v>69375</v>
      </c>
      <c r="P145" s="2020"/>
      <c r="Q145" s="2047"/>
      <c r="R145" s="2020"/>
      <c r="S145" s="2047"/>
    </row>
    <row r="146" spans="1:19">
      <c r="A146" s="2040"/>
      <c r="B146" s="2077"/>
      <c r="C146" s="23"/>
      <c r="D146" s="503"/>
      <c r="E146" s="86"/>
      <c r="F146" s="431"/>
      <c r="G146" s="830"/>
      <c r="H146" s="2020"/>
      <c r="I146" s="2047"/>
      <c r="J146" s="2020"/>
      <c r="K146" s="2047"/>
      <c r="L146" s="2020"/>
      <c r="M146" s="2047"/>
      <c r="N146" s="2020"/>
      <c r="O146" s="2047"/>
      <c r="P146" s="2020"/>
      <c r="Q146" s="2047"/>
      <c r="R146" s="2020"/>
      <c r="S146" s="2047"/>
    </row>
    <row r="147" spans="1:19">
      <c r="A147" s="2040"/>
      <c r="B147" s="2080" t="s">
        <v>2788</v>
      </c>
      <c r="C147" s="23"/>
      <c r="D147" s="503">
        <v>1</v>
      </c>
      <c r="E147" s="86" t="s">
        <v>1181</v>
      </c>
      <c r="F147" s="431">
        <v>10000</v>
      </c>
      <c r="G147" s="830">
        <f>F147*D147</f>
        <v>10000</v>
      </c>
      <c r="H147" s="2020"/>
      <c r="I147" s="2073">
        <f>$G147</f>
        <v>10000</v>
      </c>
      <c r="J147" s="2020"/>
      <c r="K147" s="2073">
        <f>$G147</f>
        <v>10000</v>
      </c>
      <c r="L147" s="2020"/>
      <c r="M147" s="2073">
        <f>$G147</f>
        <v>10000</v>
      </c>
      <c r="N147" s="2020"/>
      <c r="O147" s="2073">
        <f>$G147</f>
        <v>10000</v>
      </c>
      <c r="P147" s="2020"/>
      <c r="Q147" s="2047"/>
      <c r="R147" s="2020"/>
      <c r="S147" s="2047"/>
    </row>
    <row r="148" spans="1:19">
      <c r="A148" s="2040"/>
      <c r="B148" s="2080"/>
      <c r="C148" s="23"/>
      <c r="D148" s="503"/>
      <c r="E148" s="86"/>
      <c r="F148" s="431"/>
      <c r="G148" s="830"/>
      <c r="H148" s="2020"/>
      <c r="I148" s="2047"/>
      <c r="J148" s="2020"/>
      <c r="K148" s="2047"/>
      <c r="L148" s="2020"/>
      <c r="M148" s="2047"/>
      <c r="N148" s="2020"/>
      <c r="O148" s="2047"/>
      <c r="P148" s="2020"/>
      <c r="Q148" s="2047"/>
      <c r="R148" s="2020"/>
      <c r="S148" s="2047"/>
    </row>
    <row r="149" spans="1:19">
      <c r="A149" s="2040"/>
      <c r="B149" s="2080" t="s">
        <v>2789</v>
      </c>
      <c r="C149" s="23"/>
      <c r="D149" s="503"/>
      <c r="E149" s="86"/>
      <c r="F149" s="431"/>
      <c r="G149" s="830"/>
      <c r="H149" s="2020"/>
      <c r="I149" s="2047"/>
      <c r="J149" s="2020"/>
      <c r="K149" s="2047">
        <v>-143750</v>
      </c>
      <c r="L149" s="2020"/>
      <c r="M149" s="2047"/>
      <c r="N149" s="2020"/>
      <c r="O149" s="2047"/>
      <c r="P149" s="2020"/>
      <c r="Q149" s="2047"/>
      <c r="R149" s="2020"/>
      <c r="S149" s="2047"/>
    </row>
    <row r="150" spans="1:19">
      <c r="A150" s="2040"/>
      <c r="B150" s="2080" t="s">
        <v>2790</v>
      </c>
      <c r="C150" s="23"/>
      <c r="D150" s="503"/>
      <c r="E150" s="86"/>
      <c r="F150" s="431"/>
      <c r="G150" s="830"/>
      <c r="H150" s="2020"/>
      <c r="I150" s="2047"/>
      <c r="J150" s="2020"/>
      <c r="K150" s="2047"/>
      <c r="L150" s="2020"/>
      <c r="M150" s="2047"/>
      <c r="N150" s="2020"/>
      <c r="O150" s="2047"/>
      <c r="P150" s="2020"/>
      <c r="Q150" s="2047"/>
      <c r="R150" s="2020"/>
      <c r="S150" s="2047"/>
    </row>
    <row r="151" spans="1:19" ht="15.75" thickBot="1">
      <c r="A151" s="2040"/>
      <c r="B151" s="1999"/>
      <c r="C151" s="23"/>
      <c r="D151" s="503"/>
      <c r="E151" s="86"/>
      <c r="F151" s="431"/>
      <c r="G151" s="830"/>
      <c r="H151" s="2020"/>
      <c r="I151" s="2047"/>
      <c r="J151" s="2020"/>
      <c r="K151" s="2047"/>
      <c r="L151" s="2020"/>
      <c r="M151" s="2047"/>
      <c r="N151" s="2020"/>
      <c r="O151" s="2047"/>
      <c r="P151" s="2020"/>
      <c r="Q151" s="2047"/>
      <c r="R151" s="2020"/>
      <c r="S151" s="2047"/>
    </row>
    <row r="152" spans="1:19" ht="15.75" thickTop="1">
      <c r="A152" s="296"/>
      <c r="B152" s="301"/>
      <c r="C152" s="297"/>
      <c r="D152" s="505"/>
      <c r="E152" s="16"/>
      <c r="F152" s="282" t="s">
        <v>753</v>
      </c>
      <c r="G152" s="272"/>
      <c r="H152" s="273"/>
      <c r="I152" s="273">
        <f>SUM(I20:I151)</f>
        <v>2500308.3733333331</v>
      </c>
      <c r="J152" s="273"/>
      <c r="K152" s="273">
        <f>SUM(K20:K151)</f>
        <v>2808745.4</v>
      </c>
      <c r="L152" s="273"/>
      <c r="M152" s="273">
        <f>SUM(M20:M151)</f>
        <v>2937627.13</v>
      </c>
      <c r="N152" s="273"/>
      <c r="O152" s="273">
        <f>SUM(O20:O151)</f>
        <v>2802655.2</v>
      </c>
      <c r="P152" s="273"/>
      <c r="Q152" s="273">
        <f>SUM(Q20:Q151)</f>
        <v>0</v>
      </c>
      <c r="R152" s="273"/>
      <c r="S152" s="273">
        <f>SUM(S20:S151)</f>
        <v>0</v>
      </c>
    </row>
    <row r="153" spans="1:19">
      <c r="A153" s="1114"/>
      <c r="B153" s="2000"/>
      <c r="C153" s="432"/>
      <c r="D153" s="506"/>
      <c r="E153" s="434"/>
      <c r="F153" s="435" t="s">
        <v>754</v>
      </c>
      <c r="G153" s="436"/>
      <c r="H153" s="2081"/>
      <c r="I153" s="2002"/>
      <c r="J153" s="2003">
        <v>1.7500000000000002E-2</v>
      </c>
      <c r="K153" s="2002"/>
      <c r="L153" s="2001">
        <v>5.0000000000000001E-3</v>
      </c>
      <c r="M153" s="2002"/>
      <c r="N153" s="2003">
        <v>0</v>
      </c>
      <c r="O153" s="2002"/>
      <c r="P153" s="2003">
        <v>0</v>
      </c>
      <c r="Q153" s="2002"/>
      <c r="R153" s="2003">
        <v>0</v>
      </c>
      <c r="S153" s="2002"/>
    </row>
    <row r="154" spans="1:19">
      <c r="A154" s="1114"/>
      <c r="B154" s="2000"/>
      <c r="C154" s="432"/>
      <c r="D154" s="506"/>
      <c r="E154" s="434"/>
      <c r="F154" s="435" t="s">
        <v>755</v>
      </c>
      <c r="G154" s="436"/>
      <c r="H154" s="2002"/>
      <c r="I154" s="2002">
        <v>48325.65</v>
      </c>
      <c r="J154" s="2002"/>
      <c r="K154" s="2002"/>
      <c r="L154" s="2002"/>
      <c r="M154" s="2002">
        <f>M152*L153</f>
        <v>14688.13565</v>
      </c>
      <c r="N154" s="2002"/>
      <c r="O154" s="2002">
        <f>O152*N153</f>
        <v>0</v>
      </c>
      <c r="P154" s="2002"/>
      <c r="Q154" s="2002">
        <f>Q152*P153</f>
        <v>0</v>
      </c>
      <c r="R154" s="2002"/>
      <c r="S154" s="2002">
        <f>S152*R153</f>
        <v>0</v>
      </c>
    </row>
    <row r="155" spans="1:19">
      <c r="A155" s="1114"/>
      <c r="B155" s="2000"/>
      <c r="C155" s="432"/>
      <c r="D155" s="506"/>
      <c r="E155" s="434"/>
      <c r="F155" s="435"/>
      <c r="G155" s="436"/>
      <c r="H155" s="2002"/>
      <c r="I155" s="2002"/>
      <c r="J155" s="2002"/>
      <c r="K155" s="2002"/>
      <c r="L155" s="2002"/>
      <c r="M155" s="2002"/>
      <c r="N155" s="2002"/>
      <c r="O155" s="2002"/>
      <c r="P155" s="2002"/>
      <c r="Q155" s="2002"/>
      <c r="R155" s="2002"/>
      <c r="S155" s="2002"/>
    </row>
    <row r="156" spans="1:19">
      <c r="A156" s="1114"/>
      <c r="B156" s="2000"/>
      <c r="C156" s="432"/>
      <c r="D156" s="506"/>
      <c r="E156" s="434"/>
      <c r="F156" s="435" t="s">
        <v>756</v>
      </c>
      <c r="G156" s="436"/>
      <c r="H156" s="2002"/>
      <c r="I156" s="2002">
        <f>SUM(I152:I154)</f>
        <v>2548634.023333333</v>
      </c>
      <c r="J156" s="2002"/>
      <c r="K156" s="2002">
        <f>SUM(K152:K154)</f>
        <v>2808745.4</v>
      </c>
      <c r="L156" s="2002"/>
      <c r="M156" s="2002">
        <f>SUM(M152:M154)</f>
        <v>2952315.26565</v>
      </c>
      <c r="N156" s="2002"/>
      <c r="O156" s="2002">
        <f>SUM(O152:O154)</f>
        <v>2802655.2</v>
      </c>
      <c r="P156" s="2002"/>
      <c r="Q156" s="2002">
        <f>SUM(Q152:Q154)</f>
        <v>0</v>
      </c>
      <c r="R156" s="2002"/>
      <c r="S156" s="2002">
        <f>SUM(S152:S154)</f>
        <v>0</v>
      </c>
    </row>
    <row r="157" spans="1:19">
      <c r="A157" s="1114"/>
      <c r="B157" s="2000"/>
      <c r="C157" s="432"/>
      <c r="D157" s="506"/>
      <c r="E157" s="434"/>
      <c r="F157" s="437" t="s">
        <v>757</v>
      </c>
      <c r="G157" s="438"/>
      <c r="H157" s="2004"/>
      <c r="I157" s="2004">
        <f>I156/'Area Calculations'!$G$4</f>
        <v>4.4043493766377546</v>
      </c>
      <c r="J157" s="2004"/>
      <c r="K157" s="2004">
        <f>K156/'Area Calculations'!$G$4</f>
        <v>4.8538534518363878</v>
      </c>
      <c r="L157" s="2004"/>
      <c r="M157" s="2004">
        <f>M156/'Area Calculations'!$G$4</f>
        <v>5.1019596304757693</v>
      </c>
      <c r="N157" s="2004"/>
      <c r="O157" s="2004">
        <f>O156/'Area Calculations'!$G$4</f>
        <v>4.8433288459777106</v>
      </c>
      <c r="P157" s="2004"/>
      <c r="Q157" s="2004">
        <f>Q156/'Area Calculations'!$G$4</f>
        <v>0</v>
      </c>
      <c r="R157" s="2004"/>
      <c r="S157" s="2004">
        <f>S156/'Area Calculations'!$G$4</f>
        <v>0</v>
      </c>
    </row>
    <row r="158" spans="1:19">
      <c r="A158" s="1114"/>
      <c r="B158" s="2000"/>
      <c r="C158" s="432"/>
      <c r="D158" s="506"/>
      <c r="E158" s="434"/>
      <c r="F158" s="437" t="s">
        <v>758</v>
      </c>
      <c r="G158" s="438"/>
      <c r="H158" s="2004"/>
      <c r="I158" s="2004">
        <f>I156/'Area Calculations'!$G$9</f>
        <v>23819.009563862925</v>
      </c>
      <c r="J158" s="2004"/>
      <c r="K158" s="2004">
        <f>K156/'Area Calculations'!$G$9</f>
        <v>26249.957009345795</v>
      </c>
      <c r="L158" s="2004"/>
      <c r="M158" s="2004">
        <f>M156/'Area Calculations'!$G$9</f>
        <v>27591.731454672896</v>
      </c>
      <c r="N158" s="2004"/>
      <c r="O158" s="2004">
        <f>O156/'Area Calculations'!$G$9</f>
        <v>26193.03925233645</v>
      </c>
      <c r="P158" s="2004"/>
      <c r="Q158" s="2004">
        <f>Q156/'Area Calculations'!$G$9</f>
        <v>0</v>
      </c>
      <c r="R158" s="2004"/>
      <c r="S158" s="2004">
        <f>S156/'Area Calculations'!$G$9</f>
        <v>0</v>
      </c>
    </row>
    <row r="159" spans="1:19" ht="15.75" thickBot="1">
      <c r="A159" s="1114"/>
      <c r="B159" s="2000"/>
      <c r="C159" s="432"/>
      <c r="D159" s="506"/>
      <c r="E159" s="434"/>
      <c r="F159" s="439"/>
      <c r="G159" s="436"/>
      <c r="H159" s="2005"/>
      <c r="I159" s="2005"/>
      <c r="J159" s="2005"/>
      <c r="K159" s="2005"/>
      <c r="L159" s="2005"/>
      <c r="M159" s="2005"/>
      <c r="N159" s="2005"/>
      <c r="O159" s="2005"/>
      <c r="P159" s="2005"/>
      <c r="Q159" s="2005"/>
      <c r="R159" s="2005"/>
      <c r="S159" s="2005"/>
    </row>
    <row r="160" spans="1:19" ht="16.5" thickTop="1" thickBot="1">
      <c r="A160" s="2331" t="s">
        <v>759</v>
      </c>
      <c r="B160" s="2332"/>
      <c r="C160" s="298"/>
      <c r="D160" s="507"/>
      <c r="E160" s="12"/>
      <c r="F160" s="12"/>
      <c r="G160" s="26"/>
      <c r="H160" s="20"/>
      <c r="I160" s="20"/>
      <c r="J160" s="20"/>
      <c r="K160" s="20"/>
      <c r="L160" s="24"/>
      <c r="M160" s="20"/>
      <c r="N160" s="20"/>
      <c r="O160" s="20"/>
      <c r="P160" s="20"/>
      <c r="Q160" s="20"/>
      <c r="R160" s="20"/>
      <c r="S160" s="20"/>
    </row>
    <row r="161" spans="1:32" ht="15.75" thickTop="1">
      <c r="A161" s="2030"/>
      <c r="B161" s="2006"/>
      <c r="C161" s="1396"/>
      <c r="D161" s="2071"/>
      <c r="E161" s="2042"/>
      <c r="F161" s="2042"/>
      <c r="G161" s="2031"/>
      <c r="H161" s="2057"/>
      <c r="I161" s="2057"/>
      <c r="J161" s="2057"/>
      <c r="K161" s="2057"/>
      <c r="L161" s="2032"/>
      <c r="M161" s="2057"/>
      <c r="N161" s="2057"/>
      <c r="O161" s="2057"/>
      <c r="P161" s="2057"/>
      <c r="Q161" s="2057"/>
      <c r="R161" s="2057"/>
      <c r="S161" s="2057"/>
    </row>
    <row r="162" spans="1:32">
      <c r="A162" s="2030"/>
      <c r="B162" s="2006"/>
      <c r="C162" s="1396"/>
      <c r="D162" s="2071"/>
      <c r="E162" s="2042"/>
      <c r="F162" s="2042"/>
      <c r="G162" s="2031"/>
      <c r="H162" s="2057"/>
      <c r="I162" s="2057"/>
      <c r="J162" s="2057"/>
      <c r="K162" s="2057"/>
      <c r="L162" s="2032"/>
      <c r="M162" s="2057"/>
      <c r="N162" s="2057"/>
      <c r="O162" s="2057"/>
      <c r="P162" s="2057"/>
      <c r="Q162" s="2057"/>
      <c r="R162" s="2057"/>
      <c r="S162" s="2057"/>
    </row>
    <row r="163" spans="1:32" ht="15.75" thickBot="1">
      <c r="A163" s="2030"/>
      <c r="B163" s="2006"/>
      <c r="C163" s="1396"/>
      <c r="D163" s="2071"/>
      <c r="E163" s="2042"/>
      <c r="F163" s="2042"/>
      <c r="G163" s="2031"/>
      <c r="H163" s="2057"/>
      <c r="I163" s="2057"/>
      <c r="J163" s="2057"/>
      <c r="K163" s="2057"/>
      <c r="L163" s="2032"/>
      <c r="M163" s="2057"/>
      <c r="N163" s="2057"/>
      <c r="O163" s="2057"/>
      <c r="P163" s="2057"/>
      <c r="Q163" s="2057"/>
      <c r="R163" s="2057"/>
      <c r="S163" s="2057"/>
    </row>
    <row r="164" spans="1:32" s="2" customFormat="1" ht="16.5" thickTop="1" thickBot="1">
      <c r="A164" s="2331" t="s">
        <v>760</v>
      </c>
      <c r="B164" s="2332"/>
      <c r="C164" s="298"/>
      <c r="D164" s="507"/>
      <c r="E164" s="12"/>
      <c r="F164" s="12"/>
      <c r="G164" s="26"/>
      <c r="H164" s="20"/>
      <c r="I164" s="20"/>
      <c r="J164" s="20"/>
      <c r="K164" s="20"/>
      <c r="L164" s="24"/>
      <c r="M164" s="20"/>
      <c r="N164" s="20"/>
      <c r="O164" s="20"/>
      <c r="P164" s="20"/>
      <c r="Q164" s="20"/>
      <c r="R164" s="20"/>
      <c r="S164" s="20"/>
      <c r="T164"/>
      <c r="U164"/>
      <c r="V164"/>
      <c r="W164"/>
      <c r="X164"/>
      <c r="Y164"/>
      <c r="Z164"/>
      <c r="AA164"/>
      <c r="AB164"/>
      <c r="AC164"/>
      <c r="AD164"/>
      <c r="AE164"/>
      <c r="AF164"/>
    </row>
    <row r="165" spans="1:32" s="2" customFormat="1" ht="15.75" thickTop="1">
      <c r="A165" s="2030"/>
      <c r="B165" s="2006"/>
      <c r="C165" s="1396"/>
      <c r="D165" s="2071"/>
      <c r="E165" s="2042"/>
      <c r="F165" s="2042"/>
      <c r="G165" s="2031"/>
      <c r="H165" s="2057"/>
      <c r="I165" s="2057"/>
      <c r="J165" s="2057"/>
      <c r="K165" s="2057"/>
      <c r="L165" s="2032"/>
      <c r="M165" s="2057"/>
      <c r="N165" s="2057"/>
      <c r="O165" s="2057"/>
      <c r="P165" s="2057"/>
      <c r="Q165" s="2057"/>
      <c r="R165" s="2057"/>
      <c r="S165" s="2057"/>
      <c r="T165"/>
      <c r="U165"/>
      <c r="V165"/>
      <c r="W165"/>
      <c r="X165"/>
      <c r="Y165"/>
      <c r="Z165"/>
      <c r="AA165"/>
      <c r="AB165"/>
      <c r="AC165"/>
      <c r="AD165"/>
      <c r="AE165"/>
      <c r="AF165"/>
    </row>
    <row r="166" spans="1:32" s="2" customFormat="1">
      <c r="A166" s="2030"/>
      <c r="B166" s="2006"/>
      <c r="C166" s="1396"/>
      <c r="D166" s="2071"/>
      <c r="E166" s="2042"/>
      <c r="F166" s="2042"/>
      <c r="G166" s="2031"/>
      <c r="H166" s="2057"/>
      <c r="I166" s="2057"/>
      <c r="J166" s="2057"/>
      <c r="K166" s="2057"/>
      <c r="L166" s="2032"/>
      <c r="M166" s="2057"/>
      <c r="N166" s="2057"/>
      <c r="O166" s="2057"/>
      <c r="P166" s="2057"/>
      <c r="Q166" s="2057"/>
      <c r="R166" s="2057"/>
      <c r="S166" s="2057"/>
      <c r="T166"/>
      <c r="U166"/>
      <c r="V166"/>
      <c r="W166"/>
      <c r="X166"/>
      <c r="Y166"/>
      <c r="Z166"/>
      <c r="AA166"/>
      <c r="AB166"/>
      <c r="AC166"/>
      <c r="AD166"/>
      <c r="AE166"/>
      <c r="AF166"/>
    </row>
    <row r="167" spans="1:32" ht="15.75" thickBot="1">
      <c r="A167" s="2030"/>
      <c r="B167" s="2006"/>
      <c r="C167" s="1396"/>
      <c r="D167" s="2071"/>
      <c r="E167" s="2042"/>
      <c r="F167" s="2042"/>
      <c r="G167" s="2031"/>
      <c r="H167" s="2057"/>
      <c r="I167" s="2057"/>
      <c r="J167" s="2057"/>
      <c r="K167" s="2057"/>
      <c r="L167" s="2032"/>
      <c r="M167" s="2057"/>
      <c r="N167" s="2057"/>
      <c r="O167" s="2057"/>
      <c r="P167" s="2057"/>
      <c r="Q167" s="2057"/>
      <c r="R167" s="2057"/>
      <c r="S167" s="2057"/>
    </row>
    <row r="168" spans="1:32" s="2" customFormat="1" ht="16.5" thickTop="1" thickBot="1">
      <c r="A168" s="2331" t="s">
        <v>761</v>
      </c>
      <c r="B168" s="2332"/>
      <c r="C168" s="298"/>
      <c r="D168" s="507"/>
      <c r="E168" s="12"/>
      <c r="F168" s="12"/>
      <c r="G168" s="26"/>
      <c r="H168" s="20"/>
      <c r="I168" s="20"/>
      <c r="J168" s="20"/>
      <c r="K168" s="20"/>
      <c r="L168" s="24"/>
      <c r="M168" s="20"/>
      <c r="N168" s="20"/>
      <c r="O168" s="20"/>
      <c r="P168" s="20"/>
      <c r="Q168" s="20"/>
      <c r="R168" s="20"/>
      <c r="S168" s="20"/>
      <c r="T168"/>
      <c r="U168"/>
      <c r="V168"/>
      <c r="W168"/>
      <c r="X168"/>
      <c r="Y168"/>
      <c r="Z168"/>
      <c r="AA168"/>
      <c r="AB168"/>
      <c r="AC168"/>
      <c r="AD168"/>
      <c r="AE168"/>
      <c r="AF168"/>
    </row>
    <row r="169" spans="1:32" s="2" customFormat="1" ht="15.75" thickTop="1">
      <c r="A169" s="2030"/>
      <c r="B169" s="2006"/>
      <c r="C169" s="1396"/>
      <c r="D169" s="2071"/>
      <c r="E169" s="2042"/>
      <c r="F169" s="2042"/>
      <c r="G169" s="2031"/>
      <c r="H169" s="2057"/>
      <c r="I169" s="2057"/>
      <c r="J169" s="2057"/>
      <c r="K169" s="2057"/>
      <c r="L169" s="2032"/>
      <c r="M169" s="2057"/>
      <c r="N169" s="2057"/>
      <c r="O169" s="2057"/>
      <c r="P169" s="2057"/>
      <c r="Q169" s="2057"/>
      <c r="R169" s="2057"/>
      <c r="S169" s="2057"/>
      <c r="T169"/>
      <c r="U169"/>
      <c r="V169"/>
      <c r="W169"/>
      <c r="X169"/>
      <c r="Y169"/>
      <c r="Z169"/>
      <c r="AA169"/>
      <c r="AB169"/>
      <c r="AC169"/>
      <c r="AD169"/>
      <c r="AE169"/>
      <c r="AF169"/>
    </row>
    <row r="170" spans="1:32" s="2" customFormat="1">
      <c r="A170" s="1124"/>
      <c r="B170" s="2006"/>
      <c r="C170" s="415"/>
      <c r="D170" s="499"/>
      <c r="E170" s="422"/>
      <c r="F170" s="422"/>
      <c r="G170" s="831"/>
      <c r="H170" s="2007"/>
      <c r="I170" s="2007"/>
      <c r="J170" s="2007"/>
      <c r="K170" s="2007"/>
      <c r="L170" s="440"/>
      <c r="M170" s="2007"/>
      <c r="N170" s="2007"/>
      <c r="O170" s="2007"/>
      <c r="P170" s="2007"/>
      <c r="Q170" s="2007"/>
      <c r="R170" s="2007"/>
      <c r="S170" s="2007"/>
      <c r="T170"/>
      <c r="U170"/>
      <c r="V170"/>
      <c r="W170"/>
      <c r="X170"/>
      <c r="Y170"/>
      <c r="Z170"/>
      <c r="AA170"/>
      <c r="AB170"/>
      <c r="AC170"/>
      <c r="AD170"/>
      <c r="AE170"/>
      <c r="AF170"/>
    </row>
    <row r="171" spans="1:32" s="2" customFormat="1" ht="15.75" thickBot="1">
      <c r="A171" s="1126"/>
      <c r="B171" s="2008"/>
      <c r="C171" s="415"/>
      <c r="D171" s="499"/>
      <c r="E171" s="422"/>
      <c r="F171" s="422"/>
      <c r="G171" s="831"/>
      <c r="H171" s="2009"/>
      <c r="I171" s="2009"/>
      <c r="J171" s="2009"/>
      <c r="K171" s="2009"/>
      <c r="L171" s="441"/>
      <c r="M171" s="2009"/>
      <c r="N171" s="2009"/>
      <c r="O171" s="2009"/>
      <c r="P171" s="2009"/>
      <c r="Q171" s="2009"/>
      <c r="R171" s="2009"/>
      <c r="S171" s="2009"/>
    </row>
    <row r="172" spans="1:32" s="2" customFormat="1" ht="16.5" thickTop="1" thickBot="1">
      <c r="A172" s="2331" t="s">
        <v>762</v>
      </c>
      <c r="B172" s="2332"/>
      <c r="C172" s="298"/>
      <c r="D172" s="507"/>
      <c r="E172" s="12"/>
      <c r="F172" s="12"/>
      <c r="G172" s="26"/>
      <c r="H172" s="20"/>
      <c r="I172" s="20"/>
      <c r="J172" s="20"/>
      <c r="K172" s="20"/>
      <c r="L172" s="24"/>
      <c r="M172" s="20"/>
      <c r="N172" s="20"/>
      <c r="O172" s="20"/>
      <c r="P172" s="20"/>
      <c r="Q172" s="20"/>
      <c r="R172" s="20"/>
      <c r="S172" s="20"/>
      <c r="T172"/>
      <c r="U172"/>
      <c r="V172"/>
      <c r="W172"/>
      <c r="X172"/>
      <c r="Y172"/>
      <c r="Z172"/>
      <c r="AA172"/>
      <c r="AB172"/>
      <c r="AC172"/>
      <c r="AD172"/>
      <c r="AE172"/>
      <c r="AF172"/>
    </row>
    <row r="173" spans="1:32" ht="15.75" thickTop="1">
      <c r="A173" s="2034"/>
      <c r="B173" s="2059"/>
      <c r="C173" s="1396"/>
      <c r="D173" s="2071"/>
      <c r="E173" s="2042"/>
      <c r="F173" s="2042"/>
      <c r="G173" s="2031"/>
      <c r="H173" s="2057"/>
      <c r="I173" s="2057"/>
      <c r="J173" s="2057"/>
      <c r="K173" s="2057"/>
      <c r="L173" s="2032"/>
      <c r="M173" s="2057"/>
      <c r="N173" s="2057"/>
      <c r="O173" s="2057"/>
      <c r="P173" s="2057"/>
      <c r="Q173" s="2057"/>
      <c r="R173" s="2057"/>
      <c r="S173" s="2057"/>
      <c r="T173" s="2"/>
      <c r="U173" s="2"/>
      <c r="V173" s="2"/>
      <c r="W173" s="2"/>
      <c r="X173" s="2"/>
      <c r="Y173" s="2"/>
      <c r="Z173" s="2"/>
      <c r="AA173" s="2"/>
      <c r="AB173" s="2"/>
      <c r="AC173" s="2"/>
      <c r="AD173" s="2"/>
      <c r="AE173" s="2"/>
      <c r="AF173" s="2"/>
    </row>
    <row r="174" spans="1:32">
      <c r="A174" s="1126"/>
      <c r="B174" s="2008"/>
      <c r="C174" s="415"/>
      <c r="D174" s="499"/>
      <c r="E174" s="422"/>
      <c r="F174" s="422"/>
      <c r="G174" s="831"/>
      <c r="H174" s="2010"/>
      <c r="I174" s="2010"/>
      <c r="J174" s="2010"/>
      <c r="K174" s="2010"/>
      <c r="L174" s="442"/>
      <c r="M174" s="2010"/>
      <c r="N174" s="2010"/>
      <c r="O174" s="2010"/>
      <c r="P174" s="2010"/>
      <c r="Q174" s="2010"/>
      <c r="R174" s="2010"/>
      <c r="S174" s="2010"/>
      <c r="T174" s="2"/>
      <c r="U174" s="2"/>
      <c r="V174" s="2"/>
      <c r="W174" s="2"/>
      <c r="X174" s="2"/>
      <c r="Y174" s="2"/>
      <c r="Z174" s="2"/>
      <c r="AA174" s="2"/>
      <c r="AB174" s="2"/>
      <c r="AC174" s="2"/>
      <c r="AD174" s="2"/>
      <c r="AE174" s="2"/>
      <c r="AF174" s="2"/>
    </row>
    <row r="175" spans="1:32" ht="15.75" thickBot="1">
      <c r="A175" s="1126"/>
      <c r="B175" s="2008"/>
      <c r="C175" s="415"/>
      <c r="D175" s="499"/>
      <c r="E175" s="422"/>
      <c r="F175" s="422"/>
      <c r="G175" s="831"/>
      <c r="H175" s="2010"/>
      <c r="I175" s="2010"/>
      <c r="J175" s="2010"/>
      <c r="K175" s="2010"/>
      <c r="L175" s="442"/>
      <c r="M175" s="2010"/>
      <c r="N175" s="2010"/>
      <c r="O175" s="2010"/>
      <c r="P175" s="2010"/>
      <c r="Q175" s="2010"/>
      <c r="R175" s="2010"/>
      <c r="S175" s="2010"/>
      <c r="T175" s="2"/>
      <c r="U175" s="2"/>
      <c r="V175" s="2"/>
      <c r="W175" s="2"/>
      <c r="X175" s="2"/>
      <c r="Y175" s="2"/>
      <c r="Z175" s="2"/>
      <c r="AA175" s="2"/>
      <c r="AB175" s="2"/>
      <c r="AC175" s="2"/>
      <c r="AD175" s="2"/>
      <c r="AE175" s="2"/>
      <c r="AF175" s="2"/>
    </row>
    <row r="176" spans="1:32" ht="16.5" thickTop="1" thickBot="1">
      <c r="A176" s="2331" t="s">
        <v>763</v>
      </c>
      <c r="B176" s="2332"/>
      <c r="C176" s="298"/>
      <c r="D176" s="507"/>
      <c r="E176" s="12"/>
      <c r="F176" s="12"/>
      <c r="G176" s="26"/>
      <c r="H176" s="20"/>
      <c r="I176" s="20"/>
      <c r="J176" s="20"/>
      <c r="K176" s="20"/>
      <c r="L176" s="24"/>
      <c r="M176" s="20"/>
      <c r="N176" s="20"/>
      <c r="O176" s="20"/>
      <c r="P176" s="20"/>
      <c r="Q176" s="20"/>
      <c r="R176" s="20"/>
      <c r="S176" s="20"/>
    </row>
    <row r="177" spans="1:19" ht="15.75" thickTop="1">
      <c r="A177" s="1124"/>
      <c r="B177" s="2006" t="s">
        <v>764</v>
      </c>
      <c r="C177" s="415"/>
      <c r="D177" s="499"/>
      <c r="E177" s="422"/>
      <c r="F177" s="422"/>
      <c r="G177" s="831"/>
      <c r="H177" s="2010"/>
      <c r="I177" s="2010"/>
      <c r="J177" s="2010"/>
      <c r="K177" s="2010"/>
      <c r="L177" s="442"/>
      <c r="M177" s="2010"/>
      <c r="N177" s="2010"/>
      <c r="O177" s="2010"/>
      <c r="P177" s="2010"/>
      <c r="Q177" s="2010"/>
      <c r="R177" s="2010"/>
      <c r="S177" s="2010"/>
    </row>
    <row r="178" spans="1:19">
      <c r="A178" s="1124"/>
      <c r="B178" s="2006" t="s">
        <v>765</v>
      </c>
      <c r="C178" s="415"/>
      <c r="D178" s="499"/>
      <c r="E178" s="422"/>
      <c r="F178" s="422"/>
      <c r="G178" s="831"/>
      <c r="H178" s="2010"/>
      <c r="I178" s="2010"/>
      <c r="J178" s="2010"/>
      <c r="K178" s="2010"/>
      <c r="L178" s="442"/>
      <c r="M178" s="2010"/>
      <c r="N178" s="2010"/>
      <c r="O178" s="2010"/>
      <c r="P178" s="2010"/>
      <c r="Q178" s="2010"/>
      <c r="R178" s="2010"/>
      <c r="S178" s="2010"/>
    </row>
    <row r="179" spans="1:19">
      <c r="A179" s="1124"/>
      <c r="B179" s="2006" t="s">
        <v>766</v>
      </c>
      <c r="C179" s="415"/>
      <c r="D179" s="499"/>
      <c r="E179" s="422"/>
      <c r="F179" s="422"/>
      <c r="G179" s="831"/>
      <c r="H179" s="2010"/>
      <c r="I179" s="2010"/>
      <c r="J179" s="2010"/>
      <c r="K179" s="2010"/>
      <c r="L179" s="442"/>
      <c r="M179" s="2010"/>
      <c r="N179" s="2010"/>
      <c r="O179" s="2010"/>
      <c r="P179" s="2010"/>
      <c r="Q179" s="2010"/>
      <c r="R179" s="2010"/>
      <c r="S179" s="2010"/>
    </row>
    <row r="180" spans="1:19">
      <c r="A180" s="1124"/>
      <c r="B180" s="2006" t="s">
        <v>767</v>
      </c>
      <c r="C180" s="415"/>
      <c r="D180" s="499"/>
      <c r="E180" s="422"/>
      <c r="F180" s="422"/>
      <c r="G180" s="831"/>
      <c r="H180" s="2010"/>
      <c r="I180" s="2010"/>
      <c r="J180" s="2010"/>
      <c r="K180" s="2010"/>
      <c r="L180" s="442"/>
      <c r="M180" s="2010"/>
      <c r="N180" s="2010"/>
      <c r="O180" s="2010"/>
      <c r="P180" s="2010"/>
      <c r="Q180" s="2010"/>
      <c r="R180" s="2010"/>
      <c r="S180" s="2010"/>
    </row>
    <row r="181" spans="1:19" ht="15.75" thickBot="1">
      <c r="A181" s="443"/>
      <c r="B181" s="421"/>
      <c r="C181" s="23"/>
      <c r="D181" s="500"/>
      <c r="E181" s="86"/>
      <c r="F181" s="86"/>
      <c r="G181" s="27"/>
      <c r="H181" s="444"/>
      <c r="I181" s="444"/>
      <c r="J181" s="444"/>
      <c r="K181" s="444"/>
      <c r="L181" s="25"/>
      <c r="M181" s="444"/>
      <c r="N181" s="444"/>
      <c r="O181" s="444"/>
      <c r="P181" s="444"/>
      <c r="Q181" s="444"/>
      <c r="R181" s="444"/>
      <c r="S181" s="444"/>
    </row>
    <row r="182" spans="1:19" ht="16.5" thickTop="1" thickBot="1">
      <c r="A182" s="72" t="s">
        <v>768</v>
      </c>
      <c r="B182" s="73"/>
      <c r="C182" s="298"/>
      <c r="D182" s="507"/>
      <c r="E182" s="12"/>
      <c r="F182" s="12"/>
      <c r="G182" s="26"/>
      <c r="H182" s="20"/>
      <c r="I182" s="20"/>
      <c r="J182" s="20"/>
      <c r="K182" s="20"/>
      <c r="L182" s="24"/>
      <c r="M182" s="20"/>
      <c r="N182" s="20"/>
      <c r="O182" s="20"/>
      <c r="P182" s="20"/>
      <c r="Q182" s="20"/>
      <c r="R182" s="20"/>
      <c r="S182" s="20"/>
    </row>
    <row r="183" spans="1:19" ht="15.75" thickTop="1">
      <c r="A183" s="2030"/>
      <c r="B183" s="2060" t="s">
        <v>769</v>
      </c>
      <c r="C183" s="1396"/>
      <c r="D183" s="2071"/>
      <c r="E183" s="2042"/>
      <c r="F183" s="2042"/>
      <c r="G183" s="2031"/>
      <c r="H183" s="2062"/>
      <c r="I183" s="2062"/>
      <c r="J183" s="2062"/>
      <c r="K183" s="2062"/>
      <c r="L183" s="2037"/>
      <c r="M183" s="2062"/>
      <c r="N183" s="2062"/>
      <c r="O183" s="2062"/>
      <c r="P183" s="2062"/>
      <c r="Q183" s="2062"/>
      <c r="R183" s="2062"/>
      <c r="S183" s="2062"/>
    </row>
    <row r="184" spans="1:19">
      <c r="A184" s="1124"/>
      <c r="B184" s="2006" t="s">
        <v>770</v>
      </c>
      <c r="C184" s="415"/>
      <c r="D184" s="499"/>
      <c r="E184" s="422"/>
      <c r="F184" s="422"/>
      <c r="G184" s="831"/>
      <c r="H184" s="2011"/>
      <c r="I184" s="2011"/>
      <c r="J184" s="2011"/>
      <c r="K184" s="2011"/>
      <c r="L184" s="445"/>
      <c r="M184" s="2011"/>
      <c r="N184" s="2011"/>
      <c r="O184" s="2011"/>
      <c r="P184" s="2011"/>
      <c r="Q184" s="2011"/>
      <c r="R184" s="2011"/>
      <c r="S184" s="2011"/>
    </row>
    <row r="185" spans="1:19" ht="15.75" thickBot="1">
      <c r="A185" s="1183"/>
      <c r="B185" s="1184" t="s">
        <v>771</v>
      </c>
      <c r="C185" s="1185"/>
      <c r="D185" s="2082"/>
      <c r="E185" s="1186"/>
      <c r="F185" s="1186"/>
      <c r="G185" s="1187"/>
      <c r="H185" s="1189"/>
      <c r="I185" s="1189"/>
      <c r="J185" s="1189"/>
      <c r="K185" s="1189"/>
      <c r="L185" s="1188"/>
      <c r="M185" s="1189"/>
      <c r="N185" s="1189"/>
      <c r="O185" s="1189"/>
      <c r="P185" s="1189"/>
      <c r="Q185" s="1189"/>
      <c r="R185" s="1189"/>
      <c r="S185" s="1189"/>
    </row>
    <row r="186" spans="1:19" ht="16.5" thickTop="1" thickBot="1">
      <c r="F186" s="2"/>
      <c r="G186" s="2"/>
      <c r="H186" s="2"/>
      <c r="I186" s="2"/>
      <c r="J186" s="2"/>
      <c r="K186" s="2"/>
      <c r="L186" s="2"/>
      <c r="M186" s="2"/>
      <c r="N186" s="2"/>
      <c r="O186" s="2"/>
      <c r="P186" s="2"/>
      <c r="Q186" s="2"/>
      <c r="R186" s="2"/>
      <c r="S186" s="2"/>
    </row>
    <row r="187" spans="1:19" ht="16.5" thickTop="1" thickBot="1">
      <c r="A187" s="37" t="s">
        <v>772</v>
      </c>
      <c r="B187" s="39"/>
      <c r="F187" s="2"/>
      <c r="G187" s="520" t="s">
        <v>905</v>
      </c>
      <c r="H187" s="2"/>
      <c r="I187" s="270">
        <v>2385860.9500000002</v>
      </c>
      <c r="J187" s="2"/>
      <c r="K187" s="2"/>
      <c r="M187" s="270">
        <v>2736957.13</v>
      </c>
      <c r="N187" s="2"/>
      <c r="O187" s="2"/>
      <c r="P187" s="2"/>
      <c r="Q187" s="2"/>
      <c r="R187" s="2"/>
      <c r="S187" s="2"/>
    </row>
    <row r="188" spans="1:19" ht="15.75" thickTop="1">
      <c r="A188" s="38" t="s">
        <v>693</v>
      </c>
      <c r="B188" s="2012" t="str">
        <f>H5</f>
        <v>D &amp; W Paving</v>
      </c>
      <c r="F188" s="2"/>
      <c r="G188" s="521" t="s">
        <v>906</v>
      </c>
      <c r="H188" s="2"/>
      <c r="I188" s="519">
        <f>I26+I45+I46+I47+I50+I74+I142+I143+I144+I145+I147</f>
        <v>395433.33333333337</v>
      </c>
      <c r="J188" s="2"/>
      <c r="K188" s="2"/>
      <c r="M188" s="519">
        <f>M35+M86+M129+M142+M143+M144+M145+M147</f>
        <v>200670</v>
      </c>
      <c r="N188" s="2"/>
      <c r="O188" s="2"/>
      <c r="P188" s="2"/>
      <c r="Q188" s="2"/>
      <c r="R188" s="2"/>
      <c r="S188" s="2"/>
    </row>
    <row r="189" spans="1:19">
      <c r="A189" s="1142" t="s">
        <v>702</v>
      </c>
      <c r="B189" s="2012" t="str">
        <f t="shared" ref="B189:B191" si="3">H6</f>
        <v>Chad Durrance</v>
      </c>
      <c r="F189" s="2"/>
      <c r="G189" s="522" t="s">
        <v>907</v>
      </c>
      <c r="H189" s="2"/>
      <c r="I189" s="278">
        <f>I95</f>
        <v>15020.78</v>
      </c>
      <c r="J189" s="2"/>
      <c r="K189" s="2"/>
      <c r="M189" s="278"/>
      <c r="N189" s="2"/>
      <c r="O189" s="2"/>
      <c r="P189" s="2"/>
      <c r="Q189" s="2"/>
      <c r="R189" s="2"/>
      <c r="S189" s="2"/>
    </row>
    <row r="190" spans="1:19">
      <c r="A190" s="2013" t="s">
        <v>708</v>
      </c>
      <c r="B190" s="2012" t="str">
        <f t="shared" si="3"/>
        <v>(386) 258-5440</v>
      </c>
      <c r="F190" s="2"/>
      <c r="G190" s="520" t="s">
        <v>908</v>
      </c>
      <c r="H190" s="2"/>
      <c r="I190" s="1242">
        <f>-I154</f>
        <v>-48325.65</v>
      </c>
      <c r="J190" s="2"/>
      <c r="K190" s="2"/>
      <c r="M190" s="1242"/>
      <c r="N190" s="2"/>
      <c r="O190" s="2"/>
      <c r="P190" s="2"/>
      <c r="Q190" s="2"/>
      <c r="R190" s="2"/>
      <c r="S190" s="2"/>
    </row>
    <row r="191" spans="1:19">
      <c r="A191" s="2013" t="s">
        <v>713</v>
      </c>
      <c r="B191" s="2012" t="str">
        <f t="shared" si="3"/>
        <v>dwpaving@dwpavinginc.com</v>
      </c>
      <c r="F191" s="2"/>
      <c r="G191" s="520" t="s">
        <v>2791</v>
      </c>
      <c r="H191" s="2"/>
      <c r="I191" s="270">
        <f>SUM(I187:I190)</f>
        <v>2747989.4133333336</v>
      </c>
      <c r="J191" s="2"/>
      <c r="K191" s="2"/>
      <c r="M191" s="270">
        <f>SUM(M187:M190)</f>
        <v>2937627.13</v>
      </c>
      <c r="N191" s="2"/>
      <c r="O191" s="2"/>
      <c r="P191" s="2"/>
      <c r="Q191" s="2"/>
      <c r="R191" s="2"/>
      <c r="S191" s="2"/>
    </row>
    <row r="192" spans="1:19" ht="15.75" thickBot="1">
      <c r="A192" s="1194" t="s">
        <v>69</v>
      </c>
      <c r="B192" s="1231">
        <f>I156</f>
        <v>2548634.023333333</v>
      </c>
      <c r="F192" s="2"/>
      <c r="G192" s="520" t="s">
        <v>910</v>
      </c>
      <c r="H192" s="2"/>
      <c r="I192" s="270">
        <f>I156</f>
        <v>2548634.023333333</v>
      </c>
      <c r="J192" s="2"/>
      <c r="K192" s="2"/>
      <c r="M192" s="270">
        <f>M156</f>
        <v>2952315.26565</v>
      </c>
      <c r="N192" s="2"/>
      <c r="O192" s="2"/>
      <c r="P192" s="2"/>
      <c r="Q192" s="2"/>
      <c r="R192" s="2"/>
      <c r="S192" s="2"/>
    </row>
    <row r="193" spans="7:13" ht="15.75" thickTop="1">
      <c r="G193" s="523" t="s">
        <v>911</v>
      </c>
      <c r="I193" s="270">
        <f>I191-I192</f>
        <v>199355.3900000006</v>
      </c>
      <c r="M193" s="270">
        <f>M191-M192</f>
        <v>-14688.135650000069</v>
      </c>
    </row>
  </sheetData>
  <mergeCells count="41">
    <mergeCell ref="N9:O9"/>
    <mergeCell ref="J7:K7"/>
    <mergeCell ref="J8:K8"/>
    <mergeCell ref="J9:K9"/>
    <mergeCell ref="P5:Q5"/>
    <mergeCell ref="P6:Q6"/>
    <mergeCell ref="P7:Q7"/>
    <mergeCell ref="L5:M5"/>
    <mergeCell ref="L9:M9"/>
    <mergeCell ref="R9:S9"/>
    <mergeCell ref="A176:B176"/>
    <mergeCell ref="H5:I5"/>
    <mergeCell ref="H6:I6"/>
    <mergeCell ref="H7:I7"/>
    <mergeCell ref="H8:I8"/>
    <mergeCell ref="H9:I9"/>
    <mergeCell ref="A160:B160"/>
    <mergeCell ref="A164:B164"/>
    <mergeCell ref="A168:B168"/>
    <mergeCell ref="A172:B172"/>
    <mergeCell ref="J5:K5"/>
    <mergeCell ref="J6:K6"/>
    <mergeCell ref="P8:Q8"/>
    <mergeCell ref="P9:Q9"/>
    <mergeCell ref="R5:S5"/>
    <mergeCell ref="R6:S6"/>
    <mergeCell ref="R7:S7"/>
    <mergeCell ref="R8:S8"/>
    <mergeCell ref="L4:M4"/>
    <mergeCell ref="L6:M6"/>
    <mergeCell ref="L7:M7"/>
    <mergeCell ref="L8:M8"/>
    <mergeCell ref="N5:O5"/>
    <mergeCell ref="N6:O6"/>
    <mergeCell ref="N7:O7"/>
    <mergeCell ref="N8:O8"/>
    <mergeCell ref="H4:I4"/>
    <mergeCell ref="J4:K4"/>
    <mergeCell ref="N4:O4"/>
    <mergeCell ref="R4:S4"/>
    <mergeCell ref="P4:Q4"/>
  </mergeCells>
  <phoneticPr fontId="14" type="noConversion"/>
  <conditionalFormatting sqref="H11:H19">
    <cfRule type="cellIs" dxfId="55" priority="3" operator="equal">
      <formula>"X"</formula>
    </cfRule>
    <cfRule type="cellIs" dxfId="54" priority="4" operator="equal">
      <formula>"I"</formula>
    </cfRule>
  </conditionalFormatting>
  <conditionalFormatting sqref="J11:J19 N11:N19 P11:P19 R11:R19 H21:H151 J21:J151 L21:L151 N21:N151 P21:P151 R21:R151">
    <cfRule type="cellIs" dxfId="53" priority="17" operator="equal">
      <formula>"X"</formula>
    </cfRule>
    <cfRule type="cellIs" dxfId="52" priority="18" operator="equal">
      <formula>"I"</formula>
    </cfRule>
  </conditionalFormatting>
  <conditionalFormatting sqref="L11:L19">
    <cfRule type="cellIs" dxfId="51" priority="1" operator="equal">
      <formula>"X"</formula>
    </cfRule>
    <cfRule type="cellIs" dxfId="50" priority="2" operator="equal">
      <formula>"I"</formula>
    </cfRule>
  </conditionalFormatting>
  <hyperlinks>
    <hyperlink ref="B4" location="'Cost Summary'!A1" display="BACK TO SUMMARY SHEET" xr:uid="{BA903774-D007-4F0C-99A8-EAA0CB346A37}"/>
    <hyperlink ref="L8" r:id="rId1" xr:uid="{D1D3676A-F4C1-4C28-A1C6-B00FA07D1613}"/>
    <hyperlink ref="H8" r:id="rId2" xr:uid="{651177CB-C61C-4758-80A2-1B70B90A5AF7}"/>
  </hyperlinks>
  <printOptions horizontalCentered="1"/>
  <pageMargins left="0.2" right="0.2" top="0.75" bottom="0.75" header="0.3" footer="0.3"/>
  <pageSetup scale="57" orientation="portrait" horizontalDpi="300" verticalDpi="300" r:id="rId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BB1A8-1700-4440-A5AC-B1F98024D6BB}">
  <sheetPr>
    <tabColor rgb="FF00B0F0"/>
  </sheetPr>
  <dimension ref="A1:AO94"/>
  <sheetViews>
    <sheetView zoomScale="90" zoomScaleNormal="90" workbookViewId="0">
      <pane xSplit="2" ySplit="10" topLeftCell="C17" activePane="bottomRight" state="frozen"/>
      <selection pane="topRight" activeCell="C1" sqref="C1"/>
      <selection pane="bottomLeft" activeCell="A11" sqref="A11"/>
      <selection pane="bottomRight" activeCell="B4" sqref="B4"/>
    </sheetView>
  </sheetViews>
  <sheetFormatPr defaultRowHeight="15"/>
  <cols>
    <col min="1" max="1" width="11" customWidth="1"/>
    <col min="2" max="2" width="70.7109375" style="1" customWidth="1"/>
    <col min="3" max="3" width="12.7109375" style="2" customWidth="1"/>
    <col min="4" max="4" width="12.7109375" style="260" customWidth="1"/>
    <col min="5" max="5" width="7.7109375" style="68"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F1" s="275"/>
      <c r="G1" s="269" t="s">
        <v>679</v>
      </c>
      <c r="X1" s="261"/>
    </row>
    <row r="2" spans="1:24">
      <c r="F2" s="276" t="s">
        <v>680</v>
      </c>
      <c r="G2" s="269" t="s">
        <v>681</v>
      </c>
      <c r="X2" s="261"/>
    </row>
    <row r="3" spans="1:24" ht="15.75" thickBot="1">
      <c r="F3" s="277" t="s">
        <v>682</v>
      </c>
      <c r="G3" s="269" t="s">
        <v>683</v>
      </c>
      <c r="X3" s="261"/>
    </row>
    <row r="4" spans="1:24" ht="15.75" thickBot="1">
      <c r="B4" s="262" t="s">
        <v>684</v>
      </c>
      <c r="F4" s="278"/>
      <c r="G4" s="270" t="s">
        <v>685</v>
      </c>
      <c r="H4" s="2390" t="s">
        <v>687</v>
      </c>
      <c r="I4" s="2391"/>
      <c r="J4" s="2319" t="s">
        <v>688</v>
      </c>
      <c r="K4" s="2320"/>
      <c r="L4" s="2319" t="s">
        <v>686</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t="s">
        <v>2792</v>
      </c>
      <c r="I5" s="2322"/>
      <c r="J5" s="2321" t="s">
        <v>2793</v>
      </c>
      <c r="K5" s="2322"/>
      <c r="L5" s="2321" t="s">
        <v>2794</v>
      </c>
      <c r="M5" s="2322"/>
      <c r="N5" s="2321" t="s">
        <v>2795</v>
      </c>
      <c r="O5" s="2322"/>
      <c r="P5" s="2333"/>
      <c r="Q5" s="2334"/>
      <c r="R5" s="2333"/>
      <c r="S5" s="2334"/>
      <c r="X5" s="261"/>
    </row>
    <row r="6" spans="1:24">
      <c r="A6" s="1082" t="s">
        <v>700</v>
      </c>
      <c r="B6" s="2016" t="s">
        <v>375</v>
      </c>
      <c r="C6" s="415"/>
      <c r="D6" s="416"/>
      <c r="E6" s="417"/>
      <c r="F6" s="418"/>
      <c r="G6" s="419" t="s">
        <v>702</v>
      </c>
      <c r="H6" s="2325" t="s">
        <v>2796</v>
      </c>
      <c r="I6" s="2326"/>
      <c r="J6" s="2325" t="s">
        <v>2797</v>
      </c>
      <c r="K6" s="2326"/>
      <c r="L6" s="2325" t="s">
        <v>2798</v>
      </c>
      <c r="M6" s="2326"/>
      <c r="N6" s="2325"/>
      <c r="O6" s="2326"/>
      <c r="P6" s="2313"/>
      <c r="Q6" s="2314"/>
      <c r="R6" s="2313"/>
      <c r="S6" s="2314"/>
      <c r="X6" s="261"/>
    </row>
    <row r="7" spans="1:24">
      <c r="A7" s="1082" t="s">
        <v>706</v>
      </c>
      <c r="B7" s="2017" t="s">
        <v>374</v>
      </c>
      <c r="C7" s="415"/>
      <c r="D7" s="416"/>
      <c r="E7" s="417"/>
      <c r="F7" s="418"/>
      <c r="G7" s="829" t="s">
        <v>708</v>
      </c>
      <c r="H7" s="2325" t="s">
        <v>2799</v>
      </c>
      <c r="I7" s="2326"/>
      <c r="J7" s="2325" t="s">
        <v>2800</v>
      </c>
      <c r="K7" s="2326"/>
      <c r="L7" s="2325" t="s">
        <v>2801</v>
      </c>
      <c r="M7" s="2326"/>
      <c r="N7" s="2325"/>
      <c r="O7" s="2326"/>
      <c r="P7" s="2313"/>
      <c r="Q7" s="2314"/>
      <c r="R7" s="2313"/>
      <c r="S7" s="2314"/>
      <c r="X7" s="261"/>
    </row>
    <row r="8" spans="1:24">
      <c r="A8" s="1082" t="s">
        <v>712</v>
      </c>
      <c r="B8" s="2018"/>
      <c r="C8" s="415"/>
      <c r="D8" s="416"/>
      <c r="E8" s="417"/>
      <c r="F8" s="418"/>
      <c r="G8" s="829" t="s">
        <v>713</v>
      </c>
      <c r="H8" s="2327" t="s">
        <v>2802</v>
      </c>
      <c r="I8" s="2328"/>
      <c r="J8" s="2327" t="s">
        <v>2803</v>
      </c>
      <c r="K8" s="2328"/>
      <c r="L8" s="2327" t="s">
        <v>2804</v>
      </c>
      <c r="M8" s="2328"/>
      <c r="N8" s="2329"/>
      <c r="O8" s="2328"/>
      <c r="P8" s="2315"/>
      <c r="Q8" s="2316"/>
      <c r="R8" s="2315"/>
      <c r="S8" s="2316"/>
      <c r="X8" s="261"/>
    </row>
    <row r="9" spans="1:24" ht="15.75" thickBot="1">
      <c r="A9" s="420"/>
      <c r="B9" s="421"/>
      <c r="C9" s="23"/>
      <c r="D9" s="265"/>
      <c r="E9" s="266"/>
      <c r="F9" s="283"/>
      <c r="G9" s="284" t="s">
        <v>717</v>
      </c>
      <c r="H9" s="2317">
        <f>I57</f>
        <v>1306673.9722222222</v>
      </c>
      <c r="I9" s="2318"/>
      <c r="J9" s="2330">
        <f>K57</f>
        <v>1471673.9722222222</v>
      </c>
      <c r="K9" s="2330"/>
      <c r="L9" s="2317">
        <f>M57</f>
        <v>2163353.972222222</v>
      </c>
      <c r="M9" s="2318"/>
      <c r="N9" s="2317">
        <f>O57</f>
        <v>624173.97222222225</v>
      </c>
      <c r="O9" s="2318"/>
      <c r="P9" s="2317">
        <f>Q57</f>
        <v>0</v>
      </c>
      <c r="Q9" s="2318"/>
      <c r="R9" s="2317">
        <f>S57</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c r="A11" s="2040"/>
      <c r="B11" s="2083" t="s">
        <v>725</v>
      </c>
      <c r="C11" s="1396"/>
      <c r="D11" s="2084"/>
      <c r="E11" s="2085"/>
      <c r="F11" s="2043"/>
      <c r="G11" s="2044"/>
      <c r="H11" s="2086"/>
      <c r="I11" s="348"/>
      <c r="J11" s="2086"/>
      <c r="K11" s="2047"/>
      <c r="L11" s="2086"/>
      <c r="M11" s="2046"/>
      <c r="N11" s="2086"/>
      <c r="O11" s="2047"/>
      <c r="P11" s="2086"/>
      <c r="Q11" s="2047"/>
      <c r="R11" s="2086"/>
      <c r="S11" s="2047"/>
    </row>
    <row r="12" spans="1:24">
      <c r="A12" s="2040"/>
      <c r="B12" s="2087" t="s">
        <v>726</v>
      </c>
      <c r="C12" s="415"/>
      <c r="D12" s="416"/>
      <c r="E12" s="417"/>
      <c r="F12" s="418"/>
      <c r="G12" s="423"/>
      <c r="H12" s="2020" t="s">
        <v>727</v>
      </c>
      <c r="I12" s="2047"/>
      <c r="J12" s="2088"/>
      <c r="K12" s="2047"/>
      <c r="L12" s="2088"/>
      <c r="M12" s="2046"/>
      <c r="N12" s="2088"/>
      <c r="O12" s="2047"/>
      <c r="P12" s="2088"/>
      <c r="Q12" s="2047"/>
      <c r="R12" s="2088"/>
      <c r="S12" s="2047"/>
    </row>
    <row r="13" spans="1:24">
      <c r="A13" s="1097"/>
      <c r="B13" s="2087" t="s">
        <v>728</v>
      </c>
      <c r="C13" s="415"/>
      <c r="D13" s="416"/>
      <c r="E13" s="417"/>
      <c r="F13" s="418"/>
      <c r="G13" s="423"/>
      <c r="H13" s="2020" t="s">
        <v>727</v>
      </c>
      <c r="I13" s="2047"/>
      <c r="J13" s="2088"/>
      <c r="K13" s="2047"/>
      <c r="L13" s="2088"/>
      <c r="M13" s="2046"/>
      <c r="N13" s="2088"/>
      <c r="O13" s="2047"/>
      <c r="P13" s="2088"/>
      <c r="Q13" s="2047"/>
      <c r="R13" s="2088"/>
      <c r="S13" s="2047"/>
    </row>
    <row r="14" spans="1:24">
      <c r="A14" s="2040"/>
      <c r="B14" s="2089" t="s">
        <v>729</v>
      </c>
      <c r="C14" s="415"/>
      <c r="D14" s="416"/>
      <c r="E14" s="417"/>
      <c r="F14" s="418"/>
      <c r="G14" s="423"/>
      <c r="H14" s="2020" t="s">
        <v>730</v>
      </c>
      <c r="I14" s="2047" t="s">
        <v>2805</v>
      </c>
      <c r="J14" s="2088"/>
      <c r="K14" s="2047"/>
      <c r="L14" s="2088"/>
      <c r="M14" s="2046"/>
      <c r="N14" s="2088"/>
      <c r="O14" s="2047"/>
      <c r="P14" s="2088"/>
      <c r="Q14" s="2047"/>
      <c r="R14" s="2088"/>
      <c r="S14" s="2047"/>
    </row>
    <row r="15" spans="1:24">
      <c r="A15" s="1097"/>
      <c r="B15" s="2089" t="s">
        <v>731</v>
      </c>
      <c r="C15" s="415"/>
      <c r="D15" s="416"/>
      <c r="E15" s="417"/>
      <c r="F15" s="418"/>
      <c r="G15" s="423"/>
      <c r="H15" s="2020" t="s">
        <v>727</v>
      </c>
      <c r="I15" s="2046"/>
      <c r="J15" s="2088"/>
      <c r="K15" s="2046"/>
      <c r="L15" s="2088"/>
      <c r="M15" s="2046"/>
      <c r="N15" s="2088"/>
      <c r="O15" s="2046"/>
      <c r="P15" s="2088"/>
      <c r="Q15" s="2046"/>
      <c r="R15" s="2088"/>
      <c r="S15" s="2046"/>
    </row>
    <row r="16" spans="1:24">
      <c r="A16" s="2040"/>
      <c r="B16" s="2089" t="s">
        <v>732</v>
      </c>
      <c r="C16" s="415"/>
      <c r="D16" s="416"/>
      <c r="E16" s="417"/>
      <c r="F16" s="418"/>
      <c r="G16" s="423"/>
      <c r="H16" s="2020" t="s">
        <v>727</v>
      </c>
      <c r="I16" s="2047"/>
      <c r="J16" s="2088"/>
      <c r="K16" s="2047"/>
      <c r="L16" s="2088"/>
      <c r="M16" s="2046"/>
      <c r="N16" s="2088"/>
      <c r="O16" s="2047"/>
      <c r="P16" s="2088"/>
      <c r="Q16" s="2047"/>
      <c r="R16" s="2088"/>
      <c r="S16" s="2047"/>
    </row>
    <row r="17" spans="1:41">
      <c r="A17" s="1097"/>
      <c r="B17" s="2089" t="s">
        <v>733</v>
      </c>
      <c r="C17" s="415"/>
      <c r="D17" s="416"/>
      <c r="E17" s="417"/>
      <c r="F17" s="418"/>
      <c r="G17" s="423"/>
      <c r="H17" s="2020" t="s">
        <v>727</v>
      </c>
      <c r="I17" s="2047"/>
      <c r="J17" s="2088"/>
      <c r="K17" s="2047"/>
      <c r="L17" s="2088"/>
      <c r="M17" s="2046"/>
      <c r="N17" s="2088"/>
      <c r="O17" s="2047"/>
      <c r="P17" s="2088"/>
      <c r="Q17" s="2047"/>
      <c r="R17" s="2088"/>
      <c r="S17" s="2047"/>
    </row>
    <row r="18" spans="1:41">
      <c r="A18" s="2040"/>
      <c r="B18" s="726" t="s">
        <v>734</v>
      </c>
      <c r="C18" s="415"/>
      <c r="D18" s="416"/>
      <c r="E18" s="417"/>
      <c r="F18" s="418"/>
      <c r="G18" s="423"/>
      <c r="H18" s="2020" t="s">
        <v>727</v>
      </c>
      <c r="I18" s="2047"/>
      <c r="J18" s="2088"/>
      <c r="K18" s="2047"/>
      <c r="L18" s="2088"/>
      <c r="M18" s="2046"/>
      <c r="N18" s="2088"/>
      <c r="O18" s="2047"/>
      <c r="P18" s="2088"/>
      <c r="Q18" s="2047"/>
      <c r="R18" s="2088"/>
      <c r="S18" s="2047"/>
    </row>
    <row r="19" spans="1:41">
      <c r="A19" s="2040"/>
      <c r="B19" s="2090" t="s">
        <v>736</v>
      </c>
      <c r="C19" s="415"/>
      <c r="D19" s="416"/>
      <c r="E19" s="417"/>
      <c r="F19" s="418"/>
      <c r="G19" s="423"/>
      <c r="H19" s="2088"/>
      <c r="I19" s="2047"/>
      <c r="J19" s="2088"/>
      <c r="K19" s="2047"/>
      <c r="L19" s="2088"/>
      <c r="M19" s="2046"/>
      <c r="N19" s="2088"/>
      <c r="O19" s="2047"/>
      <c r="P19" s="2088"/>
      <c r="Q19" s="2047"/>
      <c r="R19" s="2088"/>
      <c r="S19" s="2047"/>
    </row>
    <row r="20" spans="1:41">
      <c r="A20" s="1097"/>
      <c r="B20" s="2091" t="s">
        <v>737</v>
      </c>
      <c r="C20" s="424"/>
      <c r="D20" s="448"/>
      <c r="E20" s="449"/>
      <c r="F20" s="426"/>
      <c r="G20" s="427"/>
      <c r="H20" s="2092"/>
      <c r="I20" s="2025">
        <v>1225000</v>
      </c>
      <c r="J20" s="2092"/>
      <c r="K20" s="2025">
        <v>1400000</v>
      </c>
      <c r="L20" s="2092"/>
      <c r="M20" s="2024">
        <v>2091680</v>
      </c>
      <c r="N20" s="2092"/>
      <c r="O20" s="2025">
        <v>585000</v>
      </c>
      <c r="P20" s="2092"/>
      <c r="Q20" s="2025"/>
      <c r="R20" s="2092"/>
      <c r="S20" s="2025"/>
    </row>
    <row r="21" spans="1:41">
      <c r="A21" s="2040"/>
      <c r="B21" s="1104"/>
      <c r="C21" s="23"/>
      <c r="D21" s="265"/>
      <c r="E21" s="266"/>
      <c r="F21" s="280"/>
      <c r="G21" s="274"/>
      <c r="H21" s="2088"/>
      <c r="I21" s="428"/>
      <c r="J21" s="2088"/>
      <c r="K21" s="428"/>
      <c r="L21" s="2088"/>
      <c r="M21" s="428"/>
      <c r="N21" s="2088"/>
      <c r="O21" s="428"/>
      <c r="P21" s="2088"/>
      <c r="Q21" s="428"/>
      <c r="R21" s="2088"/>
      <c r="S21" s="428"/>
    </row>
    <row r="22" spans="1:41" s="69" customFormat="1">
      <c r="A22" s="1097"/>
      <c r="B22" s="2006" t="s">
        <v>2806</v>
      </c>
      <c r="C22" s="415"/>
      <c r="D22" s="416"/>
      <c r="E22" s="417"/>
      <c r="F22" s="429"/>
      <c r="G22" s="423"/>
      <c r="H22" s="2088" t="s">
        <v>682</v>
      </c>
      <c r="I22" s="1992"/>
      <c r="J22" s="2088" t="s">
        <v>682</v>
      </c>
      <c r="K22" s="1107"/>
      <c r="L22" s="2088" t="s">
        <v>682</v>
      </c>
      <c r="M22" s="1107"/>
      <c r="N22" s="2088"/>
      <c r="O22" s="2093" t="s">
        <v>2807</v>
      </c>
      <c r="P22" s="2088"/>
      <c r="Q22" s="1107"/>
      <c r="R22" s="2088"/>
      <c r="S22" s="1992"/>
      <c r="T22"/>
      <c r="U22"/>
      <c r="V22"/>
      <c r="W22"/>
      <c r="X22"/>
      <c r="Y22"/>
      <c r="Z22"/>
      <c r="AA22"/>
      <c r="AB22"/>
      <c r="AC22"/>
      <c r="AD22"/>
      <c r="AE22"/>
      <c r="AF22"/>
      <c r="AG22"/>
      <c r="AH22"/>
      <c r="AI22"/>
      <c r="AJ22"/>
      <c r="AK22"/>
      <c r="AL22"/>
      <c r="AM22"/>
      <c r="AN22"/>
      <c r="AO22"/>
    </row>
    <row r="23" spans="1:41" ht="30">
      <c r="A23" s="2040"/>
      <c r="B23" s="2094" t="s">
        <v>2808</v>
      </c>
      <c r="C23" s="1396"/>
      <c r="D23" s="2095"/>
      <c r="E23" s="2085"/>
      <c r="F23" s="2028"/>
      <c r="G23" s="2029"/>
      <c r="H23" s="2088"/>
      <c r="I23" s="2047"/>
      <c r="J23" s="2088"/>
      <c r="K23" s="2047"/>
      <c r="L23" s="2088"/>
      <c r="M23" s="2047"/>
      <c r="N23" s="2088"/>
      <c r="O23" s="2047"/>
      <c r="P23" s="2088"/>
      <c r="Q23" s="2047"/>
      <c r="R23" s="2088"/>
      <c r="S23" s="2047"/>
    </row>
    <row r="24" spans="1:41">
      <c r="A24" s="2040"/>
      <c r="B24" s="2094"/>
      <c r="C24" s="1396"/>
      <c r="D24" s="2095"/>
      <c r="E24" s="2085"/>
      <c r="F24" s="2028"/>
      <c r="G24" s="2029"/>
      <c r="H24" s="2088"/>
      <c r="I24" s="2047"/>
      <c r="J24" s="2088"/>
      <c r="K24" s="2047"/>
      <c r="L24" s="2088"/>
      <c r="M24" s="2047"/>
      <c r="N24" s="2088"/>
      <c r="O24" s="2047"/>
      <c r="P24" s="2088"/>
      <c r="Q24" s="2047"/>
      <c r="R24" s="2088"/>
      <c r="S24" s="2047"/>
    </row>
    <row r="25" spans="1:41">
      <c r="A25" s="1097"/>
      <c r="B25" s="2096" t="s">
        <v>2809</v>
      </c>
      <c r="C25" s="415"/>
      <c r="D25" s="450"/>
      <c r="E25" s="417"/>
      <c r="F25" s="431"/>
      <c r="G25" s="2029"/>
      <c r="H25" s="2088"/>
      <c r="I25" s="2073">
        <v>25000</v>
      </c>
      <c r="J25" s="2088"/>
      <c r="K25" s="2073">
        <v>25000</v>
      </c>
      <c r="L25" s="2088" t="s">
        <v>682</v>
      </c>
      <c r="M25" s="2079">
        <v>25000</v>
      </c>
      <c r="N25" s="2088" t="s">
        <v>682</v>
      </c>
      <c r="O25" s="2047"/>
      <c r="P25" s="2088"/>
      <c r="Q25" s="2047"/>
      <c r="R25" s="2088"/>
      <c r="S25" s="2047"/>
    </row>
    <row r="26" spans="1:41">
      <c r="A26" s="2040"/>
      <c r="B26" s="2096"/>
      <c r="C26" s="415"/>
      <c r="D26" s="450"/>
      <c r="E26" s="417"/>
      <c r="F26" s="431"/>
      <c r="G26" s="2029"/>
      <c r="H26" s="2088"/>
      <c r="I26" s="2047"/>
      <c r="J26" s="2088"/>
      <c r="K26" s="2047"/>
      <c r="L26" s="2088"/>
      <c r="M26" s="2047"/>
      <c r="N26" s="2088"/>
      <c r="O26" s="2047"/>
      <c r="P26" s="2088"/>
      <c r="Q26" s="2047"/>
      <c r="R26" s="2088"/>
      <c r="S26" s="2047"/>
    </row>
    <row r="27" spans="1:41">
      <c r="A27" s="2040"/>
      <c r="B27" s="2096" t="s">
        <v>2810</v>
      </c>
      <c r="C27" s="415"/>
      <c r="D27" s="450">
        <v>1</v>
      </c>
      <c r="E27" s="417" t="s">
        <v>462</v>
      </c>
      <c r="F27" s="431">
        <v>2000</v>
      </c>
      <c r="G27" s="2029">
        <f>F27*D27</f>
        <v>2000</v>
      </c>
      <c r="H27" s="2088"/>
      <c r="I27" s="2073">
        <f>$G27</f>
        <v>2000</v>
      </c>
      <c r="J27" s="2088"/>
      <c r="K27" s="2073">
        <f>$G27</f>
        <v>2000</v>
      </c>
      <c r="L27" s="2088"/>
      <c r="M27" s="2073">
        <f>$G27</f>
        <v>2000</v>
      </c>
      <c r="N27" s="2088"/>
      <c r="O27" s="2073">
        <f>$G27</f>
        <v>2000</v>
      </c>
      <c r="P27" s="2088"/>
      <c r="Q27" s="2047"/>
      <c r="R27" s="2088"/>
      <c r="S27" s="2047"/>
    </row>
    <row r="28" spans="1:41">
      <c r="A28" s="1097"/>
      <c r="B28" s="2096" t="s">
        <v>2811</v>
      </c>
      <c r="C28" s="415"/>
      <c r="D28" s="450">
        <v>1</v>
      </c>
      <c r="E28" s="417" t="s">
        <v>462</v>
      </c>
      <c r="F28" s="431">
        <v>7500</v>
      </c>
      <c r="G28" s="2029">
        <f>F28*D28</f>
        <v>7500</v>
      </c>
      <c r="H28" s="2088"/>
      <c r="I28" s="2073">
        <f>$G28</f>
        <v>7500</v>
      </c>
      <c r="J28" s="2088"/>
      <c r="K28" s="2073">
        <f>$G28</f>
        <v>7500</v>
      </c>
      <c r="L28" s="2088"/>
      <c r="M28" s="2073">
        <f>$G28</f>
        <v>7500</v>
      </c>
      <c r="N28" s="2088"/>
      <c r="O28" s="2047"/>
      <c r="P28" s="2088"/>
      <c r="Q28" s="2047"/>
      <c r="R28" s="2088"/>
      <c r="S28" s="2047"/>
    </row>
    <row r="29" spans="1:41">
      <c r="A29" s="2040"/>
      <c r="B29" s="2096"/>
      <c r="C29" s="415"/>
      <c r="D29" s="450"/>
      <c r="E29" s="417"/>
      <c r="F29" s="431"/>
      <c r="G29" s="2029"/>
      <c r="H29" s="2088"/>
      <c r="I29" s="2073"/>
      <c r="J29" s="2088"/>
      <c r="K29" s="2047"/>
      <c r="L29" s="2088"/>
      <c r="M29" s="2047"/>
      <c r="N29" s="2088"/>
      <c r="O29" s="2047"/>
      <c r="P29" s="2088"/>
      <c r="Q29" s="2047"/>
      <c r="R29" s="2088"/>
      <c r="S29" s="2047"/>
    </row>
    <row r="30" spans="1:41">
      <c r="A30" s="1097"/>
      <c r="B30" s="2096" t="s">
        <v>2812</v>
      </c>
      <c r="C30" s="415"/>
      <c r="D30" s="450">
        <v>1</v>
      </c>
      <c r="E30" s="417" t="s">
        <v>462</v>
      </c>
      <c r="F30" s="431">
        <v>2500</v>
      </c>
      <c r="G30" s="2029">
        <f>F30*D30</f>
        <v>2500</v>
      </c>
      <c r="H30" s="2088"/>
      <c r="I30" s="2073">
        <f>$G30</f>
        <v>2500</v>
      </c>
      <c r="J30" s="2088"/>
      <c r="K30" s="2073">
        <f>$G30</f>
        <v>2500</v>
      </c>
      <c r="L30" s="2088"/>
      <c r="M30" s="2073">
        <f>$G30</f>
        <v>2500</v>
      </c>
      <c r="N30" s="2088"/>
      <c r="O30" s="2073">
        <f>$G30</f>
        <v>2500</v>
      </c>
      <c r="P30" s="2088"/>
      <c r="Q30" s="2047"/>
      <c r="R30" s="2088"/>
      <c r="S30" s="2047"/>
    </row>
    <row r="31" spans="1:41">
      <c r="A31" s="2040"/>
      <c r="B31" s="2096" t="s">
        <v>2813</v>
      </c>
      <c r="C31" s="415"/>
      <c r="D31" s="450">
        <v>1</v>
      </c>
      <c r="E31" s="417" t="s">
        <v>462</v>
      </c>
      <c r="F31" s="431">
        <f>3*8*150</f>
        <v>3600</v>
      </c>
      <c r="G31" s="2029">
        <f>F31*D31</f>
        <v>3600</v>
      </c>
      <c r="H31" s="2088"/>
      <c r="I31" s="2073">
        <f>$G31</f>
        <v>3600</v>
      </c>
      <c r="J31" s="2088"/>
      <c r="K31" s="2073">
        <f>$G31</f>
        <v>3600</v>
      </c>
      <c r="L31" s="2088"/>
      <c r="M31" s="2073">
        <f>$G31</f>
        <v>3600</v>
      </c>
      <c r="N31" s="2088"/>
      <c r="O31" s="2073">
        <f>$G31</f>
        <v>3600</v>
      </c>
      <c r="P31" s="2088"/>
      <c r="Q31" s="2047"/>
      <c r="R31" s="2088"/>
      <c r="S31" s="2047"/>
    </row>
    <row r="32" spans="1:41">
      <c r="A32" s="1097"/>
      <c r="B32" s="2096" t="s">
        <v>2814</v>
      </c>
      <c r="C32" s="415"/>
      <c r="D32" s="450">
        <v>1</v>
      </c>
      <c r="E32" s="417" t="s">
        <v>462</v>
      </c>
      <c r="F32" s="431">
        <v>10000</v>
      </c>
      <c r="G32" s="2029">
        <f>F32*D32</f>
        <v>10000</v>
      </c>
      <c r="H32" s="2088"/>
      <c r="I32" s="2073">
        <f>$G32</f>
        <v>10000</v>
      </c>
      <c r="J32" s="2088"/>
      <c r="K32" s="2073">
        <f>$G32</f>
        <v>10000</v>
      </c>
      <c r="L32" s="2088"/>
      <c r="M32" s="2073">
        <f>$G32</f>
        <v>10000</v>
      </c>
      <c r="N32" s="2088"/>
      <c r="O32" s="2073">
        <f>$G32</f>
        <v>10000</v>
      </c>
      <c r="P32" s="2088"/>
      <c r="Q32" s="2047"/>
      <c r="R32" s="2088"/>
      <c r="S32" s="2047"/>
    </row>
    <row r="33" spans="1:19">
      <c r="A33" s="2040"/>
      <c r="B33" s="2096" t="s">
        <v>2815</v>
      </c>
      <c r="C33" s="415"/>
      <c r="D33" s="450">
        <v>1</v>
      </c>
      <c r="E33" s="417" t="s">
        <v>462</v>
      </c>
      <c r="F33" s="431">
        <v>5000</v>
      </c>
      <c r="G33" s="2029">
        <f>F33*D33</f>
        <v>5000</v>
      </c>
      <c r="H33" s="2088"/>
      <c r="I33" s="2073">
        <f>$G33</f>
        <v>5000</v>
      </c>
      <c r="J33" s="2088"/>
      <c r="K33" s="2073">
        <f>$G33</f>
        <v>5000</v>
      </c>
      <c r="L33" s="2088"/>
      <c r="M33" s="2073">
        <f>$G33</f>
        <v>5000</v>
      </c>
      <c r="N33" s="2088"/>
      <c r="O33" s="2073">
        <f>$G33</f>
        <v>5000</v>
      </c>
      <c r="P33" s="2088"/>
      <c r="Q33" s="2047"/>
      <c r="R33" s="2088"/>
      <c r="S33" s="2047"/>
    </row>
    <row r="34" spans="1:19">
      <c r="A34" s="2040"/>
      <c r="B34" s="2096" t="s">
        <v>2816</v>
      </c>
      <c r="C34" s="415"/>
      <c r="D34" s="450">
        <f>'Area Calculations'!G4/6/9</f>
        <v>10715.981481481482</v>
      </c>
      <c r="E34" s="417" t="s">
        <v>2720</v>
      </c>
      <c r="F34" s="431">
        <v>1.5</v>
      </c>
      <c r="G34" s="2029">
        <f>F34*D34</f>
        <v>16073.972222222223</v>
      </c>
      <c r="H34" s="2088"/>
      <c r="I34" s="2073">
        <f>$G34</f>
        <v>16073.972222222223</v>
      </c>
      <c r="J34" s="2088"/>
      <c r="K34" s="2073">
        <f>$G34</f>
        <v>16073.972222222223</v>
      </c>
      <c r="L34" s="2088"/>
      <c r="M34" s="2073">
        <f>$G34</f>
        <v>16073.972222222223</v>
      </c>
      <c r="N34" s="2088"/>
      <c r="O34" s="2073">
        <f>$G34</f>
        <v>16073.972222222223</v>
      </c>
      <c r="P34" s="2088"/>
      <c r="Q34" s="2047"/>
      <c r="R34" s="2088"/>
      <c r="S34" s="2047"/>
    </row>
    <row r="35" spans="1:19">
      <c r="A35" s="1097"/>
      <c r="B35" s="2096"/>
      <c r="C35" s="415"/>
      <c r="D35" s="450"/>
      <c r="E35" s="417"/>
      <c r="F35" s="431"/>
      <c r="G35" s="2029"/>
      <c r="H35" s="2088"/>
      <c r="I35" s="2047"/>
      <c r="J35" s="2088"/>
      <c r="K35" s="2047"/>
      <c r="L35" s="2088"/>
      <c r="M35" s="2047"/>
      <c r="N35" s="2088"/>
      <c r="O35" s="2047"/>
      <c r="P35" s="2088"/>
      <c r="Q35" s="2047"/>
      <c r="R35" s="2088"/>
      <c r="S35" s="2047"/>
    </row>
    <row r="36" spans="1:19">
      <c r="A36" s="2040"/>
      <c r="B36" s="2097" t="s">
        <v>2817</v>
      </c>
      <c r="C36" s="23"/>
      <c r="D36" s="450"/>
      <c r="E36" s="417"/>
      <c r="F36" s="431"/>
      <c r="G36" s="2029"/>
      <c r="H36" s="2088"/>
      <c r="I36" s="2073">
        <v>10000</v>
      </c>
      <c r="J36" s="2088"/>
      <c r="K36" s="2047"/>
      <c r="L36" s="2088"/>
      <c r="M36" s="2047"/>
      <c r="N36" s="2088"/>
      <c r="O36" s="2047"/>
      <c r="P36" s="2088"/>
      <c r="Q36" s="2047"/>
      <c r="R36" s="2088"/>
      <c r="S36" s="2047"/>
    </row>
    <row r="37" spans="1:19">
      <c r="A37" s="1097"/>
      <c r="B37" s="2097"/>
      <c r="C37" s="23"/>
      <c r="D37" s="345"/>
      <c r="E37" s="266"/>
      <c r="F37" s="431"/>
      <c r="G37" s="2029"/>
      <c r="H37" s="2088"/>
      <c r="I37" s="2047"/>
      <c r="J37" s="2088"/>
      <c r="K37" s="2047"/>
      <c r="L37" s="2088"/>
      <c r="M37" s="2047"/>
      <c r="N37" s="2088"/>
      <c r="O37" s="2047"/>
      <c r="P37" s="2088"/>
      <c r="Q37" s="2047"/>
      <c r="R37" s="2088"/>
      <c r="S37" s="2047"/>
    </row>
    <row r="38" spans="1:19">
      <c r="A38" s="2040"/>
      <c r="B38" s="2097"/>
      <c r="C38" s="23"/>
      <c r="D38" s="345"/>
      <c r="E38" s="266"/>
      <c r="F38" s="431"/>
      <c r="G38" s="2029"/>
      <c r="H38" s="2088"/>
      <c r="I38" s="2047"/>
      <c r="J38" s="2088"/>
      <c r="K38" s="2047"/>
      <c r="L38" s="2088"/>
      <c r="M38" s="2047"/>
      <c r="N38" s="2088"/>
      <c r="O38" s="2047"/>
      <c r="P38" s="2088"/>
      <c r="Q38" s="2047"/>
      <c r="R38" s="2088"/>
      <c r="S38" s="2047"/>
    </row>
    <row r="39" spans="1:19">
      <c r="A39" s="2040"/>
      <c r="B39" s="2097"/>
      <c r="C39" s="23"/>
      <c r="D39" s="345"/>
      <c r="E39" s="266"/>
      <c r="F39" s="431"/>
      <c r="G39" s="2029"/>
      <c r="H39" s="2088"/>
      <c r="I39" s="2047"/>
      <c r="J39" s="2088"/>
      <c r="K39" s="2047"/>
      <c r="L39" s="2088"/>
      <c r="M39" s="2047"/>
      <c r="N39" s="2088"/>
      <c r="O39" s="2047"/>
      <c r="P39" s="2088"/>
      <c r="Q39" s="2047"/>
      <c r="R39" s="2088"/>
      <c r="S39" s="2047"/>
    </row>
    <row r="40" spans="1:19">
      <c r="A40" s="2040"/>
      <c r="B40" s="2097"/>
      <c r="C40" s="23"/>
      <c r="D40" s="345"/>
      <c r="E40" s="266"/>
      <c r="F40" s="431"/>
      <c r="G40" s="2029"/>
      <c r="H40" s="2088"/>
      <c r="I40" s="2047"/>
      <c r="J40" s="2088"/>
      <c r="K40" s="2047"/>
      <c r="L40" s="2088"/>
      <c r="M40" s="2047"/>
      <c r="N40" s="2088"/>
      <c r="O40" s="2047"/>
      <c r="P40" s="2088"/>
      <c r="Q40" s="2047"/>
      <c r="R40" s="2088"/>
      <c r="S40" s="2047"/>
    </row>
    <row r="41" spans="1:19">
      <c r="A41" s="2040"/>
      <c r="B41" s="2097"/>
      <c r="C41" s="23"/>
      <c r="D41" s="345"/>
      <c r="E41" s="266"/>
      <c r="F41" s="431"/>
      <c r="G41" s="2029"/>
      <c r="H41" s="2088"/>
      <c r="I41" s="2047"/>
      <c r="J41" s="2088"/>
      <c r="K41" s="2047"/>
      <c r="L41" s="2088"/>
      <c r="M41" s="2047"/>
      <c r="N41" s="2088"/>
      <c r="O41" s="2047"/>
      <c r="P41" s="2088"/>
      <c r="Q41" s="2047"/>
      <c r="R41" s="2088"/>
      <c r="S41" s="2047"/>
    </row>
    <row r="42" spans="1:19">
      <c r="A42" s="2040"/>
      <c r="B42" s="2097"/>
      <c r="C42" s="23"/>
      <c r="D42" s="345"/>
      <c r="E42" s="266"/>
      <c r="F42" s="431"/>
      <c r="G42" s="2029"/>
      <c r="H42" s="2088"/>
      <c r="I42" s="2047"/>
      <c r="J42" s="2088"/>
      <c r="K42" s="2047"/>
      <c r="L42" s="2088"/>
      <c r="M42" s="2047"/>
      <c r="N42" s="2088"/>
      <c r="O42" s="2047"/>
      <c r="P42" s="2088"/>
      <c r="Q42" s="2047"/>
      <c r="R42" s="2088"/>
      <c r="S42" s="2047"/>
    </row>
    <row r="43" spans="1:19">
      <c r="A43" s="2040"/>
      <c r="B43" s="2097"/>
      <c r="C43" s="23"/>
      <c r="D43" s="345"/>
      <c r="E43" s="266"/>
      <c r="F43" s="431"/>
      <c r="G43" s="2029"/>
      <c r="H43" s="2088"/>
      <c r="I43" s="2047"/>
      <c r="J43" s="2088"/>
      <c r="K43" s="2047"/>
      <c r="L43" s="2088"/>
      <c r="M43" s="2047"/>
      <c r="N43" s="2088"/>
      <c r="O43" s="2047"/>
      <c r="P43" s="2088"/>
      <c r="Q43" s="2047"/>
      <c r="R43" s="2088"/>
      <c r="S43" s="2047"/>
    </row>
    <row r="44" spans="1:19">
      <c r="A44" s="2040"/>
      <c r="B44" s="2097"/>
      <c r="C44" s="23"/>
      <c r="D44" s="345"/>
      <c r="E44" s="266"/>
      <c r="F44" s="431"/>
      <c r="G44" s="2029"/>
      <c r="H44" s="2088"/>
      <c r="I44" s="2047"/>
      <c r="J44" s="2088"/>
      <c r="K44" s="2047"/>
      <c r="L44" s="2088"/>
      <c r="M44" s="2047"/>
      <c r="N44" s="2088"/>
      <c r="O44" s="2047"/>
      <c r="P44" s="2088"/>
      <c r="Q44" s="2047"/>
      <c r="R44" s="2088"/>
      <c r="S44" s="2047"/>
    </row>
    <row r="45" spans="1:19">
      <c r="A45" s="2040"/>
      <c r="B45" s="2097"/>
      <c r="C45" s="23"/>
      <c r="D45" s="345"/>
      <c r="E45" s="266"/>
      <c r="F45" s="431"/>
      <c r="G45" s="2029"/>
      <c r="H45" s="2088"/>
      <c r="I45" s="2047"/>
      <c r="J45" s="2088"/>
      <c r="K45" s="2047"/>
      <c r="L45" s="2088"/>
      <c r="M45" s="2047"/>
      <c r="N45" s="2088"/>
      <c r="O45" s="2047"/>
      <c r="P45" s="2088"/>
      <c r="Q45" s="2047"/>
      <c r="R45" s="2088"/>
      <c r="S45" s="2047"/>
    </row>
    <row r="46" spans="1:19">
      <c r="A46" s="2040"/>
      <c r="B46" s="2097"/>
      <c r="C46" s="23"/>
      <c r="D46" s="345"/>
      <c r="E46" s="266"/>
      <c r="F46" s="431"/>
      <c r="G46" s="2029"/>
      <c r="H46" s="2088"/>
      <c r="I46" s="2047"/>
      <c r="J46" s="2088"/>
      <c r="K46" s="2047"/>
      <c r="L46" s="2088"/>
      <c r="M46" s="2047"/>
      <c r="N46" s="2088"/>
      <c r="O46" s="2047"/>
      <c r="P46" s="2088"/>
      <c r="Q46" s="2047"/>
      <c r="R46" s="2088"/>
      <c r="S46" s="2047"/>
    </row>
    <row r="47" spans="1:19">
      <c r="A47" s="2040"/>
      <c r="B47" s="2097"/>
      <c r="C47" s="23"/>
      <c r="D47" s="345"/>
      <c r="E47" s="266"/>
      <c r="F47" s="431"/>
      <c r="G47" s="2029"/>
      <c r="H47" s="2088"/>
      <c r="I47" s="2047"/>
      <c r="J47" s="2088"/>
      <c r="K47" s="2047"/>
      <c r="L47" s="2088"/>
      <c r="M47" s="2047"/>
      <c r="N47" s="2088"/>
      <c r="O47" s="2047"/>
      <c r="P47" s="2088"/>
      <c r="Q47" s="2047"/>
      <c r="R47" s="2088"/>
      <c r="S47" s="2047"/>
    </row>
    <row r="48" spans="1:19">
      <c r="A48" s="2040"/>
      <c r="B48" s="2097"/>
      <c r="C48" s="23"/>
      <c r="D48" s="345"/>
      <c r="E48" s="266"/>
      <c r="F48" s="431"/>
      <c r="G48" s="2029"/>
      <c r="H48" s="2088"/>
      <c r="I48" s="2047"/>
      <c r="J48" s="2088"/>
      <c r="K48" s="2047"/>
      <c r="L48" s="2088"/>
      <c r="M48" s="2047"/>
      <c r="N48" s="2088"/>
      <c r="O48" s="2047"/>
      <c r="P48" s="2088"/>
      <c r="Q48" s="2047"/>
      <c r="R48" s="2088"/>
      <c r="S48" s="2047"/>
    </row>
    <row r="49" spans="1:19">
      <c r="A49" s="2040"/>
      <c r="B49" s="2097"/>
      <c r="C49" s="23"/>
      <c r="D49" s="345"/>
      <c r="E49" s="266"/>
      <c r="F49" s="431"/>
      <c r="G49" s="2029"/>
      <c r="H49" s="2088"/>
      <c r="I49" s="2047"/>
      <c r="J49" s="2088"/>
      <c r="K49" s="2047"/>
      <c r="L49" s="2088"/>
      <c r="M49" s="2047"/>
      <c r="N49" s="2088"/>
      <c r="O49" s="2047"/>
      <c r="P49" s="2088"/>
      <c r="Q49" s="2047"/>
      <c r="R49" s="2088"/>
      <c r="S49" s="2047"/>
    </row>
    <row r="50" spans="1:19">
      <c r="A50" s="2040"/>
      <c r="B50" s="2097"/>
      <c r="C50" s="23"/>
      <c r="D50" s="345"/>
      <c r="E50" s="266"/>
      <c r="F50" s="431"/>
      <c r="G50" s="2029"/>
      <c r="H50" s="2088"/>
      <c r="I50" s="2047"/>
      <c r="J50" s="2088"/>
      <c r="K50" s="2047"/>
      <c r="L50" s="2088"/>
      <c r="M50" s="2047"/>
      <c r="N50" s="2088"/>
      <c r="O50" s="2047"/>
      <c r="P50" s="2088"/>
      <c r="Q50" s="2047"/>
      <c r="R50" s="2088"/>
      <c r="S50" s="2047"/>
    </row>
    <row r="51" spans="1:19">
      <c r="A51" s="2040"/>
      <c r="B51" s="2097"/>
      <c r="C51" s="23"/>
      <c r="D51" s="345"/>
      <c r="E51" s="266"/>
      <c r="F51" s="431"/>
      <c r="G51" s="830"/>
      <c r="H51" s="2088"/>
      <c r="I51" s="2047"/>
      <c r="J51" s="2088"/>
      <c r="K51" s="2047"/>
      <c r="L51" s="2088"/>
      <c r="M51" s="2047"/>
      <c r="N51" s="2088"/>
      <c r="O51" s="2047"/>
      <c r="P51" s="2088"/>
      <c r="Q51" s="2047"/>
      <c r="R51" s="2088"/>
      <c r="S51" s="2047"/>
    </row>
    <row r="52" spans="1:19" ht="15.75" thickBot="1">
      <c r="A52" s="2040"/>
      <c r="B52" s="2097"/>
      <c r="C52" s="23"/>
      <c r="D52" s="345"/>
      <c r="E52" s="266"/>
      <c r="F52" s="431"/>
      <c r="G52" s="830"/>
      <c r="H52" s="2088"/>
      <c r="I52" s="2047"/>
      <c r="J52" s="2088"/>
      <c r="K52" s="2047"/>
      <c r="L52" s="2088"/>
      <c r="M52" s="2047"/>
      <c r="N52" s="2088"/>
      <c r="O52" s="2047"/>
      <c r="P52" s="2088"/>
      <c r="Q52" s="2047"/>
      <c r="R52" s="2088"/>
      <c r="S52" s="2047"/>
    </row>
    <row r="53" spans="1:19" ht="15.75" thickTop="1">
      <c r="A53" s="296"/>
      <c r="B53" s="301"/>
      <c r="C53" s="297"/>
      <c r="D53" s="346"/>
      <c r="E53" s="349"/>
      <c r="F53" s="282" t="s">
        <v>753</v>
      </c>
      <c r="G53" s="272"/>
      <c r="H53" s="273"/>
      <c r="I53" s="273">
        <f>SUM(I12:I52)</f>
        <v>1306673.9722222222</v>
      </c>
      <c r="J53" s="273"/>
      <c r="K53" s="273">
        <f>SUM(K12:K52)</f>
        <v>1471673.9722222222</v>
      </c>
      <c r="L53" s="273"/>
      <c r="M53" s="273">
        <f>SUM(M12:M52)</f>
        <v>2163353.972222222</v>
      </c>
      <c r="N53" s="273"/>
      <c r="O53" s="273">
        <f>SUM(O12:O52)</f>
        <v>624173.97222222225</v>
      </c>
      <c r="P53" s="273"/>
      <c r="Q53" s="273">
        <f>SUM(Q12:Q52)</f>
        <v>0</v>
      </c>
      <c r="R53" s="273"/>
      <c r="S53" s="273">
        <f>SUM(S12:S52)</f>
        <v>0</v>
      </c>
    </row>
    <row r="54" spans="1:19">
      <c r="A54" s="1114"/>
      <c r="B54" s="2000"/>
      <c r="C54" s="432"/>
      <c r="D54" s="452"/>
      <c r="E54" s="453"/>
      <c r="F54" s="435" t="s">
        <v>754</v>
      </c>
      <c r="G54" s="436"/>
      <c r="H54" s="2003">
        <v>0</v>
      </c>
      <c r="I54" s="2002"/>
      <c r="J54" s="2003">
        <v>0</v>
      </c>
      <c r="K54" s="2002"/>
      <c r="L54" s="2003">
        <v>0</v>
      </c>
      <c r="M54" s="2002"/>
      <c r="N54" s="2003">
        <v>0</v>
      </c>
      <c r="O54" s="2002"/>
      <c r="P54" s="2003">
        <v>0</v>
      </c>
      <c r="Q54" s="2002"/>
      <c r="R54" s="2003">
        <v>0</v>
      </c>
      <c r="S54" s="2002"/>
    </row>
    <row r="55" spans="1:19">
      <c r="A55" s="1114"/>
      <c r="B55" s="2000"/>
      <c r="C55" s="432"/>
      <c r="D55" s="452"/>
      <c r="E55" s="453"/>
      <c r="F55" s="435" t="s">
        <v>755</v>
      </c>
      <c r="G55" s="436"/>
      <c r="H55" s="2002"/>
      <c r="I55" s="2002">
        <f>I53*H54</f>
        <v>0</v>
      </c>
      <c r="J55" s="2002"/>
      <c r="K55" s="2002">
        <f>K53*J54</f>
        <v>0</v>
      </c>
      <c r="L55" s="2002"/>
      <c r="M55" s="2002">
        <f>M53*L54</f>
        <v>0</v>
      </c>
      <c r="N55" s="2002"/>
      <c r="O55" s="2002">
        <f>O53*N54</f>
        <v>0</v>
      </c>
      <c r="P55" s="2002"/>
      <c r="Q55" s="2002">
        <f>Q53*P54</f>
        <v>0</v>
      </c>
      <c r="R55" s="2002"/>
      <c r="S55" s="2002">
        <f>S53*R54</f>
        <v>0</v>
      </c>
    </row>
    <row r="56" spans="1:19">
      <c r="A56" s="1114"/>
      <c r="B56" s="2000"/>
      <c r="C56" s="432"/>
      <c r="D56" s="452"/>
      <c r="E56" s="453"/>
      <c r="F56" s="435"/>
      <c r="G56" s="436"/>
      <c r="H56" s="2002"/>
      <c r="I56" s="2002"/>
      <c r="J56" s="2002"/>
      <c r="K56" s="2002"/>
      <c r="L56" s="2002"/>
      <c r="M56" s="2002"/>
      <c r="N56" s="2002"/>
      <c r="O56" s="2002"/>
      <c r="P56" s="2002"/>
      <c r="Q56" s="2002"/>
      <c r="R56" s="2002"/>
      <c r="S56" s="2002"/>
    </row>
    <row r="57" spans="1:19">
      <c r="A57" s="1114"/>
      <c r="B57" s="2000"/>
      <c r="C57" s="432"/>
      <c r="D57" s="452"/>
      <c r="E57" s="453"/>
      <c r="F57" s="435" t="s">
        <v>756</v>
      </c>
      <c r="G57" s="436"/>
      <c r="H57" s="2002"/>
      <c r="I57" s="2002">
        <f>SUM(I53:I55)</f>
        <v>1306673.9722222222</v>
      </c>
      <c r="J57" s="2002"/>
      <c r="K57" s="2002">
        <f>SUM(K53:K55)</f>
        <v>1471673.9722222222</v>
      </c>
      <c r="L57" s="2002"/>
      <c r="M57" s="2002">
        <f>SUM(M53:M55)</f>
        <v>2163353.972222222</v>
      </c>
      <c r="N57" s="2002"/>
      <c r="O57" s="2002">
        <f>SUM(O53:O55)</f>
        <v>624173.97222222225</v>
      </c>
      <c r="P57" s="2002"/>
      <c r="Q57" s="2002">
        <f>SUM(Q53:Q55)</f>
        <v>0</v>
      </c>
      <c r="R57" s="2002"/>
      <c r="S57" s="2002">
        <f>SUM(S53:S55)</f>
        <v>0</v>
      </c>
    </row>
    <row r="58" spans="1:19">
      <c r="A58" s="1114"/>
      <c r="B58" s="2000"/>
      <c r="C58" s="432"/>
      <c r="D58" s="452"/>
      <c r="E58" s="453"/>
      <c r="F58" s="437" t="s">
        <v>757</v>
      </c>
      <c r="G58" s="438"/>
      <c r="H58" s="2004"/>
      <c r="I58" s="2004">
        <f>I57/'Area Calculations'!$G$4</f>
        <v>2.2580914491201654</v>
      </c>
      <c r="J58" s="2004"/>
      <c r="K58" s="2004">
        <f>K57/'Area Calculations'!$G$4</f>
        <v>2.5432315047311169</v>
      </c>
      <c r="L58" s="2004"/>
      <c r="M58" s="2004">
        <f>M57/'Area Calculations'!$G$4</f>
        <v>3.7385386178522251</v>
      </c>
      <c r="N58" s="2004"/>
      <c r="O58" s="2004">
        <f>O57/'Area Calculations'!$G$4</f>
        <v>1.0786484918203207</v>
      </c>
      <c r="P58" s="2004"/>
      <c r="Q58" s="2004">
        <f>Q57/'Area Calculations'!$G$4</f>
        <v>0</v>
      </c>
      <c r="R58" s="2004"/>
      <c r="S58" s="2004">
        <f>S57/'Area Calculations'!$G$4</f>
        <v>0</v>
      </c>
    </row>
    <row r="59" spans="1:19">
      <c r="A59" s="1114"/>
      <c r="B59" s="2000"/>
      <c r="C59" s="432"/>
      <c r="D59" s="452"/>
      <c r="E59" s="453"/>
      <c r="F59" s="437" t="s">
        <v>758</v>
      </c>
      <c r="G59" s="438"/>
      <c r="H59" s="2004"/>
      <c r="I59" s="2004">
        <f>I57/'Area Calculations'!$G$9</f>
        <v>12211.906282450675</v>
      </c>
      <c r="J59" s="2004"/>
      <c r="K59" s="2004">
        <f>K57/'Area Calculations'!$G$9</f>
        <v>13753.962357217031</v>
      </c>
      <c r="L59" s="2004"/>
      <c r="M59" s="2004">
        <f>M57/'Area Calculations'!$G$9</f>
        <v>20218.261422637588</v>
      </c>
      <c r="N59" s="2004"/>
      <c r="O59" s="2004">
        <f>O57/'Area Calculations'!$G$9</f>
        <v>5833.4016095534789</v>
      </c>
      <c r="P59" s="2004"/>
      <c r="Q59" s="2004">
        <f>Q57/'Area Calculations'!$G$9</f>
        <v>0</v>
      </c>
      <c r="R59" s="2004"/>
      <c r="S59" s="2004">
        <f>S57/'Area Calculations'!$G$9</f>
        <v>0</v>
      </c>
    </row>
    <row r="60" spans="1:19" ht="15.75" thickBot="1">
      <c r="A60" s="1114"/>
      <c r="B60" s="2000"/>
      <c r="C60" s="432"/>
      <c r="D60" s="452"/>
      <c r="E60" s="453"/>
      <c r="F60" s="439"/>
      <c r="G60" s="436"/>
      <c r="H60" s="2005"/>
      <c r="I60" s="2005"/>
      <c r="J60" s="2005"/>
      <c r="K60" s="2005"/>
      <c r="L60" s="2005"/>
      <c r="M60" s="2005"/>
      <c r="N60" s="2005"/>
      <c r="O60" s="2005"/>
      <c r="P60" s="2005"/>
      <c r="Q60" s="2005"/>
      <c r="R60" s="2005"/>
      <c r="S60" s="2005"/>
    </row>
    <row r="61" spans="1:19" ht="16.5" thickTop="1" thickBot="1">
      <c r="A61" s="2331" t="s">
        <v>759</v>
      </c>
      <c r="B61" s="2332"/>
      <c r="C61" s="298"/>
      <c r="D61" s="347"/>
      <c r="E61" s="350"/>
      <c r="F61" s="12"/>
      <c r="G61" s="26"/>
      <c r="H61" s="20"/>
      <c r="I61" s="20"/>
      <c r="J61" s="20"/>
      <c r="K61" s="20"/>
      <c r="L61" s="24"/>
      <c r="M61" s="20"/>
      <c r="N61" s="20"/>
      <c r="O61" s="20"/>
      <c r="P61" s="20"/>
      <c r="Q61" s="20"/>
      <c r="R61" s="20"/>
      <c r="S61" s="20"/>
    </row>
    <row r="62" spans="1:19" ht="15.75" thickTop="1">
      <c r="A62" s="2030"/>
      <c r="B62" s="2006"/>
      <c r="C62" s="1396"/>
      <c r="D62" s="2084"/>
      <c r="E62" s="2085"/>
      <c r="F62" s="2042"/>
      <c r="G62" s="2031"/>
      <c r="H62" s="2057"/>
      <c r="I62" s="2057">
        <f>I53/I63</f>
        <v>12.924569458182217</v>
      </c>
      <c r="J62" s="2057"/>
      <c r="K62" s="2057"/>
      <c r="L62" s="2032"/>
      <c r="M62" s="2057"/>
      <c r="N62" s="2057"/>
      <c r="O62" s="2057">
        <f>O53/O63</f>
        <v>6.1738276184196064</v>
      </c>
      <c r="P62" s="2057"/>
      <c r="Q62" s="2057"/>
      <c r="R62" s="2057"/>
      <c r="S62" s="2057"/>
    </row>
    <row r="63" spans="1:19">
      <c r="A63" s="2030"/>
      <c r="B63" s="2006"/>
      <c r="C63" s="1396"/>
      <c r="D63" s="2084"/>
      <c r="E63" s="2085"/>
      <c r="F63" s="2042"/>
      <c r="G63" s="2031"/>
      <c r="H63" s="2057"/>
      <c r="I63" s="2057">
        <v>101100</v>
      </c>
      <c r="J63" s="2057"/>
      <c r="K63" s="2057"/>
      <c r="L63" s="2032"/>
      <c r="M63" s="2057"/>
      <c r="N63" s="2057"/>
      <c r="O63" s="2057">
        <v>101100</v>
      </c>
      <c r="P63" s="2057"/>
      <c r="Q63" s="2057"/>
      <c r="R63" s="2057"/>
      <c r="S63" s="2057"/>
    </row>
    <row r="64" spans="1:19" ht="15.75" thickBot="1">
      <c r="A64" s="2030"/>
      <c r="B64" s="2006"/>
      <c r="C64" s="1396"/>
      <c r="D64" s="2084"/>
      <c r="E64" s="2085"/>
      <c r="F64" s="2042"/>
      <c r="G64" s="2031"/>
      <c r="H64" s="2057"/>
      <c r="I64" s="2057"/>
      <c r="J64" s="2057"/>
      <c r="K64" s="2057"/>
      <c r="L64" s="2032"/>
      <c r="M64" s="2057"/>
      <c r="N64" s="2057"/>
      <c r="O64" s="2057"/>
      <c r="P64" s="2057"/>
      <c r="Q64" s="2057"/>
      <c r="R64" s="2057"/>
      <c r="S64" s="2057"/>
    </row>
    <row r="65" spans="1:34" s="2" customFormat="1" ht="16.5" thickTop="1" thickBot="1">
      <c r="A65" s="2331" t="s">
        <v>760</v>
      </c>
      <c r="B65" s="2332"/>
      <c r="C65" s="298"/>
      <c r="D65" s="347"/>
      <c r="E65" s="350"/>
      <c r="F65" s="12"/>
      <c r="G65" s="26"/>
      <c r="H65" s="20"/>
      <c r="I65" s="20"/>
      <c r="J65" s="20"/>
      <c r="K65" s="20"/>
      <c r="L65" s="24"/>
      <c r="M65" s="20"/>
      <c r="N65" s="20"/>
      <c r="O65" s="20"/>
      <c r="P65" s="20"/>
      <c r="Q65" s="20"/>
      <c r="R65" s="20"/>
      <c r="S65" s="20"/>
      <c r="T65"/>
      <c r="U65"/>
      <c r="V65"/>
      <c r="W65"/>
      <c r="X65"/>
      <c r="Y65"/>
      <c r="Z65"/>
      <c r="AA65"/>
      <c r="AB65"/>
      <c r="AC65"/>
      <c r="AD65"/>
      <c r="AE65"/>
      <c r="AF65"/>
      <c r="AG65"/>
      <c r="AH65"/>
    </row>
    <row r="66" spans="1:34" s="2" customFormat="1" ht="15.75" thickTop="1">
      <c r="A66" s="2030"/>
      <c r="B66" s="2006"/>
      <c r="C66" s="1396"/>
      <c r="D66" s="2084"/>
      <c r="E66" s="2085"/>
      <c r="F66" s="2042"/>
      <c r="G66" s="2031"/>
      <c r="H66" s="2057"/>
      <c r="I66" s="2057"/>
      <c r="J66" s="2057"/>
      <c r="K66" s="2057"/>
      <c r="L66" s="2032"/>
      <c r="M66" s="2057"/>
      <c r="N66" s="2057"/>
      <c r="O66" s="2057"/>
      <c r="P66" s="2057"/>
      <c r="Q66" s="2057"/>
      <c r="R66" s="2057"/>
      <c r="S66" s="2057"/>
      <c r="T66"/>
      <c r="U66"/>
      <c r="V66"/>
      <c r="W66"/>
      <c r="X66"/>
      <c r="Y66"/>
      <c r="Z66"/>
      <c r="AA66"/>
      <c r="AB66"/>
      <c r="AC66"/>
      <c r="AD66"/>
      <c r="AE66"/>
      <c r="AF66"/>
      <c r="AG66"/>
      <c r="AH66"/>
    </row>
    <row r="67" spans="1:34" s="2" customFormat="1">
      <c r="A67" s="2030"/>
      <c r="B67" s="2006"/>
      <c r="C67" s="1396"/>
      <c r="D67" s="2084"/>
      <c r="E67" s="2085"/>
      <c r="F67" s="2042"/>
      <c r="G67" s="2031"/>
      <c r="H67" s="2057"/>
      <c r="I67" s="2057"/>
      <c r="J67" s="2057"/>
      <c r="K67" s="2057"/>
      <c r="L67" s="2032"/>
      <c r="M67" s="2057"/>
      <c r="N67" s="2057"/>
      <c r="O67" s="2057"/>
      <c r="P67" s="2057"/>
      <c r="Q67" s="2057"/>
      <c r="R67" s="2057"/>
      <c r="S67" s="2057"/>
      <c r="T67"/>
      <c r="U67"/>
      <c r="V67"/>
      <c r="W67"/>
      <c r="X67"/>
      <c r="Y67"/>
      <c r="Z67"/>
      <c r="AA67"/>
      <c r="AB67"/>
      <c r="AC67"/>
      <c r="AD67"/>
      <c r="AE67"/>
      <c r="AF67"/>
      <c r="AG67"/>
      <c r="AH67"/>
    </row>
    <row r="68" spans="1:34" ht="15.75" thickBot="1">
      <c r="A68" s="2030"/>
      <c r="B68" s="2006"/>
      <c r="C68" s="1396"/>
      <c r="D68" s="2084"/>
      <c r="E68" s="2085"/>
      <c r="F68" s="2042"/>
      <c r="G68" s="2031"/>
      <c r="H68" s="2057"/>
      <c r="I68" s="2057"/>
      <c r="J68" s="2057"/>
      <c r="K68" s="2057"/>
      <c r="L68" s="2032"/>
      <c r="M68" s="2057"/>
      <c r="N68" s="2057"/>
      <c r="O68" s="2057"/>
      <c r="P68" s="2057"/>
      <c r="Q68" s="2057"/>
      <c r="R68" s="2057"/>
      <c r="S68" s="2057"/>
    </row>
    <row r="69" spans="1:34" s="2" customFormat="1" ht="16.5" thickTop="1" thickBot="1">
      <c r="A69" s="2331" t="s">
        <v>761</v>
      </c>
      <c r="B69" s="2332"/>
      <c r="C69" s="298"/>
      <c r="D69" s="347"/>
      <c r="E69" s="350"/>
      <c r="F69" s="12"/>
      <c r="G69" s="26"/>
      <c r="H69" s="20"/>
      <c r="I69" s="20"/>
      <c r="J69" s="20"/>
      <c r="K69" s="20"/>
      <c r="L69" s="24"/>
      <c r="M69" s="20"/>
      <c r="N69" s="20"/>
      <c r="O69" s="20"/>
      <c r="P69" s="20"/>
      <c r="Q69" s="20"/>
      <c r="R69" s="20"/>
      <c r="S69" s="20"/>
      <c r="T69"/>
      <c r="U69"/>
      <c r="V69"/>
      <c r="W69"/>
      <c r="X69"/>
      <c r="Y69"/>
      <c r="Z69"/>
      <c r="AA69"/>
      <c r="AB69"/>
      <c r="AC69"/>
      <c r="AD69"/>
      <c r="AE69"/>
      <c r="AF69"/>
      <c r="AG69"/>
      <c r="AH69"/>
    </row>
    <row r="70" spans="1:34" s="2" customFormat="1" ht="15.75" thickTop="1">
      <c r="A70" s="2030"/>
      <c r="B70" s="2006"/>
      <c r="C70" s="1396"/>
      <c r="D70" s="2084"/>
      <c r="E70" s="2085"/>
      <c r="F70" s="2042"/>
      <c r="G70" s="2031"/>
      <c r="H70" s="2057"/>
      <c r="I70" s="2057"/>
      <c r="J70" s="2057"/>
      <c r="K70" s="2057"/>
      <c r="L70" s="2032"/>
      <c r="M70" s="2057"/>
      <c r="N70" s="2057"/>
      <c r="O70" s="2057"/>
      <c r="P70" s="2057"/>
      <c r="Q70" s="2057"/>
      <c r="R70" s="2057"/>
      <c r="S70" s="2057"/>
      <c r="T70"/>
      <c r="U70"/>
      <c r="V70"/>
      <c r="W70"/>
      <c r="X70"/>
      <c r="Y70"/>
      <c r="Z70"/>
      <c r="AA70"/>
      <c r="AB70"/>
      <c r="AC70"/>
      <c r="AD70"/>
      <c r="AE70"/>
      <c r="AF70"/>
      <c r="AG70"/>
      <c r="AH70"/>
    </row>
    <row r="71" spans="1:34" s="2" customFormat="1">
      <c r="A71" s="1124"/>
      <c r="B71" s="2006"/>
      <c r="C71" s="415"/>
      <c r="D71" s="416"/>
      <c r="E71" s="417"/>
      <c r="F71" s="422"/>
      <c r="G71" s="831"/>
      <c r="H71" s="2007"/>
      <c r="I71" s="2007"/>
      <c r="J71" s="2007"/>
      <c r="K71" s="2007"/>
      <c r="L71" s="440"/>
      <c r="M71" s="2007"/>
      <c r="N71" s="2007"/>
      <c r="O71" s="2007"/>
      <c r="P71" s="2007"/>
      <c r="Q71" s="2007"/>
      <c r="R71" s="2007"/>
      <c r="S71" s="2007"/>
      <c r="T71"/>
      <c r="U71"/>
      <c r="V71"/>
      <c r="W71"/>
      <c r="X71"/>
      <c r="Y71"/>
      <c r="Z71"/>
      <c r="AA71"/>
      <c r="AB71"/>
      <c r="AC71"/>
      <c r="AD71"/>
      <c r="AE71"/>
      <c r="AF71"/>
      <c r="AG71"/>
      <c r="AH71"/>
    </row>
    <row r="72" spans="1:34" s="2" customFormat="1" ht="15.75" thickBot="1">
      <c r="A72" s="1126"/>
      <c r="B72" s="2008"/>
      <c r="C72" s="415"/>
      <c r="D72" s="416"/>
      <c r="E72" s="417"/>
      <c r="F72" s="422"/>
      <c r="G72" s="831"/>
      <c r="H72" s="2009"/>
      <c r="I72" s="2009"/>
      <c r="J72" s="2009"/>
      <c r="K72" s="2009"/>
      <c r="L72" s="441"/>
      <c r="M72" s="2009"/>
      <c r="N72" s="2009"/>
      <c r="O72" s="2009"/>
      <c r="P72" s="2009"/>
      <c r="Q72" s="2009"/>
      <c r="R72" s="2009"/>
      <c r="S72" s="2009"/>
    </row>
    <row r="73" spans="1:34" s="2" customFormat="1" ht="16.5" thickTop="1" thickBot="1">
      <c r="A73" s="2331" t="s">
        <v>762</v>
      </c>
      <c r="B73" s="2332"/>
      <c r="C73" s="298"/>
      <c r="D73" s="347"/>
      <c r="E73" s="350"/>
      <c r="F73" s="12"/>
      <c r="G73" s="26"/>
      <c r="H73" s="20"/>
      <c r="I73" s="20"/>
      <c r="J73" s="20"/>
      <c r="K73" s="20"/>
      <c r="L73" s="24"/>
      <c r="M73" s="20"/>
      <c r="N73" s="20"/>
      <c r="O73" s="20"/>
      <c r="P73" s="20"/>
      <c r="Q73" s="20"/>
      <c r="R73" s="20"/>
      <c r="S73" s="20"/>
      <c r="T73"/>
      <c r="U73"/>
      <c r="V73"/>
      <c r="W73"/>
      <c r="X73"/>
      <c r="Y73"/>
      <c r="Z73"/>
      <c r="AA73"/>
      <c r="AB73"/>
      <c r="AC73"/>
      <c r="AD73"/>
      <c r="AE73"/>
      <c r="AF73"/>
      <c r="AG73"/>
      <c r="AH73"/>
    </row>
    <row r="74" spans="1:34" ht="15.75" thickTop="1">
      <c r="A74" s="2034"/>
      <c r="B74" s="2059"/>
      <c r="C74" s="1396"/>
      <c r="D74" s="2084"/>
      <c r="E74" s="2085"/>
      <c r="F74" s="2042"/>
      <c r="G74" s="2031"/>
      <c r="H74" s="2057"/>
      <c r="I74" s="2057"/>
      <c r="J74" s="2057"/>
      <c r="K74" s="2057"/>
      <c r="L74" s="2032"/>
      <c r="M74" s="2057"/>
      <c r="N74" s="2057"/>
      <c r="O74" s="2057"/>
      <c r="P74" s="2057"/>
      <c r="Q74" s="2057"/>
      <c r="R74" s="2057"/>
      <c r="S74" s="2057"/>
      <c r="T74" s="2"/>
      <c r="U74" s="2"/>
      <c r="V74" s="2"/>
      <c r="W74" s="2"/>
      <c r="X74" s="2"/>
      <c r="Y74" s="2"/>
      <c r="Z74" s="2"/>
      <c r="AA74" s="2"/>
      <c r="AB74" s="2"/>
      <c r="AC74" s="2"/>
      <c r="AD74" s="2"/>
      <c r="AE74" s="2"/>
      <c r="AF74" s="2"/>
      <c r="AG74" s="2"/>
      <c r="AH74" s="2"/>
    </row>
    <row r="75" spans="1:34">
      <c r="A75" s="1126"/>
      <c r="B75" s="2008"/>
      <c r="C75" s="415"/>
      <c r="D75" s="416"/>
      <c r="E75" s="417"/>
      <c r="F75" s="422"/>
      <c r="G75" s="831"/>
      <c r="H75" s="2010"/>
      <c r="I75" s="2010"/>
      <c r="J75" s="2010"/>
      <c r="K75" s="2010"/>
      <c r="L75" s="442"/>
      <c r="M75" s="2010"/>
      <c r="N75" s="2010"/>
      <c r="O75" s="2010"/>
      <c r="P75" s="2010"/>
      <c r="Q75" s="2010"/>
      <c r="R75" s="2010"/>
      <c r="S75" s="2010"/>
      <c r="T75" s="2"/>
      <c r="U75" s="2"/>
      <c r="V75" s="2"/>
      <c r="W75" s="2"/>
      <c r="X75" s="2"/>
      <c r="Y75" s="2"/>
      <c r="Z75" s="2"/>
      <c r="AA75" s="2"/>
      <c r="AB75" s="2"/>
      <c r="AC75" s="2"/>
      <c r="AD75" s="2"/>
      <c r="AE75" s="2"/>
      <c r="AF75" s="2"/>
      <c r="AG75" s="2"/>
      <c r="AH75" s="2"/>
    </row>
    <row r="76" spans="1:34" ht="15.75" thickBot="1">
      <c r="A76" s="1126"/>
      <c r="B76" s="2008"/>
      <c r="C76" s="415"/>
      <c r="D76" s="416"/>
      <c r="E76" s="417"/>
      <c r="F76" s="422"/>
      <c r="G76" s="831"/>
      <c r="H76" s="2010"/>
      <c r="I76" s="2010"/>
      <c r="J76" s="2010"/>
      <c r="K76" s="2010"/>
      <c r="L76" s="442"/>
      <c r="M76" s="2010"/>
      <c r="N76" s="2010"/>
      <c r="O76" s="2010"/>
      <c r="P76" s="2010"/>
      <c r="Q76" s="2010"/>
      <c r="R76" s="2010"/>
      <c r="S76" s="2010"/>
      <c r="T76" s="2"/>
      <c r="U76" s="2"/>
      <c r="V76" s="2"/>
      <c r="W76" s="2"/>
      <c r="X76" s="2"/>
      <c r="Y76" s="2"/>
      <c r="Z76" s="2"/>
      <c r="AA76" s="2"/>
      <c r="AB76" s="2"/>
      <c r="AC76" s="2"/>
      <c r="AD76" s="2"/>
      <c r="AE76" s="2"/>
      <c r="AF76" s="2"/>
      <c r="AG76" s="2"/>
      <c r="AH76" s="2"/>
    </row>
    <row r="77" spans="1:34" ht="16.5" thickTop="1" thickBot="1">
      <c r="A77" s="2331" t="s">
        <v>763</v>
      </c>
      <c r="B77" s="2332"/>
      <c r="C77" s="298"/>
      <c r="D77" s="347"/>
      <c r="E77" s="350"/>
      <c r="F77" s="12"/>
      <c r="G77" s="26"/>
      <c r="H77" s="20"/>
      <c r="I77" s="20"/>
      <c r="J77" s="20"/>
      <c r="K77" s="20"/>
      <c r="L77" s="24"/>
      <c r="M77" s="20"/>
      <c r="N77" s="20"/>
      <c r="O77" s="20"/>
      <c r="P77" s="20"/>
      <c r="Q77" s="20"/>
      <c r="R77" s="20"/>
      <c r="S77" s="20"/>
    </row>
    <row r="78" spans="1:34" ht="15.75" thickTop="1">
      <c r="A78" s="1124"/>
      <c r="B78" s="2006" t="s">
        <v>764</v>
      </c>
      <c r="C78" s="415"/>
      <c r="D78" s="416"/>
      <c r="E78" s="417"/>
      <c r="F78" s="422"/>
      <c r="G78" s="831"/>
      <c r="H78" s="2010"/>
      <c r="I78" s="2010"/>
      <c r="J78" s="2010"/>
      <c r="K78" s="2010"/>
      <c r="L78" s="442"/>
      <c r="M78" s="2010"/>
      <c r="N78" s="2010"/>
      <c r="O78" s="2010"/>
      <c r="P78" s="2010"/>
      <c r="Q78" s="2010"/>
      <c r="R78" s="2010"/>
      <c r="S78" s="2010"/>
    </row>
    <row r="79" spans="1:34">
      <c r="A79" s="1124"/>
      <c r="B79" s="2006" t="s">
        <v>765</v>
      </c>
      <c r="C79" s="415"/>
      <c r="D79" s="416"/>
      <c r="E79" s="417"/>
      <c r="F79" s="422"/>
      <c r="G79" s="831"/>
      <c r="H79" s="2010"/>
      <c r="I79" s="2010"/>
      <c r="J79" s="2010"/>
      <c r="K79" s="2010"/>
      <c r="L79" s="442"/>
      <c r="M79" s="2010"/>
      <c r="N79" s="2010"/>
      <c r="O79" s="2010"/>
      <c r="P79" s="2010"/>
      <c r="Q79" s="2010"/>
      <c r="R79" s="2010"/>
      <c r="S79" s="2010"/>
    </row>
    <row r="80" spans="1:34">
      <c r="A80" s="1124"/>
      <c r="B80" s="2006" t="s">
        <v>766</v>
      </c>
      <c r="C80" s="415"/>
      <c r="D80" s="416"/>
      <c r="E80" s="417"/>
      <c r="F80" s="422"/>
      <c r="G80" s="831"/>
      <c r="H80" s="2010"/>
      <c r="I80" s="2010"/>
      <c r="J80" s="2010"/>
      <c r="K80" s="2010"/>
      <c r="L80" s="442"/>
      <c r="M80" s="2010"/>
      <c r="N80" s="2010"/>
      <c r="O80" s="2010"/>
      <c r="P80" s="2010"/>
      <c r="Q80" s="2010"/>
      <c r="R80" s="2010"/>
      <c r="S80" s="2010"/>
    </row>
    <row r="81" spans="1:19">
      <c r="A81" s="1124"/>
      <c r="B81" s="2006" t="s">
        <v>767</v>
      </c>
      <c r="C81" s="415"/>
      <c r="D81" s="416"/>
      <c r="E81" s="417"/>
      <c r="F81" s="422"/>
      <c r="G81" s="831"/>
      <c r="H81" s="2010"/>
      <c r="I81" s="2010"/>
      <c r="J81" s="2010"/>
      <c r="K81" s="2010"/>
      <c r="L81" s="442"/>
      <c r="M81" s="2010"/>
      <c r="N81" s="2010"/>
      <c r="O81" s="2010"/>
      <c r="P81" s="2010"/>
      <c r="Q81" s="2010"/>
      <c r="R81" s="2010"/>
      <c r="S81" s="2010"/>
    </row>
    <row r="82" spans="1:19" ht="15.75" thickBot="1">
      <c r="A82" s="443"/>
      <c r="B82" s="421"/>
      <c r="C82" s="23"/>
      <c r="D82" s="265"/>
      <c r="E82" s="266"/>
      <c r="F82" s="86"/>
      <c r="G82" s="27"/>
      <c r="H82" s="444"/>
      <c r="I82" s="444"/>
      <c r="J82" s="444"/>
      <c r="K82" s="444"/>
      <c r="L82" s="25"/>
      <c r="M82" s="444"/>
      <c r="N82" s="444"/>
      <c r="O82" s="444"/>
      <c r="P82" s="444"/>
      <c r="Q82" s="444"/>
      <c r="R82" s="444"/>
      <c r="S82" s="444"/>
    </row>
    <row r="83" spans="1:19" ht="16.5" thickTop="1" thickBot="1">
      <c r="A83" s="72" t="s">
        <v>768</v>
      </c>
      <c r="B83" s="73"/>
      <c r="C83" s="298"/>
      <c r="D83" s="347"/>
      <c r="E83" s="350"/>
      <c r="F83" s="12"/>
      <c r="G83" s="26"/>
      <c r="H83" s="20"/>
      <c r="I83" s="20"/>
      <c r="J83" s="20"/>
      <c r="K83" s="20"/>
      <c r="L83" s="24"/>
      <c r="M83" s="20"/>
      <c r="N83" s="20"/>
      <c r="O83" s="20"/>
      <c r="P83" s="20"/>
      <c r="Q83" s="20"/>
      <c r="R83" s="20"/>
      <c r="S83" s="20"/>
    </row>
    <row r="84" spans="1:19" ht="15.75" thickTop="1">
      <c r="A84" s="2030"/>
      <c r="B84" s="2060" t="s">
        <v>769</v>
      </c>
      <c r="C84" s="1396"/>
      <c r="D84" s="2084"/>
      <c r="E84" s="2085"/>
      <c r="F84" s="2042"/>
      <c r="G84" s="2031"/>
      <c r="H84" s="2062"/>
      <c r="I84" s="2062"/>
      <c r="J84" s="2062"/>
      <c r="K84" s="2062"/>
      <c r="L84" s="2037"/>
      <c r="M84" s="2062"/>
      <c r="N84" s="2062"/>
      <c r="O84" s="2062"/>
      <c r="P84" s="2062"/>
      <c r="Q84" s="2062"/>
      <c r="R84" s="2062"/>
      <c r="S84" s="2062"/>
    </row>
    <row r="85" spans="1:19">
      <c r="A85" s="1124"/>
      <c r="B85" s="2006" t="s">
        <v>770</v>
      </c>
      <c r="C85" s="415"/>
      <c r="D85" s="416"/>
      <c r="E85" s="417"/>
      <c r="F85" s="422"/>
      <c r="G85" s="831"/>
      <c r="H85" s="2011"/>
      <c r="I85" s="2011"/>
      <c r="J85" s="2011"/>
      <c r="K85" s="2011"/>
      <c r="L85" s="445"/>
      <c r="M85" s="2011"/>
      <c r="N85" s="2011"/>
      <c r="O85" s="2011"/>
      <c r="P85" s="2011"/>
      <c r="Q85" s="2011"/>
      <c r="R85" s="2011"/>
      <c r="S85" s="2011"/>
    </row>
    <row r="86" spans="1:19" ht="15.75" thickBot="1">
      <c r="A86" s="1183"/>
      <c r="B86" s="1184" t="s">
        <v>771</v>
      </c>
      <c r="C86" s="1185"/>
      <c r="D86" s="1229"/>
      <c r="E86" s="1230"/>
      <c r="F86" s="1186"/>
      <c r="G86" s="1187"/>
      <c r="H86" s="1189"/>
      <c r="I86" s="1189"/>
      <c r="J86" s="1189"/>
      <c r="K86" s="1189"/>
      <c r="L86" s="1188"/>
      <c r="M86" s="1189"/>
      <c r="N86" s="1189"/>
      <c r="O86" s="1189"/>
      <c r="P86" s="1189"/>
      <c r="Q86" s="1189"/>
      <c r="R86" s="1189"/>
      <c r="S86" s="1189"/>
    </row>
    <row r="87" spans="1:19" ht="16.5" thickTop="1" thickBot="1">
      <c r="F87" s="2"/>
      <c r="G87" s="2"/>
      <c r="H87" s="2"/>
      <c r="I87" s="2"/>
      <c r="J87" s="2"/>
      <c r="K87" s="2"/>
      <c r="L87" s="2"/>
      <c r="M87" s="2"/>
      <c r="N87" s="2"/>
      <c r="O87" s="2"/>
      <c r="P87" s="2"/>
      <c r="Q87" s="2"/>
      <c r="R87" s="2"/>
      <c r="S87" s="2"/>
    </row>
    <row r="88" spans="1:19" ht="16.5" thickTop="1" thickBot="1">
      <c r="A88" s="37" t="s">
        <v>772</v>
      </c>
      <c r="B88" s="39"/>
      <c r="F88" s="2"/>
      <c r="G88" s="2"/>
      <c r="H88" s="2"/>
      <c r="I88" s="2"/>
      <c r="J88" s="2"/>
      <c r="K88" s="2"/>
      <c r="L88" s="2"/>
      <c r="M88" s="2"/>
      <c r="N88" s="2"/>
      <c r="O88" s="2"/>
      <c r="P88" s="2"/>
      <c r="Q88" s="2"/>
      <c r="R88" s="2"/>
      <c r="S88" s="2"/>
    </row>
    <row r="89" spans="1:19" ht="15.75" thickTop="1">
      <c r="A89" s="38" t="s">
        <v>693</v>
      </c>
      <c r="B89" s="2012" t="str">
        <f>H5</f>
        <v>Keller North America</v>
      </c>
      <c r="F89" s="2"/>
      <c r="G89" s="2"/>
      <c r="H89" s="2"/>
      <c r="I89" s="2"/>
      <c r="J89" s="2"/>
      <c r="K89" s="2"/>
      <c r="L89" s="2"/>
      <c r="M89" s="2"/>
      <c r="N89" s="2"/>
      <c r="O89" s="2"/>
      <c r="P89" s="2"/>
      <c r="Q89" s="2"/>
      <c r="R89" s="2"/>
      <c r="S89" s="2"/>
    </row>
    <row r="90" spans="1:19">
      <c r="A90" s="1142" t="s">
        <v>702</v>
      </c>
      <c r="B90" s="2012" t="str">
        <f t="shared" ref="B90:B92" si="0">H6</f>
        <v xml:space="preserve">Paublo Iglesias  </v>
      </c>
      <c r="F90" s="2"/>
      <c r="G90" s="2"/>
      <c r="H90" s="2"/>
      <c r="I90" s="2"/>
      <c r="J90" s="2"/>
      <c r="K90" s="2"/>
      <c r="L90" s="2"/>
      <c r="M90" s="2"/>
      <c r="N90" s="2"/>
      <c r="O90" s="2"/>
      <c r="P90" s="2"/>
      <c r="Q90" s="2"/>
      <c r="R90" s="2"/>
      <c r="S90" s="2"/>
    </row>
    <row r="91" spans="1:19">
      <c r="A91" s="2013" t="s">
        <v>708</v>
      </c>
      <c r="B91" s="2012" t="str">
        <f t="shared" si="0"/>
        <v>(727) 744-6715</v>
      </c>
      <c r="F91" s="2"/>
      <c r="G91" s="2"/>
      <c r="H91" s="2"/>
      <c r="I91" s="2"/>
      <c r="J91" s="2"/>
      <c r="K91" s="2"/>
      <c r="L91" s="2"/>
      <c r="M91" s="2"/>
      <c r="N91" s="2"/>
      <c r="O91" s="2"/>
      <c r="P91" s="2"/>
      <c r="Q91" s="2"/>
      <c r="R91" s="2"/>
      <c r="S91" s="2"/>
    </row>
    <row r="92" spans="1:19">
      <c r="A92" s="2013" t="s">
        <v>713</v>
      </c>
      <c r="B92" s="2012" t="str">
        <f t="shared" si="0"/>
        <v>paublo.iglesias@keller-na.com</v>
      </c>
      <c r="F92" s="2"/>
      <c r="G92" s="2"/>
      <c r="H92" s="2"/>
      <c r="I92" s="2"/>
      <c r="J92" s="2"/>
      <c r="K92" s="2"/>
      <c r="L92" s="2"/>
      <c r="M92" s="2"/>
      <c r="N92" s="2"/>
      <c r="O92" s="2"/>
      <c r="P92" s="2"/>
      <c r="Q92" s="2"/>
      <c r="R92" s="2"/>
      <c r="S92" s="2"/>
    </row>
    <row r="93" spans="1:19" ht="15.75" thickBot="1">
      <c r="A93" s="1194" t="s">
        <v>69</v>
      </c>
      <c r="B93" s="1231">
        <f>I57</f>
        <v>1306673.9722222222</v>
      </c>
      <c r="F93" s="2"/>
      <c r="G93" s="2"/>
      <c r="H93" s="2"/>
      <c r="I93" s="2"/>
      <c r="J93" s="2"/>
      <c r="K93" s="2"/>
      <c r="L93" s="2"/>
      <c r="M93" s="2"/>
      <c r="N93" s="2"/>
      <c r="O93" s="2"/>
      <c r="P93" s="2"/>
      <c r="Q93" s="2"/>
      <c r="R93" s="2"/>
      <c r="S93" s="2"/>
    </row>
    <row r="94" spans="1:19" ht="15.75" thickTop="1"/>
  </sheetData>
  <mergeCells count="41">
    <mergeCell ref="A61:B61"/>
    <mergeCell ref="A65:B65"/>
    <mergeCell ref="A69:B69"/>
    <mergeCell ref="A73:B73"/>
    <mergeCell ref="A77:B77"/>
    <mergeCell ref="R9:S9"/>
    <mergeCell ref="L8:M8"/>
    <mergeCell ref="H8:I8"/>
    <mergeCell ref="N8:O8"/>
    <mergeCell ref="J8:K8"/>
    <mergeCell ref="P8:Q8"/>
    <mergeCell ref="R8:S8"/>
    <mergeCell ref="L9:M9"/>
    <mergeCell ref="H9:I9"/>
    <mergeCell ref="N9:O9"/>
    <mergeCell ref="J9:K9"/>
    <mergeCell ref="P9:Q9"/>
    <mergeCell ref="R7:S7"/>
    <mergeCell ref="L6:M6"/>
    <mergeCell ref="H6:I6"/>
    <mergeCell ref="N6:O6"/>
    <mergeCell ref="J6:K6"/>
    <mergeCell ref="P6:Q6"/>
    <mergeCell ref="R6:S6"/>
    <mergeCell ref="L7:M7"/>
    <mergeCell ref="H7:I7"/>
    <mergeCell ref="N7:O7"/>
    <mergeCell ref="J7:K7"/>
    <mergeCell ref="P7:Q7"/>
    <mergeCell ref="R5:S5"/>
    <mergeCell ref="L4:M4"/>
    <mergeCell ref="H4:I4"/>
    <mergeCell ref="N4:O4"/>
    <mergeCell ref="J4:K4"/>
    <mergeCell ref="P4:Q4"/>
    <mergeCell ref="R4:S4"/>
    <mergeCell ref="L5:M5"/>
    <mergeCell ref="H5:I5"/>
    <mergeCell ref="N5:O5"/>
    <mergeCell ref="J5:K5"/>
    <mergeCell ref="P5:Q5"/>
  </mergeCells>
  <conditionalFormatting sqref="H11:H19">
    <cfRule type="cellIs" dxfId="49" priority="1" operator="equal">
      <formula>"X"</formula>
    </cfRule>
    <cfRule type="cellIs" dxfId="48" priority="2" operator="equal">
      <formula>"I"</formula>
    </cfRule>
  </conditionalFormatting>
  <conditionalFormatting sqref="J11:J19 L11:L19 N11:N19 P11:P19 R11:R19 H21:H52 J21:J52 L21:L52 N21:N52 P21:P52 R21:R52">
    <cfRule type="cellIs" dxfId="47" priority="15" operator="equal">
      <formula>"X"</formula>
    </cfRule>
    <cfRule type="cellIs" dxfId="46" priority="16" operator="equal">
      <formula>"I"</formula>
    </cfRule>
  </conditionalFormatting>
  <hyperlinks>
    <hyperlink ref="B4" location="'Cost Summary'!A1" display="BACK TO SUMMARY SHEET" xr:uid="{48021C24-DBA8-4C23-B5CF-6D5EF37479BF}"/>
    <hyperlink ref="L8" r:id="rId1" xr:uid="{3988A3E2-9A64-4BA0-BA9F-BC014A7D64F2}"/>
    <hyperlink ref="J8" r:id="rId2" xr:uid="{14B721DE-B080-4AF3-A2EC-27A0A6D8E232}"/>
    <hyperlink ref="H8" r:id="rId3" xr:uid="{039CF0D3-EFBF-414C-BC6D-12ED551D8CCE}"/>
  </hyperlinks>
  <pageMargins left="0.7" right="0.7" top="0.75" bottom="0.75" header="0.3" footer="0.3"/>
  <pageSetup orientation="portrait" r:id="rId4"/>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EB95-1D7C-4EF6-81EA-BAF7DE5C46F5}">
  <dimension ref="A1:AO92"/>
  <sheetViews>
    <sheetView zoomScale="90" zoomScaleNormal="90" workbookViewId="0">
      <pane xSplit="2" ySplit="10" topLeftCell="C11" activePane="bottomRight" state="frozen"/>
      <selection pane="topRight" activeCell="C1" sqref="C1"/>
      <selection pane="bottomLeft" activeCell="A10" sqref="A10"/>
      <selection pane="bottomRight" sqref="A1:XFD1048576"/>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2016" t="s">
        <v>2818</v>
      </c>
      <c r="C6" s="415"/>
      <c r="D6" s="416"/>
      <c r="E6" s="417"/>
      <c r="F6" s="418"/>
      <c r="G6" s="419" t="s">
        <v>702</v>
      </c>
      <c r="H6" s="2325"/>
      <c r="I6" s="2326"/>
      <c r="J6" s="2325"/>
      <c r="K6" s="2326"/>
      <c r="L6" s="2325"/>
      <c r="M6" s="2326"/>
      <c r="N6" s="2325"/>
      <c r="O6" s="2326"/>
      <c r="P6" s="2313"/>
      <c r="Q6" s="2314"/>
      <c r="R6" s="2313"/>
      <c r="S6" s="2314"/>
      <c r="X6" s="261"/>
    </row>
    <row r="7" spans="1:24">
      <c r="A7" s="1082" t="s">
        <v>706</v>
      </c>
      <c r="B7" s="2017" t="s">
        <v>2819</v>
      </c>
      <c r="C7" s="415"/>
      <c r="D7" s="416"/>
      <c r="E7" s="417"/>
      <c r="F7" s="418"/>
      <c r="G7" s="829" t="s">
        <v>708</v>
      </c>
      <c r="H7" s="2325"/>
      <c r="I7" s="2326"/>
      <c r="J7" s="2325"/>
      <c r="K7" s="2326"/>
      <c r="L7" s="2325"/>
      <c r="M7" s="2326"/>
      <c r="N7" s="2325"/>
      <c r="O7" s="2326"/>
      <c r="P7" s="2313"/>
      <c r="Q7" s="2314"/>
      <c r="R7" s="2313"/>
      <c r="S7" s="2314"/>
      <c r="X7" s="261"/>
    </row>
    <row r="8" spans="1:24">
      <c r="A8" s="1082" t="s">
        <v>712</v>
      </c>
      <c r="B8" s="2018"/>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0</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2040"/>
      <c r="B11" s="2064" t="s">
        <v>725</v>
      </c>
      <c r="C11" s="1398"/>
      <c r="D11" s="2042"/>
      <c r="E11" s="2042"/>
      <c r="F11" s="2043"/>
      <c r="G11" s="2044"/>
      <c r="H11" s="2068"/>
      <c r="I11" s="2046"/>
      <c r="J11" s="2068"/>
      <c r="K11" s="285"/>
      <c r="L11" s="2068"/>
      <c r="M11" s="2047"/>
      <c r="N11" s="2068"/>
      <c r="O11" s="2047"/>
      <c r="P11" s="2068"/>
      <c r="Q11" s="2047"/>
      <c r="R11" s="2068"/>
      <c r="S11" s="2047"/>
    </row>
    <row r="12" spans="1:24">
      <c r="A12" s="2040"/>
      <c r="B12" s="2019" t="s">
        <v>726</v>
      </c>
      <c r="C12" s="446"/>
      <c r="D12" s="422"/>
      <c r="E12" s="422"/>
      <c r="F12" s="418"/>
      <c r="G12" s="423"/>
      <c r="H12" s="2020"/>
      <c r="I12" s="2046"/>
      <c r="J12" s="2020"/>
      <c r="K12" s="2047"/>
      <c r="L12" s="2020"/>
      <c r="M12" s="2047"/>
      <c r="N12" s="2020"/>
      <c r="O12" s="2047"/>
      <c r="P12" s="2020"/>
      <c r="Q12" s="2047"/>
      <c r="R12" s="2020"/>
      <c r="S12" s="2047"/>
    </row>
    <row r="13" spans="1:24">
      <c r="A13" s="1097"/>
      <c r="B13" s="2019" t="s">
        <v>728</v>
      </c>
      <c r="C13" s="446"/>
      <c r="D13" s="422"/>
      <c r="E13" s="422"/>
      <c r="F13" s="418"/>
      <c r="G13" s="423"/>
      <c r="H13" s="2020"/>
      <c r="I13" s="2046"/>
      <c r="J13" s="2020"/>
      <c r="K13" s="2047"/>
      <c r="L13" s="2020"/>
      <c r="M13" s="2047"/>
      <c r="N13" s="2020"/>
      <c r="O13" s="2047"/>
      <c r="P13" s="2020"/>
      <c r="Q13" s="2047"/>
      <c r="R13" s="2020"/>
      <c r="S13" s="2047"/>
    </row>
    <row r="14" spans="1:24">
      <c r="A14" s="2040"/>
      <c r="B14" s="2021" t="s">
        <v>729</v>
      </c>
      <c r="C14" s="446"/>
      <c r="D14" s="422"/>
      <c r="E14" s="422"/>
      <c r="F14" s="418"/>
      <c r="G14" s="423"/>
      <c r="H14" s="2020"/>
      <c r="I14" s="2046"/>
      <c r="J14" s="2020"/>
      <c r="K14" s="2047"/>
      <c r="L14" s="2020"/>
      <c r="M14" s="2047"/>
      <c r="N14" s="2020"/>
      <c r="O14" s="2047"/>
      <c r="P14" s="2020"/>
      <c r="Q14" s="2047"/>
      <c r="R14" s="2020"/>
      <c r="S14" s="2047"/>
    </row>
    <row r="15" spans="1:24">
      <c r="A15" s="1097"/>
      <c r="B15" s="2021" t="s">
        <v>731</v>
      </c>
      <c r="C15" s="446"/>
      <c r="D15" s="422"/>
      <c r="E15" s="422"/>
      <c r="F15" s="418"/>
      <c r="G15" s="423"/>
      <c r="H15" s="2020"/>
      <c r="I15" s="2046"/>
      <c r="J15" s="2020"/>
      <c r="K15" s="2046"/>
      <c r="L15" s="2020"/>
      <c r="M15" s="2046"/>
      <c r="N15" s="2020"/>
      <c r="O15" s="2046"/>
      <c r="P15" s="2020"/>
      <c r="Q15" s="2046"/>
      <c r="R15" s="2020"/>
      <c r="S15" s="2046"/>
    </row>
    <row r="16" spans="1:24">
      <c r="A16" s="2040"/>
      <c r="B16" s="2021" t="s">
        <v>732</v>
      </c>
      <c r="C16" s="446"/>
      <c r="D16" s="422"/>
      <c r="E16" s="422"/>
      <c r="F16" s="418"/>
      <c r="G16" s="423"/>
      <c r="H16" s="2020"/>
      <c r="I16" s="2046"/>
      <c r="J16" s="2020"/>
      <c r="K16" s="2047"/>
      <c r="L16" s="2020"/>
      <c r="M16" s="2047"/>
      <c r="N16" s="2020"/>
      <c r="O16" s="2047"/>
      <c r="P16" s="2020"/>
      <c r="Q16" s="2047"/>
      <c r="R16" s="2020"/>
      <c r="S16" s="2047"/>
    </row>
    <row r="17" spans="1:41">
      <c r="A17" s="1097"/>
      <c r="B17" s="2021" t="s">
        <v>733</v>
      </c>
      <c r="C17" s="446"/>
      <c r="D17" s="422"/>
      <c r="E17" s="422"/>
      <c r="F17" s="418"/>
      <c r="G17" s="423"/>
      <c r="H17" s="2020"/>
      <c r="I17" s="2046"/>
      <c r="J17" s="2020"/>
      <c r="K17" s="2047"/>
      <c r="L17" s="2020"/>
      <c r="M17" s="2047"/>
      <c r="N17" s="2020"/>
      <c r="O17" s="2047"/>
      <c r="P17" s="2020"/>
      <c r="Q17" s="2047"/>
      <c r="R17" s="2020"/>
      <c r="S17" s="2047"/>
    </row>
    <row r="18" spans="1:41">
      <c r="A18" s="2040"/>
      <c r="B18" s="1988" t="s">
        <v>736</v>
      </c>
      <c r="C18" s="446"/>
      <c r="D18" s="422"/>
      <c r="E18" s="422"/>
      <c r="F18" s="418"/>
      <c r="G18" s="423"/>
      <c r="H18" s="2020"/>
      <c r="I18" s="2046"/>
      <c r="J18" s="2020"/>
      <c r="K18" s="2047"/>
      <c r="L18" s="2020"/>
      <c r="M18" s="2047"/>
      <c r="N18" s="2020"/>
      <c r="O18" s="2047"/>
      <c r="P18" s="2020"/>
      <c r="Q18" s="2047"/>
      <c r="R18" s="2020"/>
      <c r="S18" s="2047"/>
    </row>
    <row r="19" spans="1:41">
      <c r="A19" s="1097"/>
      <c r="B19" s="2098" t="s">
        <v>737</v>
      </c>
      <c r="C19" s="447"/>
      <c r="D19" s="425"/>
      <c r="E19" s="425"/>
      <c r="F19" s="426"/>
      <c r="G19" s="427"/>
      <c r="H19" s="1989"/>
      <c r="I19" s="2099"/>
      <c r="J19" s="1989"/>
      <c r="K19" s="2100"/>
      <c r="L19" s="1989"/>
      <c r="M19" s="2100"/>
      <c r="N19" s="1989"/>
      <c r="O19" s="2100"/>
      <c r="P19" s="1989"/>
      <c r="Q19" s="2100"/>
      <c r="R19" s="1989"/>
      <c r="S19" s="2100"/>
    </row>
    <row r="20" spans="1:41">
      <c r="A20" s="2040"/>
      <c r="B20" s="1104"/>
      <c r="C20" s="70"/>
      <c r="D20" s="86"/>
      <c r="E20" s="86"/>
      <c r="F20" s="280"/>
      <c r="G20" s="274"/>
      <c r="H20" s="2020"/>
      <c r="I20" s="428"/>
      <c r="J20" s="2020"/>
      <c r="K20" s="428"/>
      <c r="L20" s="2020"/>
      <c r="M20" s="428"/>
      <c r="N20" s="2020"/>
      <c r="O20" s="428"/>
      <c r="P20" s="2020"/>
      <c r="Q20" s="428"/>
      <c r="R20" s="2020"/>
      <c r="S20" s="428"/>
    </row>
    <row r="21" spans="1:41" s="69" customFormat="1">
      <c r="A21" s="1097"/>
      <c r="B21" s="2006"/>
      <c r="C21" s="415"/>
      <c r="D21" s="422"/>
      <c r="E21" s="422"/>
      <c r="F21" s="429"/>
      <c r="G21" s="423"/>
      <c r="H21" s="2020"/>
      <c r="I21" s="1107"/>
      <c r="J21" s="2020"/>
      <c r="K21" s="1992"/>
      <c r="L21" s="2020"/>
      <c r="M21" s="1992"/>
      <c r="N21" s="2020"/>
      <c r="O21" s="1107"/>
      <c r="P21" s="2020"/>
      <c r="Q21" s="1107"/>
      <c r="R21" s="2020"/>
      <c r="S21" s="1992"/>
      <c r="T21"/>
      <c r="U21"/>
      <c r="V21"/>
      <c r="W21"/>
      <c r="X21"/>
      <c r="Y21"/>
      <c r="Z21"/>
      <c r="AA21"/>
      <c r="AB21"/>
      <c r="AC21"/>
      <c r="AD21"/>
      <c r="AE21"/>
      <c r="AF21"/>
      <c r="AG21"/>
      <c r="AH21"/>
      <c r="AI21"/>
      <c r="AJ21"/>
      <c r="AK21"/>
      <c r="AL21"/>
      <c r="AM21"/>
      <c r="AN21"/>
      <c r="AO21"/>
    </row>
    <row r="22" spans="1:41">
      <c r="A22" s="2040"/>
      <c r="B22" s="2101"/>
      <c r="C22" s="1396"/>
      <c r="D22" s="2027"/>
      <c r="E22" s="2042"/>
      <c r="F22" s="2028"/>
      <c r="G22" s="2029"/>
      <c r="H22" s="2020"/>
      <c r="I22" s="2047"/>
      <c r="J22" s="2020"/>
      <c r="K22" s="2047"/>
      <c r="L22" s="2020"/>
      <c r="M22" s="2047"/>
      <c r="N22" s="2020"/>
      <c r="O22" s="2047"/>
      <c r="P22" s="2020"/>
      <c r="Q22" s="2047"/>
      <c r="R22" s="2020"/>
      <c r="S22" s="2047"/>
    </row>
    <row r="23" spans="1:41">
      <c r="A23" s="1097"/>
      <c r="B23" s="2101"/>
      <c r="C23" s="415"/>
      <c r="D23" s="430"/>
      <c r="E23" s="422"/>
      <c r="F23" s="431"/>
      <c r="G23" s="2029"/>
      <c r="H23" s="2020"/>
      <c r="I23" s="2047"/>
      <c r="J23" s="2020"/>
      <c r="K23" s="2047"/>
      <c r="L23" s="2020"/>
      <c r="M23" s="2047"/>
      <c r="N23" s="2020"/>
      <c r="O23" s="2047"/>
      <c r="P23" s="2020"/>
      <c r="Q23" s="2047"/>
      <c r="R23" s="2020"/>
      <c r="S23" s="2047"/>
    </row>
    <row r="24" spans="1:41">
      <c r="A24" s="2040"/>
      <c r="B24" s="2101"/>
      <c r="C24" s="415"/>
      <c r="D24" s="430"/>
      <c r="E24" s="422"/>
      <c r="F24" s="431"/>
      <c r="G24" s="2029"/>
      <c r="H24" s="2020"/>
      <c r="I24" s="2047"/>
      <c r="J24" s="2020"/>
      <c r="K24" s="2047"/>
      <c r="L24" s="2020"/>
      <c r="M24" s="2047"/>
      <c r="N24" s="2020"/>
      <c r="O24" s="2047"/>
      <c r="P24" s="2020"/>
      <c r="Q24" s="2047"/>
      <c r="R24" s="2020"/>
      <c r="S24" s="2047"/>
    </row>
    <row r="25" spans="1:41">
      <c r="A25" s="1097"/>
      <c r="B25" s="2101"/>
      <c r="C25" s="415"/>
      <c r="D25" s="430"/>
      <c r="E25" s="422"/>
      <c r="F25" s="431"/>
      <c r="G25" s="2029"/>
      <c r="H25" s="2020"/>
      <c r="I25" s="2047"/>
      <c r="J25" s="2020"/>
      <c r="K25" s="2047"/>
      <c r="L25" s="2020"/>
      <c r="M25" s="2047"/>
      <c r="N25" s="2020"/>
      <c r="O25" s="2047"/>
      <c r="P25" s="2020"/>
      <c r="Q25" s="2047"/>
      <c r="R25" s="2020"/>
      <c r="S25" s="2047"/>
    </row>
    <row r="26" spans="1:41">
      <c r="A26" s="2040"/>
      <c r="B26" s="2101"/>
      <c r="C26" s="415"/>
      <c r="D26" s="430"/>
      <c r="E26" s="422"/>
      <c r="F26" s="431"/>
      <c r="G26" s="2029"/>
      <c r="H26" s="2020"/>
      <c r="I26" s="2047"/>
      <c r="J26" s="2020"/>
      <c r="K26" s="2047"/>
      <c r="L26" s="2020"/>
      <c r="M26" s="2047"/>
      <c r="N26" s="2020"/>
      <c r="O26" s="2047"/>
      <c r="P26" s="2020"/>
      <c r="Q26" s="2047"/>
      <c r="R26" s="2020"/>
      <c r="S26" s="2047"/>
    </row>
    <row r="27" spans="1:41">
      <c r="A27" s="1097"/>
      <c r="B27" s="2101"/>
      <c r="C27" s="415"/>
      <c r="D27" s="430"/>
      <c r="E27" s="422"/>
      <c r="F27" s="431"/>
      <c r="G27" s="2029"/>
      <c r="H27" s="2020"/>
      <c r="I27" s="2047"/>
      <c r="J27" s="2020"/>
      <c r="K27" s="2047"/>
      <c r="L27" s="2020"/>
      <c r="M27" s="2047"/>
      <c r="N27" s="2020"/>
      <c r="O27" s="2047"/>
      <c r="P27" s="2020"/>
      <c r="Q27" s="2047"/>
      <c r="R27" s="2020"/>
      <c r="S27" s="2047"/>
    </row>
    <row r="28" spans="1:41">
      <c r="A28" s="2040"/>
      <c r="B28" s="2101"/>
      <c r="C28" s="415"/>
      <c r="D28" s="430"/>
      <c r="E28" s="422"/>
      <c r="F28" s="431"/>
      <c r="G28" s="2029"/>
      <c r="H28" s="2020"/>
      <c r="I28" s="2047"/>
      <c r="J28" s="2020"/>
      <c r="K28" s="2047"/>
      <c r="L28" s="2020"/>
      <c r="M28" s="2047"/>
      <c r="N28" s="2020"/>
      <c r="O28" s="2047"/>
      <c r="P28" s="2020"/>
      <c r="Q28" s="2047"/>
      <c r="R28" s="2020"/>
      <c r="S28" s="2047"/>
    </row>
    <row r="29" spans="1:41">
      <c r="A29" s="1097"/>
      <c r="B29" s="2101"/>
      <c r="C29" s="415"/>
      <c r="D29" s="430"/>
      <c r="E29" s="422"/>
      <c r="F29" s="431"/>
      <c r="G29" s="2029"/>
      <c r="H29" s="2020"/>
      <c r="I29" s="2047"/>
      <c r="J29" s="2020"/>
      <c r="K29" s="2047"/>
      <c r="L29" s="2020"/>
      <c r="M29" s="2047"/>
      <c r="N29" s="2020"/>
      <c r="O29" s="2047"/>
      <c r="P29" s="2020"/>
      <c r="Q29" s="2047"/>
      <c r="R29" s="2020"/>
      <c r="S29" s="2047"/>
    </row>
    <row r="30" spans="1:41">
      <c r="A30" s="2040"/>
      <c r="B30" s="2101"/>
      <c r="C30" s="415"/>
      <c r="D30" s="430"/>
      <c r="E30" s="422"/>
      <c r="F30" s="431"/>
      <c r="G30" s="2029"/>
      <c r="H30" s="2020"/>
      <c r="I30" s="2047"/>
      <c r="J30" s="2020"/>
      <c r="K30" s="2047"/>
      <c r="L30" s="2020"/>
      <c r="M30" s="2047"/>
      <c r="N30" s="2020"/>
      <c r="O30" s="2047"/>
      <c r="P30" s="2020"/>
      <c r="Q30" s="2047"/>
      <c r="R30" s="2020"/>
      <c r="S30" s="2047"/>
    </row>
    <row r="31" spans="1:41">
      <c r="A31" s="1097"/>
      <c r="B31" s="2101"/>
      <c r="C31" s="415"/>
      <c r="D31" s="430"/>
      <c r="E31" s="422"/>
      <c r="F31" s="431"/>
      <c r="G31" s="2029"/>
      <c r="H31" s="2020"/>
      <c r="I31" s="2047"/>
      <c r="J31" s="2020"/>
      <c r="K31" s="2047"/>
      <c r="L31" s="2020"/>
      <c r="M31" s="2047"/>
      <c r="N31" s="2020"/>
      <c r="O31" s="2047"/>
      <c r="P31" s="2020"/>
      <c r="Q31" s="2047"/>
      <c r="R31" s="2020"/>
      <c r="S31" s="2047"/>
    </row>
    <row r="32" spans="1:41">
      <c r="A32" s="2040"/>
      <c r="B32" s="1999"/>
      <c r="C32" s="23"/>
      <c r="D32" s="430"/>
      <c r="E32" s="422"/>
      <c r="F32" s="431"/>
      <c r="G32" s="2029"/>
      <c r="H32" s="2020"/>
      <c r="I32" s="2047"/>
      <c r="J32" s="2020"/>
      <c r="K32" s="2047"/>
      <c r="L32" s="2020"/>
      <c r="M32" s="2047"/>
      <c r="N32" s="2020"/>
      <c r="O32" s="2047"/>
      <c r="P32" s="2020"/>
      <c r="Q32" s="2047"/>
      <c r="R32" s="2020"/>
      <c r="S32" s="2047"/>
    </row>
    <row r="33" spans="1:19">
      <c r="A33" s="1097"/>
      <c r="B33" s="1999"/>
      <c r="C33" s="23"/>
      <c r="D33" s="87"/>
      <c r="E33" s="86"/>
      <c r="F33" s="431"/>
      <c r="G33" s="2029"/>
      <c r="H33" s="2020"/>
      <c r="I33" s="2047"/>
      <c r="J33" s="2020"/>
      <c r="K33" s="2047"/>
      <c r="L33" s="2020"/>
      <c r="M33" s="2047"/>
      <c r="N33" s="2020"/>
      <c r="O33" s="2047"/>
      <c r="P33" s="2020"/>
      <c r="Q33" s="2047"/>
      <c r="R33" s="2020"/>
      <c r="S33" s="2047"/>
    </row>
    <row r="34" spans="1:19">
      <c r="A34" s="2040"/>
      <c r="B34" s="1999"/>
      <c r="C34" s="23"/>
      <c r="D34" s="87"/>
      <c r="E34" s="86"/>
      <c r="F34" s="431"/>
      <c r="G34" s="2029"/>
      <c r="H34" s="2020"/>
      <c r="I34" s="2047"/>
      <c r="J34" s="2020"/>
      <c r="K34" s="2047"/>
      <c r="L34" s="2020"/>
      <c r="M34" s="2047"/>
      <c r="N34" s="2020"/>
      <c r="O34" s="2047"/>
      <c r="P34" s="2020"/>
      <c r="Q34" s="2047"/>
      <c r="R34" s="2020"/>
      <c r="S34" s="2047"/>
    </row>
    <row r="35" spans="1:19">
      <c r="A35" s="2040"/>
      <c r="B35" s="1999"/>
      <c r="C35" s="23"/>
      <c r="D35" s="87"/>
      <c r="E35" s="86"/>
      <c r="F35" s="431"/>
      <c r="G35" s="2029"/>
      <c r="H35" s="2020"/>
      <c r="I35" s="2047"/>
      <c r="J35" s="2020"/>
      <c r="K35" s="2047"/>
      <c r="L35" s="2020"/>
      <c r="M35" s="2047"/>
      <c r="N35" s="2020"/>
      <c r="O35" s="2047"/>
      <c r="P35" s="2020"/>
      <c r="Q35" s="2047"/>
      <c r="R35" s="2020"/>
      <c r="S35" s="2047"/>
    </row>
    <row r="36" spans="1:19">
      <c r="A36" s="2040"/>
      <c r="B36" s="1999"/>
      <c r="C36" s="23"/>
      <c r="D36" s="87"/>
      <c r="E36" s="86"/>
      <c r="F36" s="431"/>
      <c r="G36" s="2029"/>
      <c r="H36" s="2020"/>
      <c r="I36" s="2047"/>
      <c r="J36" s="2020"/>
      <c r="K36" s="2047"/>
      <c r="L36" s="2020"/>
      <c r="M36" s="2047"/>
      <c r="N36" s="2020"/>
      <c r="O36" s="2047"/>
      <c r="P36" s="2020"/>
      <c r="Q36" s="2047"/>
      <c r="R36" s="2020"/>
      <c r="S36" s="2047"/>
    </row>
    <row r="37" spans="1:19">
      <c r="A37" s="2040"/>
      <c r="B37" s="1999"/>
      <c r="C37" s="23"/>
      <c r="D37" s="87"/>
      <c r="E37" s="86"/>
      <c r="F37" s="431"/>
      <c r="G37" s="2029"/>
      <c r="H37" s="2020"/>
      <c r="I37" s="2047"/>
      <c r="J37" s="2020"/>
      <c r="K37" s="2047"/>
      <c r="L37" s="2020"/>
      <c r="M37" s="2047"/>
      <c r="N37" s="2020"/>
      <c r="O37" s="2047"/>
      <c r="P37" s="2020"/>
      <c r="Q37" s="2047"/>
      <c r="R37" s="2020"/>
      <c r="S37" s="2047"/>
    </row>
    <row r="38" spans="1:19">
      <c r="A38" s="2040"/>
      <c r="B38" s="1999"/>
      <c r="C38" s="23"/>
      <c r="D38" s="87"/>
      <c r="E38" s="86"/>
      <c r="F38" s="431"/>
      <c r="G38" s="2029"/>
      <c r="H38" s="2020"/>
      <c r="I38" s="2047"/>
      <c r="J38" s="2020"/>
      <c r="K38" s="2047"/>
      <c r="L38" s="2020"/>
      <c r="M38" s="2047"/>
      <c r="N38" s="2020"/>
      <c r="O38" s="2047"/>
      <c r="P38" s="2020"/>
      <c r="Q38" s="2047"/>
      <c r="R38" s="2020"/>
      <c r="S38" s="2047"/>
    </row>
    <row r="39" spans="1:19">
      <c r="A39" s="2040"/>
      <c r="B39" s="1999"/>
      <c r="C39" s="23"/>
      <c r="D39" s="87"/>
      <c r="E39" s="86"/>
      <c r="F39" s="431"/>
      <c r="G39" s="2029"/>
      <c r="H39" s="2020"/>
      <c r="I39" s="2047"/>
      <c r="J39" s="2020"/>
      <c r="K39" s="2047"/>
      <c r="L39" s="2020"/>
      <c r="M39" s="2047"/>
      <c r="N39" s="2020"/>
      <c r="O39" s="2047"/>
      <c r="P39" s="2020"/>
      <c r="Q39" s="2047"/>
      <c r="R39" s="2020"/>
      <c r="S39" s="2047"/>
    </row>
    <row r="40" spans="1:19">
      <c r="A40" s="2040"/>
      <c r="B40" s="1999"/>
      <c r="C40" s="23"/>
      <c r="D40" s="87"/>
      <c r="E40" s="86"/>
      <c r="F40" s="431"/>
      <c r="G40" s="2029"/>
      <c r="H40" s="2020"/>
      <c r="I40" s="2047"/>
      <c r="J40" s="2020"/>
      <c r="K40" s="2047"/>
      <c r="L40" s="2020"/>
      <c r="M40" s="2047"/>
      <c r="N40" s="2020"/>
      <c r="O40" s="2047"/>
      <c r="P40" s="2020"/>
      <c r="Q40" s="2047"/>
      <c r="R40" s="2020"/>
      <c r="S40" s="2047"/>
    </row>
    <row r="41" spans="1:19">
      <c r="A41" s="2040"/>
      <c r="B41" s="1999"/>
      <c r="C41" s="23"/>
      <c r="D41" s="87"/>
      <c r="E41" s="86"/>
      <c r="F41" s="431"/>
      <c r="G41" s="2029"/>
      <c r="H41" s="2020"/>
      <c r="I41" s="2047"/>
      <c r="J41" s="2020"/>
      <c r="K41" s="2047"/>
      <c r="L41" s="2020"/>
      <c r="M41" s="2047"/>
      <c r="N41" s="2020"/>
      <c r="O41" s="2047"/>
      <c r="P41" s="2020"/>
      <c r="Q41" s="2047"/>
      <c r="R41" s="2020"/>
      <c r="S41" s="2047"/>
    </row>
    <row r="42" spans="1:19">
      <c r="A42" s="2040"/>
      <c r="B42" s="1999"/>
      <c r="C42" s="23"/>
      <c r="D42" s="87"/>
      <c r="E42" s="86"/>
      <c r="F42" s="431"/>
      <c r="G42" s="2029"/>
      <c r="H42" s="2020"/>
      <c r="I42" s="2047"/>
      <c r="J42" s="2020"/>
      <c r="K42" s="2047"/>
      <c r="L42" s="2020"/>
      <c r="M42" s="2047"/>
      <c r="N42" s="2020"/>
      <c r="O42" s="2047"/>
      <c r="P42" s="2020"/>
      <c r="Q42" s="2047"/>
      <c r="R42" s="2020"/>
      <c r="S42" s="2047"/>
    </row>
    <row r="43" spans="1:19">
      <c r="A43" s="2040"/>
      <c r="B43" s="1999"/>
      <c r="C43" s="23"/>
      <c r="D43" s="87"/>
      <c r="E43" s="86"/>
      <c r="F43" s="431"/>
      <c r="G43" s="2029"/>
      <c r="H43" s="2020"/>
      <c r="I43" s="2047"/>
      <c r="J43" s="2020"/>
      <c r="K43" s="2047"/>
      <c r="L43" s="2020"/>
      <c r="M43" s="2047"/>
      <c r="N43" s="2020"/>
      <c r="O43" s="2047"/>
      <c r="P43" s="2020"/>
      <c r="Q43" s="2047"/>
      <c r="R43" s="2020"/>
      <c r="S43" s="2047"/>
    </row>
    <row r="44" spans="1:19">
      <c r="A44" s="2040"/>
      <c r="B44" s="1999"/>
      <c r="C44" s="23"/>
      <c r="D44" s="87"/>
      <c r="E44" s="86"/>
      <c r="F44" s="431"/>
      <c r="G44" s="2029"/>
      <c r="H44" s="2020"/>
      <c r="I44" s="2047"/>
      <c r="J44" s="2020"/>
      <c r="K44" s="2047"/>
      <c r="L44" s="2020"/>
      <c r="M44" s="2047"/>
      <c r="N44" s="2020"/>
      <c r="O44" s="2047"/>
      <c r="P44" s="2020"/>
      <c r="Q44" s="2047"/>
      <c r="R44" s="2020"/>
      <c r="S44" s="2047"/>
    </row>
    <row r="45" spans="1:19">
      <c r="A45" s="2040"/>
      <c r="B45" s="1999"/>
      <c r="C45" s="23"/>
      <c r="D45" s="87"/>
      <c r="E45" s="86"/>
      <c r="F45" s="431"/>
      <c r="G45" s="2029"/>
      <c r="H45" s="2020"/>
      <c r="I45" s="2047"/>
      <c r="J45" s="2020"/>
      <c r="K45" s="2047"/>
      <c r="L45" s="2020"/>
      <c r="M45" s="2047"/>
      <c r="N45" s="2020"/>
      <c r="O45" s="2047"/>
      <c r="P45" s="2020"/>
      <c r="Q45" s="2047"/>
      <c r="R45" s="2020"/>
      <c r="S45" s="2047"/>
    </row>
    <row r="46" spans="1:19">
      <c r="A46" s="2040"/>
      <c r="B46" s="1999"/>
      <c r="C46" s="23"/>
      <c r="D46" s="87"/>
      <c r="E46" s="86"/>
      <c r="F46" s="431"/>
      <c r="G46" s="2029"/>
      <c r="H46" s="2020"/>
      <c r="I46" s="2047"/>
      <c r="J46" s="2020"/>
      <c r="K46" s="2047"/>
      <c r="L46" s="2020"/>
      <c r="M46" s="2047"/>
      <c r="N46" s="2020"/>
      <c r="O46" s="2047"/>
      <c r="P46" s="2020"/>
      <c r="Q46" s="2047"/>
      <c r="R46" s="2020"/>
      <c r="S46" s="2047"/>
    </row>
    <row r="47" spans="1:19">
      <c r="A47" s="2040"/>
      <c r="B47" s="1999"/>
      <c r="C47" s="23"/>
      <c r="D47" s="87"/>
      <c r="E47" s="86"/>
      <c r="F47" s="431"/>
      <c r="G47" s="2029"/>
      <c r="H47" s="2020"/>
      <c r="I47" s="2047"/>
      <c r="J47" s="2020"/>
      <c r="K47" s="2047"/>
      <c r="L47" s="2020"/>
      <c r="M47" s="2047"/>
      <c r="N47" s="2020"/>
      <c r="O47" s="2047"/>
      <c r="P47" s="2020"/>
      <c r="Q47" s="2047"/>
      <c r="R47" s="2020"/>
      <c r="S47" s="2047"/>
    </row>
    <row r="48" spans="1:19">
      <c r="A48" s="2040"/>
      <c r="B48" s="1999"/>
      <c r="C48" s="23"/>
      <c r="D48" s="87"/>
      <c r="E48" s="86"/>
      <c r="F48" s="431"/>
      <c r="G48" s="2029"/>
      <c r="H48" s="2020"/>
      <c r="I48" s="2047"/>
      <c r="J48" s="2020"/>
      <c r="K48" s="2047"/>
      <c r="L48" s="2020"/>
      <c r="M48" s="2047"/>
      <c r="N48" s="2020"/>
      <c r="O48" s="2047"/>
      <c r="P48" s="2020"/>
      <c r="Q48" s="2047"/>
      <c r="R48" s="2020"/>
      <c r="S48" s="2047"/>
    </row>
    <row r="49" spans="1:34">
      <c r="A49" s="2040"/>
      <c r="B49" s="1999"/>
      <c r="C49" s="23"/>
      <c r="D49" s="87"/>
      <c r="E49" s="86"/>
      <c r="F49" s="431"/>
      <c r="G49" s="830"/>
      <c r="H49" s="2020"/>
      <c r="I49" s="2047"/>
      <c r="J49" s="2020"/>
      <c r="K49" s="2047"/>
      <c r="L49" s="2020"/>
      <c r="M49" s="2047"/>
      <c r="N49" s="2020"/>
      <c r="O49" s="2047"/>
      <c r="P49" s="2020"/>
      <c r="Q49" s="2047"/>
      <c r="R49" s="2020"/>
      <c r="S49" s="2047"/>
    </row>
    <row r="50" spans="1:34" ht="15.75" thickBot="1">
      <c r="A50" s="2040"/>
      <c r="B50" s="1999"/>
      <c r="C50" s="23"/>
      <c r="D50" s="87"/>
      <c r="E50" s="86"/>
      <c r="F50" s="431"/>
      <c r="G50" s="830"/>
      <c r="H50" s="2020"/>
      <c r="I50" s="2047"/>
      <c r="J50" s="2020"/>
      <c r="K50" s="2047"/>
      <c r="L50" s="2020"/>
      <c r="M50" s="2047"/>
      <c r="N50" s="2020"/>
      <c r="O50" s="2047"/>
      <c r="P50" s="2020"/>
      <c r="Q50" s="2047"/>
      <c r="R50" s="2020"/>
      <c r="S50" s="2047"/>
    </row>
    <row r="51" spans="1:34" ht="15.75" thickTop="1">
      <c r="A51" s="296"/>
      <c r="B51" s="301"/>
      <c r="C51" s="297"/>
      <c r="D51" s="15"/>
      <c r="E51" s="16"/>
      <c r="F51" s="282" t="s">
        <v>753</v>
      </c>
      <c r="G51" s="272"/>
      <c r="H51" s="273"/>
      <c r="I51" s="273">
        <f>SUM(I13:I50)</f>
        <v>0</v>
      </c>
      <c r="J51" s="273"/>
      <c r="K51" s="273">
        <f>SUM(K13:K50)</f>
        <v>0</v>
      </c>
      <c r="L51" s="273"/>
      <c r="M51" s="273">
        <f>SUM(M13:M50)</f>
        <v>0</v>
      </c>
      <c r="N51" s="273"/>
      <c r="O51" s="273">
        <f>SUM(O13:O50)</f>
        <v>0</v>
      </c>
      <c r="P51" s="273"/>
      <c r="Q51" s="273">
        <f>SUM(Q13:Q50)</f>
        <v>0</v>
      </c>
      <c r="R51" s="273"/>
      <c r="S51" s="273">
        <f>SUM(S13:S50)</f>
        <v>0</v>
      </c>
    </row>
    <row r="52" spans="1:34">
      <c r="A52" s="1114"/>
      <c r="B52" s="2000"/>
      <c r="C52" s="432"/>
      <c r="D52" s="433"/>
      <c r="E52" s="434"/>
      <c r="F52" s="435" t="s">
        <v>754</v>
      </c>
      <c r="G52" s="436"/>
      <c r="H52" s="2003">
        <v>0</v>
      </c>
      <c r="I52" s="2002"/>
      <c r="J52" s="2003">
        <v>0</v>
      </c>
      <c r="K52" s="2002"/>
      <c r="L52" s="2003">
        <v>0</v>
      </c>
      <c r="M52" s="2002"/>
      <c r="N52" s="2003">
        <v>0</v>
      </c>
      <c r="O52" s="2002"/>
      <c r="P52" s="2003">
        <v>0</v>
      </c>
      <c r="Q52" s="2002"/>
      <c r="R52" s="2003">
        <v>0</v>
      </c>
      <c r="S52" s="2002"/>
    </row>
    <row r="53" spans="1:34">
      <c r="A53" s="1114"/>
      <c r="B53" s="2000"/>
      <c r="C53" s="432"/>
      <c r="D53" s="433"/>
      <c r="E53" s="434"/>
      <c r="F53" s="435" t="s">
        <v>755</v>
      </c>
      <c r="G53" s="436"/>
      <c r="H53" s="2002"/>
      <c r="I53" s="2002">
        <f>I51*H52</f>
        <v>0</v>
      </c>
      <c r="J53" s="2002"/>
      <c r="K53" s="2002">
        <f>K51*J52</f>
        <v>0</v>
      </c>
      <c r="L53" s="2002"/>
      <c r="M53" s="2002">
        <f>M51*L52</f>
        <v>0</v>
      </c>
      <c r="N53" s="2002"/>
      <c r="O53" s="2002">
        <f>O51*N52</f>
        <v>0</v>
      </c>
      <c r="P53" s="2002"/>
      <c r="Q53" s="2002">
        <f>Q51*P52</f>
        <v>0</v>
      </c>
      <c r="R53" s="2002"/>
      <c r="S53" s="2002">
        <f>S51*R52</f>
        <v>0</v>
      </c>
    </row>
    <row r="54" spans="1:34">
      <c r="A54" s="1114"/>
      <c r="B54" s="2000"/>
      <c r="C54" s="432"/>
      <c r="D54" s="433"/>
      <c r="E54" s="434"/>
      <c r="F54" s="435"/>
      <c r="G54" s="436"/>
      <c r="H54" s="2002"/>
      <c r="I54" s="2002"/>
      <c r="J54" s="2002"/>
      <c r="K54" s="2002"/>
      <c r="L54" s="2002"/>
      <c r="M54" s="2002"/>
      <c r="N54" s="2002"/>
      <c r="O54" s="2002"/>
      <c r="P54" s="2002"/>
      <c r="Q54" s="2002"/>
      <c r="R54" s="2002"/>
      <c r="S54" s="2002"/>
    </row>
    <row r="55" spans="1:34">
      <c r="A55" s="1114"/>
      <c r="B55" s="2000"/>
      <c r="C55" s="432"/>
      <c r="D55" s="433"/>
      <c r="E55" s="434"/>
      <c r="F55" s="435" t="s">
        <v>756</v>
      </c>
      <c r="G55" s="436"/>
      <c r="H55" s="2002"/>
      <c r="I55" s="2002">
        <f>SUM(I51:I53)</f>
        <v>0</v>
      </c>
      <c r="J55" s="2002"/>
      <c r="K55" s="2002">
        <f>SUM(K51:K53)</f>
        <v>0</v>
      </c>
      <c r="L55" s="2002"/>
      <c r="M55" s="2002">
        <f>SUM(M51:M53)</f>
        <v>0</v>
      </c>
      <c r="N55" s="2002"/>
      <c r="O55" s="2002">
        <f>SUM(O51:O53)</f>
        <v>0</v>
      </c>
      <c r="P55" s="2002"/>
      <c r="Q55" s="2002">
        <f>SUM(Q51:Q53)</f>
        <v>0</v>
      </c>
      <c r="R55" s="2002"/>
      <c r="S55" s="2002">
        <f>SUM(S51:S53)</f>
        <v>0</v>
      </c>
    </row>
    <row r="56" spans="1:34">
      <c r="A56" s="1114"/>
      <c r="B56" s="2000"/>
      <c r="C56" s="432"/>
      <c r="D56" s="433"/>
      <c r="E56" s="434"/>
      <c r="F56" s="437" t="s">
        <v>757</v>
      </c>
      <c r="G56" s="438"/>
      <c r="H56" s="2004"/>
      <c r="I56" s="2004">
        <f>I55/'Area Calculations'!$G$4</f>
        <v>0</v>
      </c>
      <c r="J56" s="2004"/>
      <c r="K56" s="2004">
        <f>K55/'Area Calculations'!$G$4</f>
        <v>0</v>
      </c>
      <c r="L56" s="2004"/>
      <c r="M56" s="2004">
        <f>M55/'Area Calculations'!$G$4</f>
        <v>0</v>
      </c>
      <c r="N56" s="2004"/>
      <c r="O56" s="2004">
        <f>O55/'Area Calculations'!$G$4</f>
        <v>0</v>
      </c>
      <c r="P56" s="2004"/>
      <c r="Q56" s="2004">
        <f>Q55/'Area Calculations'!$G$4</f>
        <v>0</v>
      </c>
      <c r="R56" s="2004"/>
      <c r="S56" s="2004">
        <f>S55/'Area Calculations'!$G$4</f>
        <v>0</v>
      </c>
    </row>
    <row r="57" spans="1:34">
      <c r="A57" s="1114"/>
      <c r="B57" s="2000"/>
      <c r="C57" s="432"/>
      <c r="D57" s="433"/>
      <c r="E57" s="434"/>
      <c r="F57" s="437" t="s">
        <v>758</v>
      </c>
      <c r="G57" s="438"/>
      <c r="H57" s="2004"/>
      <c r="I57" s="2004">
        <f>I55/'Area Calculations'!$G$9</f>
        <v>0</v>
      </c>
      <c r="J57" s="2004"/>
      <c r="K57" s="2004">
        <f>K55/'Area Calculations'!$G$9</f>
        <v>0</v>
      </c>
      <c r="L57" s="2004"/>
      <c r="M57" s="2004">
        <f>M55/'Area Calculations'!$G$9</f>
        <v>0</v>
      </c>
      <c r="N57" s="2004"/>
      <c r="O57" s="2004">
        <f>O55/'Area Calculations'!$G$9</f>
        <v>0</v>
      </c>
      <c r="P57" s="2004"/>
      <c r="Q57" s="2004">
        <f>Q55/'Area Calculations'!$G$9</f>
        <v>0</v>
      </c>
      <c r="R57" s="2004"/>
      <c r="S57" s="2004">
        <f>S55/'Area Calculations'!$G$9</f>
        <v>0</v>
      </c>
    </row>
    <row r="58" spans="1:34" ht="15.75" thickBot="1">
      <c r="A58" s="1114"/>
      <c r="B58" s="2000"/>
      <c r="C58" s="432"/>
      <c r="D58" s="433"/>
      <c r="E58" s="434"/>
      <c r="F58" s="439"/>
      <c r="G58" s="436"/>
      <c r="H58" s="2005"/>
      <c r="I58" s="2005"/>
      <c r="J58" s="2005"/>
      <c r="K58" s="2005"/>
      <c r="L58" s="2005"/>
      <c r="M58" s="2005"/>
      <c r="N58" s="2005"/>
      <c r="O58" s="2005"/>
      <c r="P58" s="2005"/>
      <c r="Q58" s="2005"/>
      <c r="R58" s="2005"/>
      <c r="S58" s="2005"/>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2030"/>
      <c r="B60" s="2006"/>
      <c r="C60" s="1396"/>
      <c r="D60" s="2042"/>
      <c r="E60" s="2042"/>
      <c r="F60" s="2042"/>
      <c r="G60" s="2031"/>
      <c r="H60" s="2032"/>
      <c r="I60" s="2057"/>
      <c r="J60" s="2057"/>
      <c r="K60" s="2057"/>
      <c r="L60" s="2057"/>
      <c r="M60" s="2057"/>
      <c r="N60" s="2057"/>
      <c r="O60" s="2057"/>
      <c r="P60" s="2057"/>
      <c r="Q60" s="2057"/>
      <c r="R60" s="2057"/>
      <c r="S60" s="2057"/>
    </row>
    <row r="61" spans="1:34">
      <c r="A61" s="2030"/>
      <c r="B61" s="2006"/>
      <c r="C61" s="1396"/>
      <c r="D61" s="2042"/>
      <c r="E61" s="2042"/>
      <c r="F61" s="2042"/>
      <c r="G61" s="2031"/>
      <c r="H61" s="2032"/>
      <c r="I61" s="2057"/>
      <c r="J61" s="2057"/>
      <c r="K61" s="2057"/>
      <c r="L61" s="2057"/>
      <c r="M61" s="2057"/>
      <c r="N61" s="2057"/>
      <c r="O61" s="2057"/>
      <c r="P61" s="2057"/>
      <c r="Q61" s="2057"/>
      <c r="R61" s="2057"/>
      <c r="S61" s="2057"/>
    </row>
    <row r="62" spans="1:34" ht="15.75" thickBot="1">
      <c r="A62" s="2030"/>
      <c r="B62" s="2006"/>
      <c r="C62" s="1396"/>
      <c r="D62" s="2042"/>
      <c r="E62" s="2042"/>
      <c r="F62" s="2042"/>
      <c r="G62" s="2031"/>
      <c r="H62" s="2032"/>
      <c r="I62" s="2057"/>
      <c r="J62" s="2057"/>
      <c r="K62" s="2057"/>
      <c r="L62" s="2057"/>
      <c r="M62" s="2057"/>
      <c r="N62" s="2057"/>
      <c r="O62" s="2057"/>
      <c r="P62" s="2057"/>
      <c r="Q62" s="2057"/>
      <c r="R62" s="2057"/>
      <c r="S62" s="2057"/>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2030"/>
      <c r="B64" s="2006"/>
      <c r="C64" s="1396"/>
      <c r="D64" s="2042"/>
      <c r="E64" s="2042"/>
      <c r="F64" s="2042"/>
      <c r="G64" s="2031"/>
      <c r="H64" s="2032"/>
      <c r="I64" s="2057"/>
      <c r="J64" s="2057"/>
      <c r="K64" s="2057"/>
      <c r="L64" s="2057"/>
      <c r="M64" s="2057"/>
      <c r="N64" s="2057"/>
      <c r="O64" s="2057"/>
      <c r="P64" s="2057"/>
      <c r="Q64" s="2057"/>
      <c r="R64" s="2057"/>
      <c r="S64" s="2057"/>
      <c r="T64"/>
      <c r="U64"/>
      <c r="V64"/>
      <c r="W64"/>
      <c r="X64"/>
      <c r="Y64"/>
      <c r="Z64"/>
      <c r="AA64"/>
      <c r="AB64"/>
      <c r="AC64"/>
      <c r="AD64"/>
      <c r="AE64"/>
      <c r="AF64"/>
      <c r="AG64"/>
      <c r="AH64"/>
    </row>
    <row r="65" spans="1:34" s="2" customFormat="1">
      <c r="A65" s="2030"/>
      <c r="B65" s="2006"/>
      <c r="C65" s="1396"/>
      <c r="D65" s="2042"/>
      <c r="E65" s="2042"/>
      <c r="F65" s="2042"/>
      <c r="G65" s="2031"/>
      <c r="H65" s="2032"/>
      <c r="I65" s="2057"/>
      <c r="J65" s="2057"/>
      <c r="K65" s="2057"/>
      <c r="L65" s="2057"/>
      <c r="M65" s="2057"/>
      <c r="N65" s="2057"/>
      <c r="O65" s="2057"/>
      <c r="P65" s="2057"/>
      <c r="Q65" s="2057"/>
      <c r="R65" s="2057"/>
      <c r="S65" s="2057"/>
      <c r="T65"/>
      <c r="U65"/>
      <c r="V65"/>
      <c r="W65"/>
      <c r="X65"/>
      <c r="Y65"/>
      <c r="Z65"/>
      <c r="AA65"/>
      <c r="AB65"/>
      <c r="AC65"/>
      <c r="AD65"/>
      <c r="AE65"/>
      <c r="AF65"/>
      <c r="AG65"/>
      <c r="AH65"/>
    </row>
    <row r="66" spans="1:34" ht="15.75" thickBot="1">
      <c r="A66" s="2030"/>
      <c r="B66" s="2006"/>
      <c r="C66" s="1396"/>
      <c r="D66" s="2042"/>
      <c r="E66" s="2042"/>
      <c r="F66" s="2042"/>
      <c r="G66" s="2031"/>
      <c r="H66" s="2032"/>
      <c r="I66" s="2057"/>
      <c r="J66" s="2057"/>
      <c r="K66" s="2057"/>
      <c r="L66" s="2057"/>
      <c r="M66" s="2057"/>
      <c r="N66" s="2057"/>
      <c r="O66" s="2057"/>
      <c r="P66" s="2057"/>
      <c r="Q66" s="2057"/>
      <c r="R66" s="2057"/>
      <c r="S66" s="2057"/>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2030"/>
      <c r="B68" s="2006"/>
      <c r="C68" s="1396"/>
      <c r="D68" s="2042"/>
      <c r="E68" s="2042"/>
      <c r="F68" s="2042"/>
      <c r="G68" s="2031"/>
      <c r="H68" s="2032"/>
      <c r="I68" s="2057"/>
      <c r="J68" s="2057"/>
      <c r="K68" s="2057"/>
      <c r="L68" s="2057"/>
      <c r="M68" s="2057"/>
      <c r="N68" s="2057"/>
      <c r="O68" s="2057"/>
      <c r="P68" s="2057"/>
      <c r="Q68" s="2057"/>
      <c r="R68" s="2057"/>
      <c r="S68" s="2057"/>
      <c r="T68"/>
      <c r="U68"/>
      <c r="V68"/>
      <c r="W68"/>
      <c r="X68"/>
      <c r="Y68"/>
      <c r="Z68"/>
      <c r="AA68"/>
      <c r="AB68"/>
      <c r="AC68"/>
      <c r="AD68"/>
      <c r="AE68"/>
      <c r="AF68"/>
      <c r="AG68"/>
      <c r="AH68"/>
    </row>
    <row r="69" spans="1:34" s="2" customFormat="1">
      <c r="A69" s="1124"/>
      <c r="B69" s="2006"/>
      <c r="C69" s="415"/>
      <c r="D69" s="422"/>
      <c r="E69" s="422"/>
      <c r="F69" s="422"/>
      <c r="G69" s="831"/>
      <c r="H69" s="440"/>
      <c r="I69" s="2007"/>
      <c r="J69" s="2007"/>
      <c r="K69" s="2007"/>
      <c r="L69" s="2007"/>
      <c r="M69" s="2007"/>
      <c r="N69" s="2007"/>
      <c r="O69" s="2007"/>
      <c r="P69" s="2007"/>
      <c r="Q69" s="2007"/>
      <c r="R69" s="2007"/>
      <c r="S69" s="2007"/>
      <c r="T69"/>
      <c r="U69"/>
      <c r="V69"/>
      <c r="W69"/>
      <c r="X69"/>
      <c r="Y69"/>
      <c r="Z69"/>
      <c r="AA69"/>
      <c r="AB69"/>
      <c r="AC69"/>
      <c r="AD69"/>
      <c r="AE69"/>
      <c r="AF69"/>
      <c r="AG69"/>
      <c r="AH69"/>
    </row>
    <row r="70" spans="1:34" s="2" customFormat="1" ht="15.75" thickBot="1">
      <c r="A70" s="1126"/>
      <c r="B70" s="2008"/>
      <c r="C70" s="415"/>
      <c r="D70" s="422"/>
      <c r="E70" s="422"/>
      <c r="F70" s="422"/>
      <c r="G70" s="831"/>
      <c r="H70" s="441"/>
      <c r="I70" s="2009"/>
      <c r="J70" s="2009"/>
      <c r="K70" s="2009"/>
      <c r="L70" s="2009"/>
      <c r="M70" s="2009"/>
      <c r="N70" s="2009"/>
      <c r="O70" s="2009"/>
      <c r="P70" s="2009"/>
      <c r="Q70" s="2009"/>
      <c r="R70" s="2009"/>
      <c r="S70" s="2009"/>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2034"/>
      <c r="B72" s="2059"/>
      <c r="C72" s="1396"/>
      <c r="D72" s="2042"/>
      <c r="E72" s="2042"/>
      <c r="F72" s="2042"/>
      <c r="G72" s="2031"/>
      <c r="H72" s="2032"/>
      <c r="I72" s="2057"/>
      <c r="J72" s="2057"/>
      <c r="K72" s="2057"/>
      <c r="L72" s="2057"/>
      <c r="M72" s="2057"/>
      <c r="N72" s="2057"/>
      <c r="O72" s="2057"/>
      <c r="P72" s="2057"/>
      <c r="Q72" s="2057"/>
      <c r="R72" s="2057"/>
      <c r="S72" s="2057"/>
      <c r="T72" s="2"/>
      <c r="U72" s="2"/>
      <c r="V72" s="2"/>
      <c r="W72" s="2"/>
      <c r="X72" s="2"/>
      <c r="Y72" s="2"/>
      <c r="Z72" s="2"/>
      <c r="AA72" s="2"/>
      <c r="AB72" s="2"/>
      <c r="AC72" s="2"/>
      <c r="AD72" s="2"/>
      <c r="AE72" s="2"/>
      <c r="AF72" s="2"/>
      <c r="AG72" s="2"/>
      <c r="AH72" s="2"/>
    </row>
    <row r="73" spans="1:34">
      <c r="A73" s="1126"/>
      <c r="B73" s="2008"/>
      <c r="C73" s="415"/>
      <c r="D73" s="422"/>
      <c r="E73" s="422"/>
      <c r="F73" s="422"/>
      <c r="G73" s="831"/>
      <c r="H73" s="442"/>
      <c r="I73" s="2010"/>
      <c r="J73" s="2010"/>
      <c r="K73" s="2010"/>
      <c r="L73" s="2010"/>
      <c r="M73" s="2010"/>
      <c r="N73" s="2010"/>
      <c r="O73" s="2010"/>
      <c r="P73" s="2010"/>
      <c r="Q73" s="2010"/>
      <c r="R73" s="2010"/>
      <c r="S73" s="2010"/>
      <c r="T73" s="2"/>
      <c r="U73" s="2"/>
      <c r="V73" s="2"/>
      <c r="W73" s="2"/>
      <c r="X73" s="2"/>
      <c r="Y73" s="2"/>
      <c r="Z73" s="2"/>
      <c r="AA73" s="2"/>
      <c r="AB73" s="2"/>
      <c r="AC73" s="2"/>
      <c r="AD73" s="2"/>
      <c r="AE73" s="2"/>
      <c r="AF73" s="2"/>
      <c r="AG73" s="2"/>
      <c r="AH73" s="2"/>
    </row>
    <row r="74" spans="1:34" ht="15.75" thickBot="1">
      <c r="A74" s="1126"/>
      <c r="B74" s="2008"/>
      <c r="C74" s="415"/>
      <c r="D74" s="422"/>
      <c r="E74" s="422"/>
      <c r="F74" s="422"/>
      <c r="G74" s="831"/>
      <c r="H74" s="442"/>
      <c r="I74" s="2010"/>
      <c r="J74" s="2010"/>
      <c r="K74" s="2010"/>
      <c r="L74" s="2010"/>
      <c r="M74" s="2010"/>
      <c r="N74" s="2010"/>
      <c r="O74" s="2010"/>
      <c r="P74" s="2010"/>
      <c r="Q74" s="2010"/>
      <c r="R74" s="2010"/>
      <c r="S74" s="2010"/>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2006" t="s">
        <v>764</v>
      </c>
      <c r="C76" s="415"/>
      <c r="D76" s="422"/>
      <c r="E76" s="422"/>
      <c r="F76" s="422"/>
      <c r="G76" s="831"/>
      <c r="H76" s="442"/>
      <c r="I76" s="2010"/>
      <c r="J76" s="2010"/>
      <c r="K76" s="2010"/>
      <c r="L76" s="2010"/>
      <c r="M76" s="2010"/>
      <c r="N76" s="2010"/>
      <c r="O76" s="2010"/>
      <c r="P76" s="2010"/>
      <c r="Q76" s="2010"/>
      <c r="R76" s="2010"/>
      <c r="S76" s="2010"/>
    </row>
    <row r="77" spans="1:34">
      <c r="A77" s="1124"/>
      <c r="B77" s="2006" t="s">
        <v>765</v>
      </c>
      <c r="C77" s="415"/>
      <c r="D77" s="422"/>
      <c r="E77" s="422"/>
      <c r="F77" s="422"/>
      <c r="G77" s="831"/>
      <c r="H77" s="442"/>
      <c r="I77" s="2010"/>
      <c r="J77" s="2010"/>
      <c r="K77" s="2010"/>
      <c r="L77" s="2010"/>
      <c r="M77" s="2010"/>
      <c r="N77" s="2010"/>
      <c r="O77" s="2010"/>
      <c r="P77" s="2010"/>
      <c r="Q77" s="2010"/>
      <c r="R77" s="2010"/>
      <c r="S77" s="2010"/>
    </row>
    <row r="78" spans="1:34">
      <c r="A78" s="1124"/>
      <c r="B78" s="2006" t="s">
        <v>766</v>
      </c>
      <c r="C78" s="415"/>
      <c r="D78" s="422"/>
      <c r="E78" s="422"/>
      <c r="F78" s="422"/>
      <c r="G78" s="831"/>
      <c r="H78" s="442"/>
      <c r="I78" s="2010"/>
      <c r="J78" s="2010"/>
      <c r="K78" s="2010"/>
      <c r="L78" s="2010"/>
      <c r="M78" s="2010"/>
      <c r="N78" s="2010"/>
      <c r="O78" s="2010"/>
      <c r="P78" s="2010"/>
      <c r="Q78" s="2010"/>
      <c r="R78" s="2010"/>
      <c r="S78" s="2010"/>
    </row>
    <row r="79" spans="1:34">
      <c r="A79" s="1124"/>
      <c r="B79" s="2006" t="s">
        <v>767</v>
      </c>
      <c r="C79" s="415"/>
      <c r="D79" s="422"/>
      <c r="E79" s="422"/>
      <c r="F79" s="422"/>
      <c r="G79" s="831"/>
      <c r="H79" s="442"/>
      <c r="I79" s="2010"/>
      <c r="J79" s="2010"/>
      <c r="K79" s="2010"/>
      <c r="L79" s="2010"/>
      <c r="M79" s="2010"/>
      <c r="N79" s="2010"/>
      <c r="O79" s="2010"/>
      <c r="P79" s="2010"/>
      <c r="Q79" s="2010"/>
      <c r="R79" s="2010"/>
      <c r="S79" s="2010"/>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2030"/>
      <c r="B82" s="2060" t="s">
        <v>769</v>
      </c>
      <c r="C82" s="1396"/>
      <c r="D82" s="2042"/>
      <c r="E82" s="2042"/>
      <c r="F82" s="2042"/>
      <c r="G82" s="2031"/>
      <c r="H82" s="2037"/>
      <c r="I82" s="2062"/>
      <c r="J82" s="2062"/>
      <c r="K82" s="2062"/>
      <c r="L82" s="2062"/>
      <c r="M82" s="2062"/>
      <c r="N82" s="2062"/>
      <c r="O82" s="2062"/>
      <c r="P82" s="2062"/>
      <c r="Q82" s="2062"/>
      <c r="R82" s="2062"/>
      <c r="S82" s="2062"/>
    </row>
    <row r="83" spans="1:19">
      <c r="A83" s="1124"/>
      <c r="B83" s="2006" t="s">
        <v>770</v>
      </c>
      <c r="C83" s="415"/>
      <c r="D83" s="422"/>
      <c r="E83" s="422"/>
      <c r="F83" s="422"/>
      <c r="G83" s="831"/>
      <c r="H83" s="445"/>
      <c r="I83" s="2011"/>
      <c r="J83" s="2011"/>
      <c r="K83" s="2011"/>
      <c r="L83" s="2011"/>
      <c r="M83" s="2011"/>
      <c r="N83" s="2011"/>
      <c r="O83" s="2011"/>
      <c r="P83" s="2011"/>
      <c r="Q83" s="2011"/>
      <c r="R83" s="2011"/>
      <c r="S83" s="2011"/>
    </row>
    <row r="84" spans="1:19" ht="15.75" thickBot="1">
      <c r="A84" s="1183"/>
      <c r="B84" s="1184" t="s">
        <v>771</v>
      </c>
      <c r="C84" s="1185"/>
      <c r="D84" s="1186"/>
      <c r="E84" s="1186"/>
      <c r="F84" s="1186"/>
      <c r="G84" s="1187"/>
      <c r="H84" s="1188"/>
      <c r="I84" s="1189"/>
      <c r="J84" s="1189"/>
      <c r="K84" s="1189"/>
      <c r="L84" s="1189"/>
      <c r="M84" s="1189"/>
      <c r="N84" s="1189"/>
      <c r="O84" s="1189"/>
      <c r="P84" s="1189"/>
      <c r="Q84" s="1189"/>
      <c r="R84" s="1189"/>
      <c r="S84" s="1189"/>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2039"/>
      <c r="F87" s="2"/>
      <c r="G87" s="2"/>
      <c r="H87" s="2"/>
      <c r="I87" s="2"/>
      <c r="J87" s="2"/>
      <c r="K87" s="2"/>
      <c r="L87" s="2"/>
      <c r="M87" s="2"/>
      <c r="N87" s="2"/>
      <c r="O87" s="2"/>
      <c r="P87" s="2"/>
      <c r="Q87" s="2"/>
      <c r="R87" s="2"/>
      <c r="S87" s="2"/>
    </row>
    <row r="88" spans="1:19">
      <c r="A88" s="1142" t="s">
        <v>702</v>
      </c>
      <c r="B88" s="2039"/>
      <c r="F88" s="2"/>
      <c r="G88" s="2"/>
      <c r="H88" s="2"/>
      <c r="I88" s="2"/>
      <c r="J88" s="2"/>
      <c r="K88" s="2"/>
      <c r="L88" s="2"/>
      <c r="M88" s="2"/>
      <c r="N88" s="2"/>
      <c r="O88" s="2"/>
      <c r="P88" s="2"/>
      <c r="Q88" s="2"/>
      <c r="R88" s="2"/>
      <c r="S88" s="2"/>
    </row>
    <row r="89" spans="1:19">
      <c r="A89" s="2013" t="s">
        <v>708</v>
      </c>
      <c r="B89" s="2014"/>
      <c r="F89" s="2"/>
      <c r="G89" s="2"/>
      <c r="H89" s="2"/>
      <c r="I89" s="2"/>
      <c r="J89" s="2"/>
      <c r="K89" s="2"/>
      <c r="L89" s="2"/>
      <c r="M89" s="2"/>
      <c r="N89" s="2"/>
      <c r="O89" s="2"/>
      <c r="P89" s="2"/>
      <c r="Q89" s="2"/>
      <c r="R89" s="2"/>
      <c r="S89" s="2"/>
    </row>
    <row r="90" spans="1:19">
      <c r="A90" s="2013" t="s">
        <v>713</v>
      </c>
      <c r="B90" s="2015"/>
      <c r="F90" s="2"/>
      <c r="G90" s="2"/>
      <c r="H90" s="2"/>
      <c r="I90" s="2"/>
      <c r="J90" s="2"/>
      <c r="K90" s="2"/>
      <c r="L90" s="2"/>
      <c r="M90" s="2"/>
      <c r="N90" s="2"/>
      <c r="O90" s="2"/>
      <c r="P90" s="2"/>
      <c r="Q90" s="2"/>
      <c r="R90" s="2"/>
      <c r="S90" s="2"/>
    </row>
    <row r="91" spans="1:19" ht="15.75" thickBot="1">
      <c r="A91" s="1194" t="s">
        <v>69</v>
      </c>
      <c r="B91" s="1195"/>
      <c r="F91" s="2"/>
      <c r="G91" s="2"/>
      <c r="H91" s="2"/>
      <c r="I91" s="2"/>
      <c r="J91" s="2"/>
      <c r="K91" s="2"/>
      <c r="L91" s="2"/>
      <c r="M91" s="2"/>
      <c r="N91" s="2"/>
      <c r="O91" s="2"/>
      <c r="P91" s="2"/>
      <c r="Q91" s="2"/>
      <c r="R91" s="2"/>
      <c r="S91" s="2"/>
    </row>
    <row r="92" spans="1:19" ht="15.75" thickTop="1"/>
  </sheetData>
  <mergeCells count="41">
    <mergeCell ref="A59:B59"/>
    <mergeCell ref="A63:B63"/>
    <mergeCell ref="A67:B67"/>
    <mergeCell ref="A71:B71"/>
    <mergeCell ref="A75:B75"/>
    <mergeCell ref="N5:O5"/>
    <mergeCell ref="N6:O6"/>
    <mergeCell ref="N7:O7"/>
    <mergeCell ref="N8:O8"/>
    <mergeCell ref="N9:O9"/>
    <mergeCell ref="R4:S4"/>
    <mergeCell ref="H4:I4"/>
    <mergeCell ref="J4:K4"/>
    <mergeCell ref="L4:M4"/>
    <mergeCell ref="N4:O4"/>
    <mergeCell ref="P4:Q4"/>
    <mergeCell ref="H5:I5"/>
    <mergeCell ref="H6:I6"/>
    <mergeCell ref="H7:I7"/>
    <mergeCell ref="H8:I8"/>
    <mergeCell ref="H9:I9"/>
    <mergeCell ref="J5:K5"/>
    <mergeCell ref="J6:K6"/>
    <mergeCell ref="J7:K7"/>
    <mergeCell ref="J8:K8"/>
    <mergeCell ref="J9:K9"/>
    <mergeCell ref="L5:M5"/>
    <mergeCell ref="L6:M6"/>
    <mergeCell ref="L7:M7"/>
    <mergeCell ref="L8:M8"/>
    <mergeCell ref="L9:M9"/>
    <mergeCell ref="P5:Q5"/>
    <mergeCell ref="P6:Q6"/>
    <mergeCell ref="P7:Q7"/>
    <mergeCell ref="P8:Q8"/>
    <mergeCell ref="P9:Q9"/>
    <mergeCell ref="R5:S5"/>
    <mergeCell ref="R6:S6"/>
    <mergeCell ref="R7:S7"/>
    <mergeCell ref="R8:S8"/>
    <mergeCell ref="R9:S9"/>
  </mergeCells>
  <conditionalFormatting sqref="H11:H18 J11:J18 L11:L18 N11:N18 P11:P18 R11:R18">
    <cfRule type="cellIs" dxfId="45" priority="13" operator="equal">
      <formula>"X"</formula>
    </cfRule>
    <cfRule type="cellIs" dxfId="44" priority="14" operator="equal">
      <formula>"I"</formula>
    </cfRule>
  </conditionalFormatting>
  <conditionalFormatting sqref="H20:H50">
    <cfRule type="cellIs" dxfId="43" priority="1" operator="equal">
      <formula>"X"</formula>
    </cfRule>
    <cfRule type="cellIs" dxfId="42" priority="2" operator="equal">
      <formula>"I"</formula>
    </cfRule>
  </conditionalFormatting>
  <conditionalFormatting sqref="J20:J50">
    <cfRule type="cellIs" dxfId="41" priority="3" operator="equal">
      <formula>"X"</formula>
    </cfRule>
    <cfRule type="cellIs" dxfId="40" priority="4" operator="equal">
      <formula>"I"</formula>
    </cfRule>
  </conditionalFormatting>
  <conditionalFormatting sqref="L20:L50">
    <cfRule type="cellIs" dxfId="39" priority="5" operator="equal">
      <formula>"X"</formula>
    </cfRule>
    <cfRule type="cellIs" dxfId="38" priority="6" operator="equal">
      <formula>"I"</formula>
    </cfRule>
  </conditionalFormatting>
  <conditionalFormatting sqref="N20:N50">
    <cfRule type="cellIs" dxfId="37" priority="7" operator="equal">
      <formula>"X"</formula>
    </cfRule>
    <cfRule type="cellIs" dxfId="36" priority="8" operator="equal">
      <formula>"I"</formula>
    </cfRule>
  </conditionalFormatting>
  <conditionalFormatting sqref="P20:P50">
    <cfRule type="cellIs" dxfId="35" priority="9" operator="equal">
      <formula>"X"</formula>
    </cfRule>
    <cfRule type="cellIs" dxfId="34" priority="10" operator="equal">
      <formula>"I"</formula>
    </cfRule>
  </conditionalFormatting>
  <conditionalFormatting sqref="R20:R50">
    <cfRule type="cellIs" dxfId="33" priority="11" operator="equal">
      <formula>"X"</formula>
    </cfRule>
    <cfRule type="cellIs" dxfId="32" priority="12" operator="equal">
      <formula>"I"</formula>
    </cfRule>
  </conditionalFormatting>
  <hyperlinks>
    <hyperlink ref="B4" location="'Cost Summary'!A1" display="BACK TO SUMMARY SHEET" xr:uid="{48851F71-EC8B-4041-BB97-3F3A1835B586}"/>
  </hyperlinks>
  <pageMargins left="0.7" right="0.7" top="0.75" bottom="0.75" header="0.3" footer="0.3"/>
  <pageSetup scale="70" orientation="portrait" horizontalDpi="300" verticalDpi="30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B25A-5C54-4BD4-B5A9-2BB95FD63A8A}">
  <sheetPr>
    <tabColor rgb="FF00B0F0"/>
  </sheetPr>
  <dimension ref="A1:AO93"/>
  <sheetViews>
    <sheetView zoomScale="90" zoomScaleNormal="90" workbookViewId="0">
      <pane xSplit="2" ySplit="10" topLeftCell="C11" activePane="bottomRight" state="frozen"/>
      <selection pane="topRight" activeCell="C1" sqref="C1"/>
      <selection pane="bottomLeft" activeCell="A11" sqref="A11"/>
      <selection pane="bottomRight"/>
    </sheetView>
  </sheetViews>
  <sheetFormatPr defaultRowHeight="15"/>
  <cols>
    <col min="1" max="1" width="11" customWidth="1"/>
    <col min="2" max="2" width="70.7109375" style="1" customWidth="1"/>
    <col min="3" max="3" width="12.7109375" style="2" customWidth="1"/>
    <col min="4" max="4" width="12.7109375" style="260" customWidth="1"/>
    <col min="5" max="5" width="7.7109375" style="68"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F1" s="275"/>
      <c r="G1" s="269" t="s">
        <v>679</v>
      </c>
      <c r="X1" s="261"/>
    </row>
    <row r="2" spans="1:24">
      <c r="F2" s="276" t="s">
        <v>680</v>
      </c>
      <c r="G2" s="269" t="s">
        <v>681</v>
      </c>
      <c r="X2" s="261"/>
    </row>
    <row r="3" spans="1:24" ht="15.75" thickBot="1">
      <c r="F3" s="277" t="s">
        <v>682</v>
      </c>
      <c r="G3" s="269" t="s">
        <v>683</v>
      </c>
      <c r="X3" s="261"/>
    </row>
    <row r="4" spans="1:24" ht="15.75" thickBot="1">
      <c r="B4" s="262" t="s">
        <v>684</v>
      </c>
      <c r="F4" s="278"/>
      <c r="G4" s="270" t="s">
        <v>685</v>
      </c>
      <c r="H4" s="2323" t="s">
        <v>686</v>
      </c>
      <c r="I4" s="2324"/>
      <c r="J4" s="2319" t="s">
        <v>689</v>
      </c>
      <c r="K4" s="2320"/>
      <c r="L4" s="2319" t="s">
        <v>687</v>
      </c>
      <c r="M4" s="2320"/>
      <c r="N4" s="2319" t="s">
        <v>688</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t="s">
        <v>2820</v>
      </c>
      <c r="I5" s="2322"/>
      <c r="J5" s="2321" t="s">
        <v>2821</v>
      </c>
      <c r="K5" s="2322"/>
      <c r="L5" s="2321" t="s">
        <v>2822</v>
      </c>
      <c r="M5" s="2322"/>
      <c r="N5" s="2321" t="s">
        <v>2823</v>
      </c>
      <c r="O5" s="2322"/>
      <c r="P5" s="2333"/>
      <c r="Q5" s="2334"/>
      <c r="R5" s="2333"/>
      <c r="S5" s="2334"/>
      <c r="X5" s="261"/>
    </row>
    <row r="6" spans="1:24">
      <c r="A6" s="1082" t="s">
        <v>700</v>
      </c>
      <c r="B6" s="2016" t="s">
        <v>2824</v>
      </c>
      <c r="C6" s="415"/>
      <c r="D6" s="416"/>
      <c r="E6" s="417"/>
      <c r="F6" s="418"/>
      <c r="G6" s="419" t="s">
        <v>702</v>
      </c>
      <c r="H6" s="2325" t="s">
        <v>2825</v>
      </c>
      <c r="I6" s="2326"/>
      <c r="J6" s="2325" t="s">
        <v>2826</v>
      </c>
      <c r="K6" s="2326"/>
      <c r="L6" s="2325" t="s">
        <v>2827</v>
      </c>
      <c r="M6" s="2326"/>
      <c r="N6" s="2325" t="s">
        <v>2828</v>
      </c>
      <c r="O6" s="2326"/>
      <c r="P6" s="2313"/>
      <c r="Q6" s="2314"/>
      <c r="R6" s="2313"/>
      <c r="S6" s="2314"/>
      <c r="X6" s="261"/>
    </row>
    <row r="7" spans="1:24">
      <c r="A7" s="1082" t="s">
        <v>706</v>
      </c>
      <c r="B7" s="2017" t="s">
        <v>374</v>
      </c>
      <c r="C7" s="415"/>
      <c r="D7" s="416"/>
      <c r="E7" s="417"/>
      <c r="F7" s="418"/>
      <c r="G7" s="829" t="s">
        <v>708</v>
      </c>
      <c r="H7" s="2325" t="s">
        <v>2829</v>
      </c>
      <c r="I7" s="2326"/>
      <c r="J7" s="2325" t="s">
        <v>2830</v>
      </c>
      <c r="K7" s="2326"/>
      <c r="L7" s="2325" t="s">
        <v>2831</v>
      </c>
      <c r="M7" s="2326"/>
      <c r="N7" s="2325" t="s">
        <v>2832</v>
      </c>
      <c r="O7" s="2326"/>
      <c r="P7" s="2313"/>
      <c r="Q7" s="2314"/>
      <c r="R7" s="2313"/>
      <c r="S7" s="2314"/>
      <c r="X7" s="261"/>
    </row>
    <row r="8" spans="1:24">
      <c r="A8" s="1082" t="s">
        <v>712</v>
      </c>
      <c r="B8" s="2018"/>
      <c r="C8" s="415"/>
      <c r="D8" s="416"/>
      <c r="E8" s="417"/>
      <c r="F8" s="418"/>
      <c r="G8" s="829" t="s">
        <v>713</v>
      </c>
      <c r="H8" s="2327" t="s">
        <v>2833</v>
      </c>
      <c r="I8" s="2328"/>
      <c r="J8" s="2327" t="s">
        <v>2834</v>
      </c>
      <c r="K8" s="2328"/>
      <c r="L8" s="2327" t="s">
        <v>2835</v>
      </c>
      <c r="M8" s="2328"/>
      <c r="N8" s="2327" t="s">
        <v>2836</v>
      </c>
      <c r="O8" s="2328"/>
      <c r="P8" s="2315"/>
      <c r="Q8" s="2316"/>
      <c r="R8" s="2315"/>
      <c r="S8" s="2316"/>
      <c r="X8" s="261"/>
    </row>
    <row r="9" spans="1:24" ht="15.75" thickBot="1">
      <c r="A9" s="420"/>
      <c r="B9" s="421"/>
      <c r="C9" s="23"/>
      <c r="D9" s="265"/>
      <c r="E9" s="266"/>
      <c r="F9" s="283"/>
      <c r="G9" s="284" t="s">
        <v>717</v>
      </c>
      <c r="H9" s="2317">
        <f>I56</f>
        <v>126191.82</v>
      </c>
      <c r="I9" s="2318"/>
      <c r="J9" s="2330">
        <f>K56</f>
        <v>150446</v>
      </c>
      <c r="K9" s="2330"/>
      <c r="L9" s="2317">
        <f>M56</f>
        <v>158909</v>
      </c>
      <c r="M9" s="2318"/>
      <c r="N9" s="2317">
        <f>O56</f>
        <v>0</v>
      </c>
      <c r="O9" s="2318"/>
      <c r="P9" s="2317">
        <f>Q56</f>
        <v>0</v>
      </c>
      <c r="Q9" s="2318"/>
      <c r="R9" s="2317">
        <f>S56</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2040"/>
      <c r="B11" s="2064" t="s">
        <v>725</v>
      </c>
      <c r="C11" s="1398"/>
      <c r="D11" s="2084"/>
      <c r="E11" s="2085"/>
      <c r="F11" s="2043"/>
      <c r="G11" s="2044"/>
      <c r="H11" s="2068"/>
      <c r="I11" s="2046"/>
      <c r="J11" s="2068"/>
      <c r="K11" s="2047"/>
      <c r="L11" s="2068"/>
      <c r="M11" s="285"/>
      <c r="N11" s="2068"/>
      <c r="O11" s="2047"/>
      <c r="P11" s="2068"/>
      <c r="Q11" s="2047"/>
      <c r="R11" s="2068"/>
      <c r="S11" s="2047"/>
    </row>
    <row r="12" spans="1:24">
      <c r="A12" s="2040"/>
      <c r="B12" s="2019" t="s">
        <v>726</v>
      </c>
      <c r="C12" s="446"/>
      <c r="D12" s="416"/>
      <c r="E12" s="417"/>
      <c r="F12" s="418"/>
      <c r="G12" s="423"/>
      <c r="H12" s="2020" t="s">
        <v>727</v>
      </c>
      <c r="I12" s="2046"/>
      <c r="J12" s="2020"/>
      <c r="K12" s="2047"/>
      <c r="L12" s="2020"/>
      <c r="M12" s="2047"/>
      <c r="N12" s="2020"/>
      <c r="O12" s="2047"/>
      <c r="P12" s="2020"/>
      <c r="Q12" s="2047"/>
      <c r="R12" s="2020"/>
      <c r="S12" s="2047"/>
    </row>
    <row r="13" spans="1:24">
      <c r="A13" s="1097"/>
      <c r="B13" s="2019" t="s">
        <v>728</v>
      </c>
      <c r="C13" s="446"/>
      <c r="D13" s="416"/>
      <c r="E13" s="417"/>
      <c r="F13" s="418"/>
      <c r="G13" s="423"/>
      <c r="H13" s="2020" t="s">
        <v>727</v>
      </c>
      <c r="I13" s="2046"/>
      <c r="J13" s="2020"/>
      <c r="K13" s="2047"/>
      <c r="L13" s="2020"/>
      <c r="M13" s="2047"/>
      <c r="N13" s="2020"/>
      <c r="O13" s="2047"/>
      <c r="P13" s="2020"/>
      <c r="Q13" s="2047"/>
      <c r="R13" s="2020"/>
      <c r="S13" s="2047"/>
    </row>
    <row r="14" spans="1:24">
      <c r="A14" s="2040"/>
      <c r="B14" s="2021" t="s">
        <v>729</v>
      </c>
      <c r="C14" s="446"/>
      <c r="D14" s="416"/>
      <c r="E14" s="417"/>
      <c r="F14" s="418"/>
      <c r="G14" s="423"/>
      <c r="H14" s="2020" t="s">
        <v>730</v>
      </c>
      <c r="I14" s="2072" t="s">
        <v>837</v>
      </c>
      <c r="J14" s="2020"/>
      <c r="K14" s="2047"/>
      <c r="L14" s="2020"/>
      <c r="M14" s="2047"/>
      <c r="N14" s="2020"/>
      <c r="O14" s="2047"/>
      <c r="P14" s="2020"/>
      <c r="Q14" s="2047"/>
      <c r="R14" s="2020"/>
      <c r="S14" s="2047"/>
    </row>
    <row r="15" spans="1:24">
      <c r="A15" s="1097"/>
      <c r="B15" s="2021" t="s">
        <v>731</v>
      </c>
      <c r="C15" s="446"/>
      <c r="D15" s="416"/>
      <c r="E15" s="417"/>
      <c r="F15" s="418"/>
      <c r="G15" s="423"/>
      <c r="H15" s="2020" t="s">
        <v>727</v>
      </c>
      <c r="I15" s="2046"/>
      <c r="J15" s="2020"/>
      <c r="K15" s="2046"/>
      <c r="L15" s="2020"/>
      <c r="M15" s="2046"/>
      <c r="N15" s="2020"/>
      <c r="O15" s="2046"/>
      <c r="P15" s="2020"/>
      <c r="Q15" s="2046"/>
      <c r="R15" s="2020"/>
      <c r="S15" s="2046"/>
    </row>
    <row r="16" spans="1:24">
      <c r="A16" s="2040"/>
      <c r="B16" s="2021" t="s">
        <v>732</v>
      </c>
      <c r="C16" s="446"/>
      <c r="D16" s="416"/>
      <c r="E16" s="417"/>
      <c r="F16" s="418"/>
      <c r="G16" s="423"/>
      <c r="H16" s="2020" t="s">
        <v>727</v>
      </c>
      <c r="I16" s="2046"/>
      <c r="J16" s="2020"/>
      <c r="K16" s="2047"/>
      <c r="L16" s="2020"/>
      <c r="M16" s="2047"/>
      <c r="N16" s="2020"/>
      <c r="O16" s="2047"/>
      <c r="P16" s="2020"/>
      <c r="Q16" s="2047"/>
      <c r="R16" s="2020"/>
      <c r="S16" s="2047"/>
    </row>
    <row r="17" spans="1:41">
      <c r="A17" s="1097"/>
      <c r="B17" s="2021" t="s">
        <v>733</v>
      </c>
      <c r="C17" s="446"/>
      <c r="D17" s="416"/>
      <c r="E17" s="417"/>
      <c r="F17" s="418"/>
      <c r="G17" s="423"/>
      <c r="H17" s="2020" t="s">
        <v>727</v>
      </c>
      <c r="I17" s="2046"/>
      <c r="J17" s="2020"/>
      <c r="K17" s="2047"/>
      <c r="L17" s="2020"/>
      <c r="M17" s="2047"/>
      <c r="N17" s="2020"/>
      <c r="O17" s="2047"/>
      <c r="P17" s="2020"/>
      <c r="Q17" s="2047"/>
      <c r="R17" s="2020"/>
      <c r="S17" s="2047"/>
    </row>
    <row r="18" spans="1:41">
      <c r="A18" s="2040"/>
      <c r="B18" s="534" t="s">
        <v>734</v>
      </c>
      <c r="C18" s="446"/>
      <c r="D18" s="416"/>
      <c r="E18" s="417"/>
      <c r="F18" s="418"/>
      <c r="G18" s="423"/>
      <c r="H18" s="2020" t="s">
        <v>730</v>
      </c>
      <c r="I18" s="2046" t="s">
        <v>1780</v>
      </c>
      <c r="J18" s="2020"/>
      <c r="K18" s="2047"/>
      <c r="L18" s="2020"/>
      <c r="M18" s="2047"/>
      <c r="N18" s="2020"/>
      <c r="O18" s="2047"/>
      <c r="P18" s="2020"/>
      <c r="Q18" s="2047"/>
      <c r="R18" s="2020"/>
      <c r="S18" s="2047"/>
    </row>
    <row r="19" spans="1:41">
      <c r="A19" s="2040"/>
      <c r="B19" s="1988" t="s">
        <v>736</v>
      </c>
      <c r="C19" s="446"/>
      <c r="D19" s="416"/>
      <c r="E19" s="417"/>
      <c r="F19" s="418"/>
      <c r="G19" s="423"/>
      <c r="H19" s="2020"/>
      <c r="I19" s="2046"/>
      <c r="J19" s="2020"/>
      <c r="K19" s="2047"/>
      <c r="L19" s="2020"/>
      <c r="M19" s="2047"/>
      <c r="N19" s="2020"/>
      <c r="O19" s="2047"/>
      <c r="P19" s="2020"/>
      <c r="Q19" s="2047"/>
      <c r="R19" s="2020"/>
      <c r="S19" s="2047"/>
    </row>
    <row r="20" spans="1:41">
      <c r="A20" s="1097"/>
      <c r="B20" s="2023" t="s">
        <v>737</v>
      </c>
      <c r="C20" s="447"/>
      <c r="D20" s="448"/>
      <c r="E20" s="449"/>
      <c r="F20" s="426"/>
      <c r="G20" s="427"/>
      <c r="H20" s="1989"/>
      <c r="I20" s="2024"/>
      <c r="J20" s="1989"/>
      <c r="K20" s="2025"/>
      <c r="L20" s="1989"/>
      <c r="M20" s="2025"/>
      <c r="N20" s="1989"/>
      <c r="O20" s="2025"/>
      <c r="P20" s="1989"/>
      <c r="Q20" s="2025"/>
      <c r="R20" s="1989"/>
      <c r="S20" s="2025"/>
    </row>
    <row r="21" spans="1:41">
      <c r="A21" s="2040"/>
      <c r="B21" s="1104"/>
      <c r="C21" s="70"/>
      <c r="D21" s="265"/>
      <c r="E21" s="266"/>
      <c r="F21" s="280"/>
      <c r="G21" s="274"/>
      <c r="H21" s="2020"/>
      <c r="I21" s="428"/>
      <c r="J21" s="2020"/>
      <c r="K21" s="428"/>
      <c r="L21" s="2020"/>
      <c r="M21" s="428"/>
      <c r="N21" s="2020"/>
      <c r="O21" s="428"/>
      <c r="P21" s="2020"/>
      <c r="Q21" s="428"/>
      <c r="R21" s="2020"/>
      <c r="S21" s="428"/>
    </row>
    <row r="22" spans="1:41" s="69" customFormat="1">
      <c r="A22" s="1097"/>
      <c r="B22" s="2006" t="s">
        <v>2837</v>
      </c>
      <c r="C22" s="415"/>
      <c r="D22" s="416"/>
      <c r="E22" s="417"/>
      <c r="F22" s="429"/>
      <c r="G22" s="423"/>
      <c r="H22" s="2020"/>
      <c r="I22" s="1107">
        <v>99620</v>
      </c>
      <c r="J22" s="2020"/>
      <c r="K22" s="1107">
        <v>124502</v>
      </c>
      <c r="L22" s="2020"/>
      <c r="M22" s="1992">
        <f>128380+4585</f>
        <v>132965</v>
      </c>
      <c r="N22" s="2020"/>
      <c r="O22" s="1992"/>
      <c r="P22" s="2020"/>
      <c r="Q22" s="1107"/>
      <c r="R22" s="2020"/>
      <c r="S22" s="1992"/>
      <c r="T22"/>
      <c r="U22"/>
      <c r="V22"/>
      <c r="W22"/>
      <c r="X22"/>
      <c r="Y22"/>
      <c r="Z22"/>
      <c r="AA22"/>
      <c r="AB22"/>
      <c r="AC22"/>
      <c r="AD22"/>
      <c r="AE22"/>
      <c r="AF22"/>
      <c r="AG22"/>
      <c r="AH22"/>
      <c r="AI22"/>
      <c r="AJ22"/>
      <c r="AK22"/>
      <c r="AL22"/>
      <c r="AM22"/>
      <c r="AN22"/>
      <c r="AO22"/>
    </row>
    <row r="23" spans="1:41" s="267" customFormat="1" ht="38.25">
      <c r="A23" s="2040"/>
      <c r="B23" s="2102" t="s">
        <v>2838</v>
      </c>
      <c r="C23" s="2103" t="s">
        <v>2839</v>
      </c>
      <c r="D23" s="2104">
        <v>2943</v>
      </c>
      <c r="E23" s="2105" t="s">
        <v>511</v>
      </c>
      <c r="F23" s="2106">
        <v>30</v>
      </c>
      <c r="G23" s="2107">
        <f t="shared" ref="G23:G28" si="0">D23*F23</f>
        <v>88290</v>
      </c>
      <c r="H23" s="2108" t="s">
        <v>682</v>
      </c>
      <c r="I23" s="2109"/>
      <c r="J23" s="2108" t="s">
        <v>682</v>
      </c>
      <c r="K23" s="2109"/>
      <c r="L23" s="2108" t="s">
        <v>682</v>
      </c>
      <c r="M23" s="2109"/>
      <c r="N23" s="2108"/>
      <c r="O23" s="2109"/>
      <c r="P23" s="2108"/>
      <c r="Q23" s="2109"/>
      <c r="R23" s="2108"/>
      <c r="S23" s="2109"/>
    </row>
    <row r="24" spans="1:41">
      <c r="A24" s="2040"/>
      <c r="B24" s="2076" t="s">
        <v>2840</v>
      </c>
      <c r="C24" s="1396"/>
      <c r="D24" s="2095">
        <v>2943</v>
      </c>
      <c r="E24" s="2085" t="s">
        <v>511</v>
      </c>
      <c r="F24" s="2028"/>
      <c r="G24" s="2029">
        <f t="shared" si="0"/>
        <v>0</v>
      </c>
      <c r="H24" s="2020" t="s">
        <v>682</v>
      </c>
      <c r="I24" s="2047"/>
      <c r="J24" s="2020" t="s">
        <v>682</v>
      </c>
      <c r="K24" s="2047"/>
      <c r="L24" s="2020" t="s">
        <v>682</v>
      </c>
      <c r="M24" s="2047"/>
      <c r="N24" s="2020"/>
      <c r="O24" s="2047"/>
      <c r="P24" s="2020"/>
      <c r="Q24" s="2047"/>
      <c r="R24" s="2020"/>
      <c r="S24" s="2047"/>
    </row>
    <row r="25" spans="1:41">
      <c r="A25" s="2040"/>
      <c r="B25" s="2076" t="s">
        <v>2841</v>
      </c>
      <c r="C25" s="1396"/>
      <c r="D25" s="2095">
        <v>200</v>
      </c>
      <c r="E25" s="2085" t="s">
        <v>529</v>
      </c>
      <c r="F25" s="2028">
        <v>12</v>
      </c>
      <c r="G25" s="2029">
        <f t="shared" si="0"/>
        <v>2400</v>
      </c>
      <c r="H25" s="2020"/>
      <c r="I25" s="2073">
        <f>$G25</f>
        <v>2400</v>
      </c>
      <c r="J25" s="2020"/>
      <c r="K25" s="2073">
        <f>$G25</f>
        <v>2400</v>
      </c>
      <c r="L25" s="2020"/>
      <c r="M25" s="2073">
        <f>$G25</f>
        <v>2400</v>
      </c>
      <c r="N25" s="2020"/>
      <c r="O25" s="2047"/>
      <c r="P25" s="2020"/>
      <c r="Q25" s="2047"/>
      <c r="R25" s="2020"/>
      <c r="S25" s="2047"/>
    </row>
    <row r="26" spans="1:41">
      <c r="A26" s="2040"/>
      <c r="B26" s="2076" t="s">
        <v>2842</v>
      </c>
      <c r="C26" s="1396"/>
      <c r="D26" s="2095">
        <f>D23</f>
        <v>2943</v>
      </c>
      <c r="E26" s="2085" t="s">
        <v>511</v>
      </c>
      <c r="F26" s="2028">
        <v>8</v>
      </c>
      <c r="G26" s="2029">
        <f t="shared" si="0"/>
        <v>23544</v>
      </c>
      <c r="H26" s="2020"/>
      <c r="I26" s="2073">
        <f>$G26</f>
        <v>23544</v>
      </c>
      <c r="J26" s="2020"/>
      <c r="K26" s="2073">
        <f>$G26</f>
        <v>23544</v>
      </c>
      <c r="L26" s="2020"/>
      <c r="M26" s="2073">
        <f>$G26</f>
        <v>23544</v>
      </c>
      <c r="N26" s="2020"/>
      <c r="O26" s="2047"/>
      <c r="P26" s="2020"/>
      <c r="Q26" s="2047"/>
      <c r="R26" s="2020"/>
      <c r="S26" s="2047"/>
    </row>
    <row r="27" spans="1:41">
      <c r="A27" s="2040"/>
      <c r="B27" s="2076" t="s">
        <v>2843</v>
      </c>
      <c r="C27" s="1396"/>
      <c r="D27" s="2095">
        <f>D26/9</f>
        <v>327</v>
      </c>
      <c r="E27" s="2085" t="s">
        <v>2720</v>
      </c>
      <c r="F27" s="2028"/>
      <c r="G27" s="2029">
        <f t="shared" si="0"/>
        <v>0</v>
      </c>
      <c r="H27" s="2020"/>
      <c r="I27" s="2047"/>
      <c r="J27" s="2020"/>
      <c r="K27" s="2047"/>
      <c r="L27" s="2020"/>
      <c r="M27" s="2047"/>
      <c r="N27" s="2020"/>
      <c r="O27" s="2047"/>
      <c r="P27" s="2020"/>
      <c r="Q27" s="2047"/>
      <c r="R27" s="2020"/>
      <c r="S27" s="2047"/>
    </row>
    <row r="28" spans="1:41">
      <c r="A28" s="1097"/>
      <c r="B28" s="2051"/>
      <c r="C28" s="415"/>
      <c r="D28" s="450"/>
      <c r="E28" s="417"/>
      <c r="F28" s="431"/>
      <c r="G28" s="2029">
        <f t="shared" si="0"/>
        <v>0</v>
      </c>
      <c r="H28" s="2020"/>
      <c r="I28" s="2047"/>
      <c r="J28" s="2020"/>
      <c r="K28" s="2047"/>
      <c r="L28" s="2020"/>
      <c r="M28" s="2047"/>
      <c r="N28" s="2020"/>
      <c r="O28" s="2047"/>
      <c r="P28" s="2020"/>
      <c r="Q28" s="2047"/>
      <c r="R28" s="2020"/>
      <c r="S28" s="2047"/>
    </row>
    <row r="29" spans="1:41">
      <c r="A29" s="1097"/>
      <c r="B29" s="2051"/>
      <c r="C29" s="415"/>
      <c r="D29" s="450"/>
      <c r="E29" s="417"/>
      <c r="F29" s="431"/>
      <c r="G29" s="2029">
        <f t="shared" ref="G29:G44" si="1">D29*F29</f>
        <v>0</v>
      </c>
      <c r="H29" s="2020"/>
      <c r="I29" s="2047"/>
      <c r="J29" s="2020"/>
      <c r="K29" s="2047"/>
      <c r="L29" s="2020"/>
      <c r="M29" s="2047"/>
      <c r="N29" s="2020"/>
      <c r="O29" s="2047"/>
      <c r="P29" s="2020"/>
      <c r="Q29" s="2047"/>
      <c r="R29" s="2020"/>
      <c r="S29" s="2047"/>
    </row>
    <row r="30" spans="1:41">
      <c r="A30" s="1097"/>
      <c r="B30" s="2051"/>
      <c r="C30" s="415"/>
      <c r="D30" s="450"/>
      <c r="E30" s="417"/>
      <c r="F30" s="431"/>
      <c r="G30" s="2029">
        <f t="shared" si="1"/>
        <v>0</v>
      </c>
      <c r="H30" s="2020"/>
      <c r="I30" s="2047"/>
      <c r="J30" s="2020"/>
      <c r="K30" s="2047"/>
      <c r="L30" s="2020"/>
      <c r="M30" s="2047"/>
      <c r="N30" s="2020"/>
      <c r="O30" s="2047"/>
      <c r="P30" s="2020"/>
      <c r="Q30" s="2047"/>
      <c r="R30" s="2020"/>
      <c r="S30" s="2047"/>
    </row>
    <row r="31" spans="1:41">
      <c r="A31" s="1097"/>
      <c r="B31" s="2051"/>
      <c r="C31" s="415"/>
      <c r="D31" s="450"/>
      <c r="E31" s="417"/>
      <c r="F31" s="431"/>
      <c r="G31" s="2029">
        <f t="shared" si="1"/>
        <v>0</v>
      </c>
      <c r="H31" s="2020"/>
      <c r="I31" s="2047"/>
      <c r="J31" s="2020"/>
      <c r="K31" s="2047"/>
      <c r="L31" s="2020"/>
      <c r="M31" s="2047"/>
      <c r="N31" s="2020"/>
      <c r="O31" s="2047"/>
      <c r="P31" s="2020"/>
      <c r="Q31" s="2047"/>
      <c r="R31" s="2020"/>
      <c r="S31" s="2047"/>
    </row>
    <row r="32" spans="1:41">
      <c r="A32" s="1097"/>
      <c r="B32" s="2051"/>
      <c r="C32" s="415"/>
      <c r="D32" s="450"/>
      <c r="E32" s="417"/>
      <c r="F32" s="431"/>
      <c r="G32" s="2029">
        <f t="shared" si="1"/>
        <v>0</v>
      </c>
      <c r="H32" s="2020"/>
      <c r="I32" s="2047"/>
      <c r="J32" s="2020"/>
      <c r="K32" s="2047"/>
      <c r="L32" s="2020"/>
      <c r="M32" s="2047"/>
      <c r="N32" s="2020"/>
      <c r="O32" s="2047"/>
      <c r="P32" s="2020"/>
      <c r="Q32" s="2047"/>
      <c r="R32" s="2020"/>
      <c r="S32" s="2047"/>
    </row>
    <row r="33" spans="1:19">
      <c r="A33" s="1097"/>
      <c r="B33" s="2051"/>
      <c r="C33" s="415"/>
      <c r="D33" s="450"/>
      <c r="E33" s="417"/>
      <c r="F33" s="431"/>
      <c r="G33" s="2029">
        <f t="shared" si="1"/>
        <v>0</v>
      </c>
      <c r="H33" s="2020"/>
      <c r="I33" s="2047"/>
      <c r="J33" s="2020"/>
      <c r="K33" s="2047"/>
      <c r="L33" s="2020"/>
      <c r="M33" s="2047"/>
      <c r="N33" s="2020"/>
      <c r="O33" s="2047"/>
      <c r="P33" s="2020"/>
      <c r="Q33" s="2047"/>
      <c r="R33" s="2020"/>
      <c r="S33" s="2047"/>
    </row>
    <row r="34" spans="1:19">
      <c r="A34" s="1097"/>
      <c r="B34" s="2051"/>
      <c r="C34" s="415"/>
      <c r="D34" s="450"/>
      <c r="E34" s="417"/>
      <c r="F34" s="431"/>
      <c r="G34" s="2029">
        <f t="shared" si="1"/>
        <v>0</v>
      </c>
      <c r="H34" s="2020"/>
      <c r="I34" s="2047"/>
      <c r="J34" s="2020"/>
      <c r="K34" s="2047"/>
      <c r="L34" s="2020"/>
      <c r="M34" s="2047"/>
      <c r="N34" s="2020"/>
      <c r="O34" s="2047"/>
      <c r="P34" s="2020"/>
      <c r="Q34" s="2047"/>
      <c r="R34" s="2020"/>
      <c r="S34" s="2047"/>
    </row>
    <row r="35" spans="1:19">
      <c r="A35" s="1097"/>
      <c r="B35" s="2051"/>
      <c r="C35" s="415"/>
      <c r="D35" s="450"/>
      <c r="E35" s="417"/>
      <c r="F35" s="431"/>
      <c r="G35" s="2029">
        <f t="shared" si="1"/>
        <v>0</v>
      </c>
      <c r="H35" s="2020"/>
      <c r="I35" s="2047"/>
      <c r="J35" s="2020"/>
      <c r="K35" s="2047"/>
      <c r="L35" s="2020"/>
      <c r="M35" s="2047"/>
      <c r="N35" s="2020"/>
      <c r="O35" s="2047"/>
      <c r="P35" s="2020"/>
      <c r="Q35" s="2047"/>
      <c r="R35" s="2020"/>
      <c r="S35" s="2047"/>
    </row>
    <row r="36" spans="1:19">
      <c r="A36" s="1097"/>
      <c r="B36" s="2051"/>
      <c r="C36" s="415"/>
      <c r="D36" s="450"/>
      <c r="E36" s="417"/>
      <c r="F36" s="431"/>
      <c r="G36" s="2029">
        <f t="shared" si="1"/>
        <v>0</v>
      </c>
      <c r="H36" s="2020"/>
      <c r="I36" s="2047"/>
      <c r="J36" s="2020"/>
      <c r="K36" s="2047"/>
      <c r="L36" s="2020"/>
      <c r="M36" s="2047"/>
      <c r="N36" s="2020"/>
      <c r="O36" s="2047"/>
      <c r="P36" s="2020"/>
      <c r="Q36" s="2047"/>
      <c r="R36" s="2020"/>
      <c r="S36" s="2047"/>
    </row>
    <row r="37" spans="1:19">
      <c r="A37" s="1097"/>
      <c r="B37" s="2051"/>
      <c r="C37" s="415"/>
      <c r="D37" s="450"/>
      <c r="E37" s="417"/>
      <c r="F37" s="431"/>
      <c r="G37" s="2029">
        <f t="shared" si="1"/>
        <v>0</v>
      </c>
      <c r="H37" s="2020"/>
      <c r="I37" s="2047"/>
      <c r="J37" s="2020"/>
      <c r="K37" s="2047"/>
      <c r="L37" s="2020"/>
      <c r="M37" s="2047"/>
      <c r="N37" s="2020"/>
      <c r="O37" s="2047"/>
      <c r="P37" s="2020"/>
      <c r="Q37" s="2047"/>
      <c r="R37" s="2020"/>
      <c r="S37" s="2047"/>
    </row>
    <row r="38" spans="1:19">
      <c r="A38" s="1097"/>
      <c r="B38" s="2051"/>
      <c r="C38" s="415"/>
      <c r="D38" s="450"/>
      <c r="E38" s="417"/>
      <c r="F38" s="431"/>
      <c r="G38" s="2029">
        <f t="shared" si="1"/>
        <v>0</v>
      </c>
      <c r="H38" s="2020"/>
      <c r="I38" s="2047"/>
      <c r="J38" s="2020"/>
      <c r="K38" s="2047"/>
      <c r="L38" s="2020"/>
      <c r="M38" s="2047"/>
      <c r="N38" s="2020"/>
      <c r="O38" s="2047"/>
      <c r="P38" s="2020"/>
      <c r="Q38" s="2047"/>
      <c r="R38" s="2020"/>
      <c r="S38" s="2047"/>
    </row>
    <row r="39" spans="1:19">
      <c r="A39" s="1097"/>
      <c r="B39" s="2051"/>
      <c r="C39" s="415"/>
      <c r="D39" s="450"/>
      <c r="E39" s="417"/>
      <c r="F39" s="431"/>
      <c r="G39" s="2029">
        <f t="shared" si="1"/>
        <v>0</v>
      </c>
      <c r="H39" s="2020"/>
      <c r="I39" s="2047"/>
      <c r="J39" s="2020"/>
      <c r="K39" s="2047"/>
      <c r="L39" s="2020"/>
      <c r="M39" s="2047"/>
      <c r="N39" s="2020"/>
      <c r="O39" s="2047"/>
      <c r="P39" s="2020"/>
      <c r="Q39" s="2047"/>
      <c r="R39" s="2020"/>
      <c r="S39" s="2047"/>
    </row>
    <row r="40" spans="1:19">
      <c r="A40" s="1097"/>
      <c r="B40" s="2051"/>
      <c r="C40" s="415"/>
      <c r="D40" s="450"/>
      <c r="E40" s="417"/>
      <c r="F40" s="431"/>
      <c r="G40" s="2029">
        <f t="shared" si="1"/>
        <v>0</v>
      </c>
      <c r="H40" s="2020"/>
      <c r="I40" s="2047"/>
      <c r="J40" s="2020"/>
      <c r="K40" s="2047"/>
      <c r="L40" s="2020"/>
      <c r="M40" s="2047"/>
      <c r="N40" s="2020"/>
      <c r="O40" s="2047"/>
      <c r="P40" s="2020"/>
      <c r="Q40" s="2047"/>
      <c r="R40" s="2020"/>
      <c r="S40" s="2047"/>
    </row>
    <row r="41" spans="1:19">
      <c r="A41" s="1097"/>
      <c r="B41" s="2051"/>
      <c r="C41" s="415"/>
      <c r="D41" s="450"/>
      <c r="E41" s="417"/>
      <c r="F41" s="431"/>
      <c r="G41" s="2029">
        <f t="shared" si="1"/>
        <v>0</v>
      </c>
      <c r="H41" s="2020"/>
      <c r="I41" s="2047"/>
      <c r="J41" s="2020"/>
      <c r="K41" s="2047"/>
      <c r="L41" s="2020"/>
      <c r="M41" s="2047"/>
      <c r="N41" s="2020"/>
      <c r="O41" s="2047"/>
      <c r="P41" s="2020"/>
      <c r="Q41" s="2047"/>
      <c r="R41" s="2020"/>
      <c r="S41" s="2047"/>
    </row>
    <row r="42" spans="1:19">
      <c r="A42" s="1097"/>
      <c r="B42" s="2051"/>
      <c r="C42" s="415"/>
      <c r="D42" s="450"/>
      <c r="E42" s="417"/>
      <c r="F42" s="431"/>
      <c r="G42" s="2029">
        <f t="shared" si="1"/>
        <v>0</v>
      </c>
      <c r="H42" s="2020"/>
      <c r="I42" s="2047"/>
      <c r="J42" s="2020"/>
      <c r="K42" s="2047"/>
      <c r="L42" s="2020"/>
      <c r="M42" s="2047"/>
      <c r="N42" s="2020"/>
      <c r="O42" s="2047"/>
      <c r="P42" s="2020"/>
      <c r="Q42" s="2047"/>
      <c r="R42" s="2020"/>
      <c r="S42" s="2047"/>
    </row>
    <row r="43" spans="1:19">
      <c r="A43" s="1097"/>
      <c r="B43" s="2051"/>
      <c r="C43" s="415"/>
      <c r="D43" s="450"/>
      <c r="E43" s="417"/>
      <c r="F43" s="431"/>
      <c r="G43" s="2029">
        <f t="shared" si="1"/>
        <v>0</v>
      </c>
      <c r="H43" s="2020"/>
      <c r="I43" s="2047"/>
      <c r="J43" s="2020"/>
      <c r="K43" s="2047"/>
      <c r="L43" s="2020"/>
      <c r="M43" s="2047"/>
      <c r="N43" s="2020"/>
      <c r="O43" s="2047"/>
      <c r="P43" s="2020"/>
      <c r="Q43" s="2047"/>
      <c r="R43" s="2020"/>
      <c r="S43" s="2047"/>
    </row>
    <row r="44" spans="1:19">
      <c r="A44" s="1097"/>
      <c r="B44" s="2051"/>
      <c r="C44" s="415"/>
      <c r="D44" s="450"/>
      <c r="E44" s="417"/>
      <c r="F44" s="431"/>
      <c r="G44" s="2029">
        <f t="shared" si="1"/>
        <v>0</v>
      </c>
      <c r="H44" s="2020"/>
      <c r="I44" s="2047"/>
      <c r="J44" s="2020"/>
      <c r="K44" s="2047"/>
      <c r="L44" s="2020"/>
      <c r="M44" s="2047"/>
      <c r="N44" s="2020"/>
      <c r="O44" s="2047"/>
      <c r="P44" s="2020"/>
      <c r="Q44" s="2047"/>
      <c r="R44" s="2020"/>
      <c r="S44" s="2047"/>
    </row>
    <row r="45" spans="1:19">
      <c r="A45" s="2040"/>
      <c r="B45" s="1999"/>
      <c r="C45" s="23"/>
      <c r="D45" s="345"/>
      <c r="E45" s="266"/>
      <c r="F45" s="431"/>
      <c r="G45" s="2029">
        <f t="shared" ref="G45:G50" si="2">D45*F45</f>
        <v>0</v>
      </c>
      <c r="H45" s="2020"/>
      <c r="I45" s="2047"/>
      <c r="J45" s="2020"/>
      <c r="K45" s="2047"/>
      <c r="L45" s="2020"/>
      <c r="M45" s="2047"/>
      <c r="N45" s="2020"/>
      <c r="O45" s="2047"/>
      <c r="P45" s="2020"/>
      <c r="Q45" s="2047"/>
      <c r="R45" s="2020"/>
      <c r="S45" s="2047"/>
    </row>
    <row r="46" spans="1:19">
      <c r="A46" s="2040"/>
      <c r="B46" s="1999"/>
      <c r="C46" s="23"/>
      <c r="D46" s="345"/>
      <c r="E46" s="266"/>
      <c r="F46" s="431"/>
      <c r="G46" s="2029">
        <f t="shared" si="2"/>
        <v>0</v>
      </c>
      <c r="H46" s="2020"/>
      <c r="I46" s="2047"/>
      <c r="J46" s="2020"/>
      <c r="K46" s="2047"/>
      <c r="L46" s="2020"/>
      <c r="M46" s="2047"/>
      <c r="N46" s="2020"/>
      <c r="O46" s="2047"/>
      <c r="P46" s="2020"/>
      <c r="Q46" s="2047"/>
      <c r="R46" s="2020"/>
      <c r="S46" s="2047"/>
    </row>
    <row r="47" spans="1:19">
      <c r="A47" s="2040"/>
      <c r="B47" s="1999"/>
      <c r="C47" s="23"/>
      <c r="D47" s="345"/>
      <c r="E47" s="266"/>
      <c r="F47" s="431"/>
      <c r="G47" s="2029">
        <f t="shared" si="2"/>
        <v>0</v>
      </c>
      <c r="H47" s="2020"/>
      <c r="I47" s="2047"/>
      <c r="J47" s="2020"/>
      <c r="K47" s="2047"/>
      <c r="L47" s="2020"/>
      <c r="M47" s="2047"/>
      <c r="N47" s="2020"/>
      <c r="O47" s="2047"/>
      <c r="P47" s="2020"/>
      <c r="Q47" s="2047"/>
      <c r="R47" s="2020"/>
      <c r="S47" s="2047"/>
    </row>
    <row r="48" spans="1:19">
      <c r="A48" s="2040"/>
      <c r="B48" s="1999"/>
      <c r="C48" s="23"/>
      <c r="D48" s="345"/>
      <c r="E48" s="266"/>
      <c r="F48" s="431"/>
      <c r="G48" s="2029">
        <f t="shared" si="2"/>
        <v>0</v>
      </c>
      <c r="H48" s="2020"/>
      <c r="I48" s="2047"/>
      <c r="J48" s="2020"/>
      <c r="K48" s="2047"/>
      <c r="L48" s="2020"/>
      <c r="M48" s="2047"/>
      <c r="N48" s="2020"/>
      <c r="O48" s="2047"/>
      <c r="P48" s="2020"/>
      <c r="Q48" s="2047"/>
      <c r="R48" s="2020"/>
      <c r="S48" s="2047"/>
    </row>
    <row r="49" spans="1:34">
      <c r="A49" s="2040"/>
      <c r="B49" s="1999"/>
      <c r="C49" s="23"/>
      <c r="D49" s="345"/>
      <c r="E49" s="266"/>
      <c r="F49" s="431"/>
      <c r="G49" s="2029">
        <f t="shared" si="2"/>
        <v>0</v>
      </c>
      <c r="H49" s="2020"/>
      <c r="I49" s="2047"/>
      <c r="J49" s="2020"/>
      <c r="K49" s="2047"/>
      <c r="L49" s="2020"/>
      <c r="M49" s="2047"/>
      <c r="N49" s="2020"/>
      <c r="O49" s="2047"/>
      <c r="P49" s="2020"/>
      <c r="Q49" s="2047"/>
      <c r="R49" s="2020"/>
      <c r="S49" s="2047"/>
    </row>
    <row r="50" spans="1:34">
      <c r="A50" s="2040"/>
      <c r="B50" s="1999"/>
      <c r="C50" s="23"/>
      <c r="D50" s="345"/>
      <c r="E50" s="266"/>
      <c r="F50" s="431"/>
      <c r="G50" s="2029">
        <f t="shared" si="2"/>
        <v>0</v>
      </c>
      <c r="H50" s="2020"/>
      <c r="I50" s="2047"/>
      <c r="J50" s="2020"/>
      <c r="K50" s="2047"/>
      <c r="L50" s="2020"/>
      <c r="M50" s="2047"/>
      <c r="N50" s="2020"/>
      <c r="O50" s="2047"/>
      <c r="P50" s="2020"/>
      <c r="Q50" s="2047"/>
      <c r="R50" s="2020"/>
      <c r="S50" s="2047"/>
    </row>
    <row r="51" spans="1:34" ht="15.75" thickBot="1">
      <c r="A51" s="2040"/>
      <c r="B51" s="1999"/>
      <c r="C51" s="23"/>
      <c r="D51" s="345"/>
      <c r="E51" s="266"/>
      <c r="F51" s="431"/>
      <c r="G51" s="830"/>
      <c r="H51" s="2020"/>
      <c r="I51" s="2047"/>
      <c r="J51" s="2020"/>
      <c r="K51" s="2047"/>
      <c r="L51" s="2020"/>
      <c r="M51" s="2047"/>
      <c r="N51" s="2020"/>
      <c r="O51" s="2047"/>
      <c r="P51" s="2020"/>
      <c r="Q51" s="2047"/>
      <c r="R51" s="2020"/>
      <c r="S51" s="2047"/>
    </row>
    <row r="52" spans="1:34" ht="15.75" thickTop="1">
      <c r="A52" s="296"/>
      <c r="B52" s="301"/>
      <c r="C52" s="297"/>
      <c r="D52" s="346"/>
      <c r="E52" s="349"/>
      <c r="F52" s="282" t="s">
        <v>753</v>
      </c>
      <c r="G52" s="272">
        <f>SUM(G12:G51)</f>
        <v>114234</v>
      </c>
      <c r="H52" s="273"/>
      <c r="I52" s="273">
        <f>SUM(I12:I51)</f>
        <v>125564</v>
      </c>
      <c r="J52" s="273"/>
      <c r="K52" s="273">
        <f>SUM(K12:K51)</f>
        <v>150446</v>
      </c>
      <c r="L52" s="273"/>
      <c r="M52" s="273">
        <f>SUM(M12:M51)</f>
        <v>158909</v>
      </c>
      <c r="N52" s="273"/>
      <c r="O52" s="273">
        <f>SUM(O12:O51)</f>
        <v>0</v>
      </c>
      <c r="P52" s="273"/>
      <c r="Q52" s="273">
        <f>SUM(Q12:Q51)</f>
        <v>0</v>
      </c>
      <c r="R52" s="273"/>
      <c r="S52" s="273">
        <f>SUM(S12:S51)</f>
        <v>0</v>
      </c>
    </row>
    <row r="53" spans="1:34">
      <c r="A53" s="1114"/>
      <c r="B53" s="2000"/>
      <c r="C53" s="432"/>
      <c r="D53" s="452"/>
      <c r="E53" s="453"/>
      <c r="F53" s="435" t="s">
        <v>754</v>
      </c>
      <c r="G53" s="436"/>
      <c r="H53" s="2001">
        <v>5.0000000000000001E-3</v>
      </c>
      <c r="I53" s="2002"/>
      <c r="J53" s="2003">
        <v>0</v>
      </c>
      <c r="K53" s="2002"/>
      <c r="L53" s="2003">
        <v>0</v>
      </c>
      <c r="M53" s="2002"/>
      <c r="N53" s="2003">
        <v>0</v>
      </c>
      <c r="O53" s="2002"/>
      <c r="P53" s="2003">
        <v>0</v>
      </c>
      <c r="Q53" s="2002"/>
      <c r="R53" s="2003">
        <v>0</v>
      </c>
      <c r="S53" s="2002"/>
    </row>
    <row r="54" spans="1:34">
      <c r="A54" s="1114"/>
      <c r="B54" s="2000"/>
      <c r="C54" s="432"/>
      <c r="D54" s="452"/>
      <c r="E54" s="453"/>
      <c r="F54" s="435" t="s">
        <v>755</v>
      </c>
      <c r="G54" s="436"/>
      <c r="H54" s="2002"/>
      <c r="I54" s="2002">
        <f>I52*H53</f>
        <v>627.82000000000005</v>
      </c>
      <c r="J54" s="2002"/>
      <c r="K54" s="2002">
        <f>K52*J53</f>
        <v>0</v>
      </c>
      <c r="L54" s="2002"/>
      <c r="M54" s="2002">
        <f>M52*L53</f>
        <v>0</v>
      </c>
      <c r="N54" s="2002"/>
      <c r="O54" s="2002">
        <f>O52*N53</f>
        <v>0</v>
      </c>
      <c r="P54" s="2002"/>
      <c r="Q54" s="2002">
        <f>Q52*P53</f>
        <v>0</v>
      </c>
      <c r="R54" s="2002"/>
      <c r="S54" s="2002">
        <f>S52*R53</f>
        <v>0</v>
      </c>
    </row>
    <row r="55" spans="1:34">
      <c r="A55" s="1114"/>
      <c r="B55" s="2000"/>
      <c r="C55" s="432"/>
      <c r="D55" s="452"/>
      <c r="E55" s="453"/>
      <c r="F55" s="435"/>
      <c r="G55" s="436"/>
      <c r="H55" s="2002"/>
      <c r="I55" s="2002"/>
      <c r="J55" s="2002"/>
      <c r="K55" s="2002"/>
      <c r="L55" s="2002"/>
      <c r="M55" s="2002"/>
      <c r="N55" s="2002"/>
      <c r="O55" s="2002"/>
      <c r="P55" s="2002"/>
      <c r="Q55" s="2002"/>
      <c r="R55" s="2002"/>
      <c r="S55" s="2002"/>
    </row>
    <row r="56" spans="1:34">
      <c r="A56" s="1114"/>
      <c r="B56" s="2000"/>
      <c r="C56" s="432"/>
      <c r="D56" s="452"/>
      <c r="E56" s="453"/>
      <c r="F56" s="435" t="s">
        <v>756</v>
      </c>
      <c r="G56" s="436">
        <f>SUM(G52:G54)</f>
        <v>114234</v>
      </c>
      <c r="H56" s="2002"/>
      <c r="I56" s="2002">
        <f>SUM(I52:I54)</f>
        <v>126191.82</v>
      </c>
      <c r="J56" s="2002"/>
      <c r="K56" s="2002">
        <f>SUM(K52:K54)</f>
        <v>150446</v>
      </c>
      <c r="L56" s="2002"/>
      <c r="M56" s="2002">
        <f>SUM(M52:M54)</f>
        <v>158909</v>
      </c>
      <c r="N56" s="2002"/>
      <c r="O56" s="2002">
        <f>SUM(O52:O54)</f>
        <v>0</v>
      </c>
      <c r="P56" s="2002"/>
      <c r="Q56" s="2002">
        <f>SUM(Q52:Q54)</f>
        <v>0</v>
      </c>
      <c r="R56" s="2002"/>
      <c r="S56" s="2002">
        <f>SUM(S52:S54)</f>
        <v>0</v>
      </c>
    </row>
    <row r="57" spans="1:34">
      <c r="A57" s="1114"/>
      <c r="B57" s="2000"/>
      <c r="C57" s="432"/>
      <c r="D57" s="452"/>
      <c r="E57" s="453"/>
      <c r="F57" s="437" t="s">
        <v>757</v>
      </c>
      <c r="G57" s="438"/>
      <c r="H57" s="2004"/>
      <c r="I57" s="2004">
        <f>I56/'Area Calculations'!$G$4</f>
        <v>0.21807480346937683</v>
      </c>
      <c r="J57" s="2004"/>
      <c r="K57" s="2004">
        <f>K56/'Area Calculations'!$G$4</f>
        <v>0.25998897458451636</v>
      </c>
      <c r="L57" s="2004"/>
      <c r="M57" s="2004">
        <f>M56/'Area Calculations'!$G$4</f>
        <v>0.27461406725503446</v>
      </c>
      <c r="N57" s="2004"/>
      <c r="O57" s="2004">
        <f>O56/'Area Calculations'!$G$4</f>
        <v>0</v>
      </c>
      <c r="P57" s="2004"/>
      <c r="Q57" s="2004">
        <f>Q56/'Area Calculations'!$G$4</f>
        <v>0</v>
      </c>
      <c r="R57" s="2004"/>
      <c r="S57" s="2004">
        <f>S56/'Area Calculations'!$G$4</f>
        <v>0</v>
      </c>
    </row>
    <row r="58" spans="1:34">
      <c r="A58" s="1114"/>
      <c r="B58" s="2000"/>
      <c r="C58" s="432"/>
      <c r="D58" s="452"/>
      <c r="E58" s="453"/>
      <c r="F58" s="437" t="s">
        <v>758</v>
      </c>
      <c r="G58" s="438"/>
      <c r="H58" s="2004"/>
      <c r="I58" s="2004">
        <f>I56/'Area Calculations'!$G$9</f>
        <v>1179.3628037383178</v>
      </c>
      <c r="J58" s="2004"/>
      <c r="K58" s="2004">
        <f>K56/'Area Calculations'!$G$9</f>
        <v>1406.0373831775701</v>
      </c>
      <c r="L58" s="2004"/>
      <c r="M58" s="2004">
        <f>M56/'Area Calculations'!$G$9</f>
        <v>1485.1308411214952</v>
      </c>
      <c r="N58" s="2004"/>
      <c r="O58" s="2004">
        <f>O56/'Area Calculations'!$G$9</f>
        <v>0</v>
      </c>
      <c r="P58" s="2004"/>
      <c r="Q58" s="2004">
        <f>Q56/'Area Calculations'!$G$9</f>
        <v>0</v>
      </c>
      <c r="R58" s="2004"/>
      <c r="S58" s="2004">
        <f>S56/'Area Calculations'!$G$9</f>
        <v>0</v>
      </c>
    </row>
    <row r="59" spans="1:34" ht="15.75" thickBot="1">
      <c r="A59" s="1114"/>
      <c r="B59" s="2000"/>
      <c r="C59" s="432"/>
      <c r="D59" s="452"/>
      <c r="E59" s="453"/>
      <c r="F59" s="439"/>
      <c r="G59" s="436"/>
      <c r="H59" s="2005"/>
      <c r="I59" s="2005"/>
      <c r="J59" s="2005"/>
      <c r="K59" s="2005"/>
      <c r="L59" s="2005"/>
      <c r="M59" s="2005"/>
      <c r="N59" s="2005"/>
      <c r="O59" s="2005"/>
      <c r="P59" s="2005"/>
      <c r="Q59" s="2005"/>
      <c r="R59" s="2005"/>
      <c r="S59" s="2005"/>
    </row>
    <row r="60" spans="1:34" ht="16.5" thickTop="1" thickBot="1">
      <c r="A60" s="2331" t="s">
        <v>759</v>
      </c>
      <c r="B60" s="2332"/>
      <c r="C60" s="298"/>
      <c r="D60" s="347"/>
      <c r="E60" s="350"/>
      <c r="F60" s="12"/>
      <c r="G60" s="26"/>
      <c r="H60" s="24"/>
      <c r="I60" s="20"/>
      <c r="J60" s="20"/>
      <c r="K60" s="20"/>
      <c r="L60" s="20"/>
      <c r="M60" s="20"/>
      <c r="N60" s="20"/>
      <c r="O60" s="20"/>
      <c r="P60" s="20"/>
      <c r="Q60" s="20"/>
      <c r="R60" s="20"/>
      <c r="S60" s="20"/>
    </row>
    <row r="61" spans="1:34" ht="15.75" thickTop="1">
      <c r="A61" s="2030"/>
      <c r="B61" s="2006"/>
      <c r="C61" s="1396"/>
      <c r="D61" s="2084"/>
      <c r="E61" s="2085"/>
      <c r="F61" s="2042"/>
      <c r="G61" s="2031"/>
      <c r="H61" s="2032"/>
      <c r="I61" s="2057"/>
      <c r="J61" s="2057"/>
      <c r="K61" s="2057"/>
      <c r="L61" s="2057"/>
      <c r="M61" s="2057"/>
      <c r="N61" s="2057"/>
      <c r="O61" s="2057"/>
      <c r="P61" s="2057"/>
      <c r="Q61" s="2057"/>
      <c r="R61" s="2057"/>
      <c r="S61" s="2057"/>
    </row>
    <row r="62" spans="1:34">
      <c r="A62" s="2030"/>
      <c r="B62" s="2006"/>
      <c r="C62" s="1396"/>
      <c r="D62" s="2084"/>
      <c r="E62" s="2085"/>
      <c r="F62" s="2042"/>
      <c r="G62" s="2031"/>
      <c r="H62" s="2032"/>
      <c r="I62" s="2057"/>
      <c r="J62" s="2057"/>
      <c r="K62" s="2057"/>
      <c r="L62" s="2057"/>
      <c r="M62" s="2057"/>
      <c r="N62" s="2057"/>
      <c r="O62" s="2057"/>
      <c r="P62" s="2057"/>
      <c r="Q62" s="2057"/>
      <c r="R62" s="2057"/>
      <c r="S62" s="2057"/>
    </row>
    <row r="63" spans="1:34" ht="15.75" thickBot="1">
      <c r="A63" s="2030"/>
      <c r="B63" s="2006"/>
      <c r="C63" s="1396"/>
      <c r="D63" s="2084"/>
      <c r="E63" s="2085"/>
      <c r="F63" s="2042"/>
      <c r="G63" s="2031"/>
      <c r="H63" s="2032"/>
      <c r="I63" s="2057"/>
      <c r="J63" s="2057"/>
      <c r="K63" s="2057"/>
      <c r="L63" s="2057"/>
      <c r="M63" s="2057"/>
      <c r="N63" s="2057"/>
      <c r="O63" s="2057"/>
      <c r="P63" s="2057"/>
      <c r="Q63" s="2057"/>
      <c r="R63" s="2057"/>
      <c r="S63" s="2057"/>
    </row>
    <row r="64" spans="1:34" s="2" customFormat="1" ht="16.5" thickTop="1" thickBot="1">
      <c r="A64" s="2331" t="s">
        <v>760</v>
      </c>
      <c r="B64" s="2332"/>
      <c r="C64" s="298"/>
      <c r="D64" s="347"/>
      <c r="E64" s="350"/>
      <c r="F64" s="12"/>
      <c r="G64" s="26"/>
      <c r="H64" s="24"/>
      <c r="I64" s="20"/>
      <c r="J64" s="20"/>
      <c r="K64" s="20"/>
      <c r="L64" s="20"/>
      <c r="M64" s="20"/>
      <c r="N64" s="20"/>
      <c r="O64" s="20"/>
      <c r="P64" s="20"/>
      <c r="Q64" s="20"/>
      <c r="R64" s="20"/>
      <c r="S64" s="20"/>
      <c r="T64"/>
      <c r="U64"/>
      <c r="V64"/>
      <c r="W64"/>
      <c r="X64"/>
      <c r="Y64"/>
      <c r="Z64"/>
      <c r="AA64"/>
      <c r="AB64"/>
      <c r="AC64"/>
      <c r="AD64"/>
      <c r="AE64"/>
      <c r="AF64"/>
      <c r="AG64"/>
      <c r="AH64"/>
    </row>
    <row r="65" spans="1:34" s="2" customFormat="1" ht="15.75" thickTop="1">
      <c r="A65" s="2030"/>
      <c r="B65" s="2006"/>
      <c r="C65" s="1396"/>
      <c r="D65" s="2084"/>
      <c r="E65" s="2085"/>
      <c r="F65" s="2042"/>
      <c r="G65" s="2031"/>
      <c r="H65" s="2032"/>
      <c r="I65" s="2057"/>
      <c r="J65" s="2057"/>
      <c r="K65" s="2057"/>
      <c r="L65" s="2057"/>
      <c r="M65" s="2057"/>
      <c r="N65" s="2057"/>
      <c r="O65" s="2057"/>
      <c r="P65" s="2057"/>
      <c r="Q65" s="2057"/>
      <c r="R65" s="2057"/>
      <c r="S65" s="2057"/>
      <c r="T65"/>
      <c r="U65"/>
      <c r="V65"/>
      <c r="W65"/>
      <c r="X65"/>
      <c r="Y65"/>
      <c r="Z65"/>
      <c r="AA65"/>
      <c r="AB65"/>
      <c r="AC65"/>
      <c r="AD65"/>
      <c r="AE65"/>
      <c r="AF65"/>
      <c r="AG65"/>
      <c r="AH65"/>
    </row>
    <row r="66" spans="1:34" s="2" customFormat="1">
      <c r="A66" s="2030"/>
      <c r="B66" s="2006"/>
      <c r="C66" s="1396"/>
      <c r="D66" s="2084"/>
      <c r="E66" s="2085"/>
      <c r="F66" s="2042"/>
      <c r="G66" s="2031"/>
      <c r="H66" s="2032"/>
      <c r="I66" s="2057"/>
      <c r="J66" s="2057"/>
      <c r="K66" s="2057"/>
      <c r="L66" s="2057"/>
      <c r="M66" s="2057"/>
      <c r="N66" s="2057"/>
      <c r="O66" s="2057"/>
      <c r="P66" s="2057"/>
      <c r="Q66" s="2057"/>
      <c r="R66" s="2057"/>
      <c r="S66" s="2057"/>
      <c r="T66"/>
      <c r="U66"/>
      <c r="V66"/>
      <c r="W66"/>
      <c r="X66"/>
      <c r="Y66"/>
      <c r="Z66"/>
      <c r="AA66"/>
      <c r="AB66"/>
      <c r="AC66"/>
      <c r="AD66"/>
      <c r="AE66"/>
      <c r="AF66"/>
      <c r="AG66"/>
      <c r="AH66"/>
    </row>
    <row r="67" spans="1:34" ht="15.75" thickBot="1">
      <c r="A67" s="2030"/>
      <c r="B67" s="2006"/>
      <c r="C67" s="1396"/>
      <c r="D67" s="2084"/>
      <c r="E67" s="2085"/>
      <c r="F67" s="2042"/>
      <c r="G67" s="2031"/>
      <c r="H67" s="2032"/>
      <c r="I67" s="2057"/>
      <c r="J67" s="2057"/>
      <c r="K67" s="2057"/>
      <c r="L67" s="2057"/>
      <c r="M67" s="2057"/>
      <c r="N67" s="2057"/>
      <c r="O67" s="2057"/>
      <c r="P67" s="2057"/>
      <c r="Q67" s="2057"/>
      <c r="R67" s="2057"/>
      <c r="S67" s="2057"/>
    </row>
    <row r="68" spans="1:34" s="2" customFormat="1" ht="16.5" thickTop="1" thickBot="1">
      <c r="A68" s="2331" t="s">
        <v>761</v>
      </c>
      <c r="B68" s="2332"/>
      <c r="C68" s="298"/>
      <c r="D68" s="347"/>
      <c r="E68" s="350"/>
      <c r="F68" s="12"/>
      <c r="G68" s="26"/>
      <c r="H68" s="24"/>
      <c r="I68" s="20"/>
      <c r="J68" s="20"/>
      <c r="K68" s="20"/>
      <c r="L68" s="20"/>
      <c r="M68" s="20"/>
      <c r="N68" s="20"/>
      <c r="O68" s="20"/>
      <c r="P68" s="20"/>
      <c r="Q68" s="20"/>
      <c r="R68" s="20"/>
      <c r="S68" s="20"/>
      <c r="T68"/>
      <c r="U68"/>
      <c r="V68"/>
      <c r="W68"/>
      <c r="X68"/>
      <c r="Y68"/>
      <c r="Z68"/>
      <c r="AA68"/>
      <c r="AB68"/>
      <c r="AC68"/>
      <c r="AD68"/>
      <c r="AE68"/>
      <c r="AF68"/>
      <c r="AG68"/>
      <c r="AH68"/>
    </row>
    <row r="69" spans="1:34" s="2" customFormat="1" ht="15.75" thickTop="1">
      <c r="A69" s="2030"/>
      <c r="B69" s="2006" t="s">
        <v>2844</v>
      </c>
      <c r="C69" s="1396"/>
      <c r="D69" s="2084"/>
      <c r="E69" s="2085"/>
      <c r="F69" s="2042"/>
      <c r="G69" s="2031"/>
      <c r="H69" s="2032"/>
      <c r="I69" s="2110">
        <v>-5000</v>
      </c>
      <c r="J69" s="2057"/>
      <c r="K69" s="2057"/>
      <c r="L69" s="2057"/>
      <c r="M69" s="2057"/>
      <c r="N69" s="2057"/>
      <c r="O69" s="2057"/>
      <c r="P69" s="2057"/>
      <c r="Q69" s="2057"/>
      <c r="R69" s="2057"/>
      <c r="S69" s="2057"/>
      <c r="T69"/>
      <c r="U69"/>
      <c r="V69"/>
      <c r="W69"/>
      <c r="X69"/>
      <c r="Y69"/>
      <c r="Z69"/>
      <c r="AA69"/>
      <c r="AB69"/>
      <c r="AC69"/>
      <c r="AD69"/>
      <c r="AE69"/>
      <c r="AF69"/>
      <c r="AG69"/>
      <c r="AH69"/>
    </row>
    <row r="70" spans="1:34" s="2" customFormat="1">
      <c r="A70" s="1124"/>
      <c r="B70" s="2006" t="s">
        <v>2845</v>
      </c>
      <c r="C70" s="415"/>
      <c r="D70" s="416"/>
      <c r="E70" s="417"/>
      <c r="F70" s="422"/>
      <c r="G70" s="831"/>
      <c r="H70" s="440"/>
      <c r="I70" s="2111">
        <v>-8000</v>
      </c>
      <c r="J70" s="2007"/>
      <c r="K70" s="2007"/>
      <c r="L70" s="2007"/>
      <c r="M70" s="2007"/>
      <c r="N70" s="2007"/>
      <c r="O70" s="2007"/>
      <c r="P70" s="2007"/>
      <c r="Q70" s="2007"/>
      <c r="R70" s="2007"/>
      <c r="S70" s="2007"/>
      <c r="T70"/>
      <c r="U70"/>
      <c r="V70"/>
      <c r="W70"/>
      <c r="X70"/>
      <c r="Y70"/>
      <c r="Z70"/>
      <c r="AA70"/>
      <c r="AB70"/>
      <c r="AC70"/>
      <c r="AD70"/>
      <c r="AE70"/>
      <c r="AF70"/>
      <c r="AG70"/>
      <c r="AH70"/>
    </row>
    <row r="71" spans="1:34" s="2" customFormat="1" ht="15.75" thickBot="1">
      <c r="A71" s="1126"/>
      <c r="B71" s="2008" t="s">
        <v>2846</v>
      </c>
      <c r="C71" s="415"/>
      <c r="D71" s="416"/>
      <c r="E71" s="417"/>
      <c r="F71" s="422"/>
      <c r="G71" s="831"/>
      <c r="H71" s="441"/>
      <c r="I71" s="1992">
        <v>-52500</v>
      </c>
      <c r="J71" s="2009"/>
      <c r="K71" s="2009"/>
      <c r="L71" s="2009"/>
      <c r="M71" s="2009"/>
      <c r="N71" s="2009"/>
      <c r="O71" s="2009"/>
      <c r="P71" s="2009"/>
      <c r="Q71" s="2009"/>
      <c r="R71" s="2009"/>
      <c r="S71" s="2009"/>
    </row>
    <row r="72" spans="1:34" s="2" customFormat="1" ht="16.5" thickTop="1" thickBot="1">
      <c r="A72" s="2331" t="s">
        <v>762</v>
      </c>
      <c r="B72" s="2332"/>
      <c r="C72" s="298"/>
      <c r="D72" s="347"/>
      <c r="E72" s="350"/>
      <c r="F72" s="12"/>
      <c r="G72" s="26"/>
      <c r="H72" s="24"/>
      <c r="I72" s="20"/>
      <c r="J72" s="20"/>
      <c r="K72" s="20"/>
      <c r="L72" s="20"/>
      <c r="M72" s="20"/>
      <c r="N72" s="20"/>
      <c r="O72" s="20"/>
      <c r="P72" s="20"/>
      <c r="Q72" s="20"/>
      <c r="R72" s="20"/>
      <c r="S72" s="20"/>
      <c r="T72"/>
      <c r="U72"/>
      <c r="V72"/>
      <c r="W72"/>
      <c r="X72"/>
      <c r="Y72"/>
      <c r="Z72"/>
      <c r="AA72"/>
      <c r="AB72"/>
      <c r="AC72"/>
      <c r="AD72"/>
      <c r="AE72"/>
      <c r="AF72"/>
      <c r="AG72"/>
      <c r="AH72"/>
    </row>
    <row r="73" spans="1:34" ht="15.75" thickTop="1">
      <c r="A73" s="2034"/>
      <c r="B73" s="2059"/>
      <c r="C73" s="1396"/>
      <c r="D73" s="2084"/>
      <c r="E73" s="2085"/>
      <c r="F73" s="2042"/>
      <c r="G73" s="2031"/>
      <c r="H73" s="2032"/>
      <c r="I73" s="2057"/>
      <c r="J73" s="2057"/>
      <c r="K73" s="2057"/>
      <c r="L73" s="2057"/>
      <c r="M73" s="2057"/>
      <c r="N73" s="2057"/>
      <c r="O73" s="2057"/>
      <c r="P73" s="2057"/>
      <c r="Q73" s="2057"/>
      <c r="R73" s="2057"/>
      <c r="S73" s="2057"/>
      <c r="T73" s="2"/>
      <c r="U73" s="2"/>
      <c r="V73" s="2"/>
      <c r="W73" s="2"/>
      <c r="X73" s="2"/>
      <c r="Y73" s="2"/>
      <c r="Z73" s="2"/>
      <c r="AA73" s="2"/>
      <c r="AB73" s="2"/>
      <c r="AC73" s="2"/>
      <c r="AD73" s="2"/>
      <c r="AE73" s="2"/>
      <c r="AF73" s="2"/>
      <c r="AG73" s="2"/>
      <c r="AH73" s="2"/>
    </row>
    <row r="74" spans="1:34">
      <c r="A74" s="1126"/>
      <c r="B74" s="2008"/>
      <c r="C74" s="415"/>
      <c r="D74" s="416"/>
      <c r="E74" s="417"/>
      <c r="F74" s="422"/>
      <c r="G74" s="831"/>
      <c r="H74" s="442"/>
      <c r="I74" s="2010"/>
      <c r="J74" s="2010"/>
      <c r="K74" s="2010"/>
      <c r="L74" s="2010"/>
      <c r="M74" s="2010"/>
      <c r="N74" s="2010"/>
      <c r="O74" s="2010"/>
      <c r="P74" s="2010"/>
      <c r="Q74" s="2010"/>
      <c r="R74" s="2010"/>
      <c r="S74" s="2010"/>
      <c r="T74" s="2"/>
      <c r="U74" s="2"/>
      <c r="V74" s="2"/>
      <c r="W74" s="2"/>
      <c r="X74" s="2"/>
      <c r="Y74" s="2"/>
      <c r="Z74" s="2"/>
      <c r="AA74" s="2"/>
      <c r="AB74" s="2"/>
      <c r="AC74" s="2"/>
      <c r="AD74" s="2"/>
      <c r="AE74" s="2"/>
      <c r="AF74" s="2"/>
      <c r="AG74" s="2"/>
      <c r="AH74" s="2"/>
    </row>
    <row r="75" spans="1:34" ht="15.75" thickBot="1">
      <c r="A75" s="1126"/>
      <c r="B75" s="2008"/>
      <c r="C75" s="415"/>
      <c r="D75" s="416"/>
      <c r="E75" s="417"/>
      <c r="F75" s="422"/>
      <c r="G75" s="831"/>
      <c r="H75" s="442"/>
      <c r="I75" s="2010"/>
      <c r="J75" s="2010"/>
      <c r="K75" s="2010"/>
      <c r="L75" s="2010"/>
      <c r="M75" s="2010"/>
      <c r="N75" s="2010"/>
      <c r="O75" s="2010"/>
      <c r="P75" s="2010"/>
      <c r="Q75" s="2010"/>
      <c r="R75" s="2010"/>
      <c r="S75" s="2010"/>
      <c r="T75" s="2"/>
      <c r="U75" s="2"/>
      <c r="V75" s="2"/>
      <c r="W75" s="2"/>
      <c r="X75" s="2"/>
      <c r="Y75" s="2"/>
      <c r="Z75" s="2"/>
      <c r="AA75" s="2"/>
      <c r="AB75" s="2"/>
      <c r="AC75" s="2"/>
      <c r="AD75" s="2"/>
      <c r="AE75" s="2"/>
      <c r="AF75" s="2"/>
      <c r="AG75" s="2"/>
      <c r="AH75" s="2"/>
    </row>
    <row r="76" spans="1:34" ht="16.5" thickTop="1" thickBot="1">
      <c r="A76" s="2331" t="s">
        <v>763</v>
      </c>
      <c r="B76" s="2332"/>
      <c r="C76" s="298"/>
      <c r="D76" s="347"/>
      <c r="E76" s="350"/>
      <c r="F76" s="12"/>
      <c r="G76" s="26"/>
      <c r="H76" s="24"/>
      <c r="I76" s="20"/>
      <c r="J76" s="20"/>
      <c r="K76" s="20"/>
      <c r="L76" s="20"/>
      <c r="M76" s="20"/>
      <c r="N76" s="20"/>
      <c r="O76" s="20"/>
      <c r="P76" s="20"/>
      <c r="Q76" s="20"/>
      <c r="R76" s="20"/>
      <c r="S76" s="20"/>
    </row>
    <row r="77" spans="1:34" ht="15.75" thickTop="1">
      <c r="A77" s="1124"/>
      <c r="B77" s="2006" t="s">
        <v>764</v>
      </c>
      <c r="C77" s="415"/>
      <c r="D77" s="416"/>
      <c r="E77" s="417"/>
      <c r="F77" s="422"/>
      <c r="G77" s="831"/>
      <c r="H77" s="442"/>
      <c r="I77" s="2010"/>
      <c r="J77" s="2010"/>
      <c r="K77" s="2010"/>
      <c r="L77" s="2010"/>
      <c r="M77" s="2010"/>
      <c r="N77" s="2010"/>
      <c r="O77" s="2010"/>
      <c r="P77" s="2010"/>
      <c r="Q77" s="2010"/>
      <c r="R77" s="2010"/>
      <c r="S77" s="2010"/>
    </row>
    <row r="78" spans="1:34">
      <c r="A78" s="1124"/>
      <c r="B78" s="2006" t="s">
        <v>765</v>
      </c>
      <c r="C78" s="415"/>
      <c r="D78" s="416"/>
      <c r="E78" s="417"/>
      <c r="F78" s="422"/>
      <c r="G78" s="831"/>
      <c r="H78" s="442"/>
      <c r="I78" s="2010"/>
      <c r="J78" s="2010"/>
      <c r="K78" s="2010"/>
      <c r="L78" s="2010"/>
      <c r="M78" s="2010"/>
      <c r="N78" s="2010"/>
      <c r="O78" s="2010"/>
      <c r="P78" s="2010"/>
      <c r="Q78" s="2010"/>
      <c r="R78" s="2010"/>
      <c r="S78" s="2010"/>
    </row>
    <row r="79" spans="1:34">
      <c r="A79" s="1124"/>
      <c r="B79" s="2006" t="s">
        <v>766</v>
      </c>
      <c r="C79" s="415"/>
      <c r="D79" s="416"/>
      <c r="E79" s="417"/>
      <c r="F79" s="422"/>
      <c r="G79" s="831"/>
      <c r="H79" s="442"/>
      <c r="I79" s="2010"/>
      <c r="J79" s="2010"/>
      <c r="K79" s="2010"/>
      <c r="L79" s="2010"/>
      <c r="M79" s="2010"/>
      <c r="N79" s="2010"/>
      <c r="O79" s="2010"/>
      <c r="P79" s="2010"/>
      <c r="Q79" s="2010"/>
      <c r="R79" s="2010"/>
      <c r="S79" s="2010"/>
    </row>
    <row r="80" spans="1:34">
      <c r="A80" s="1124"/>
      <c r="B80" s="2006" t="s">
        <v>767</v>
      </c>
      <c r="C80" s="415"/>
      <c r="D80" s="416"/>
      <c r="E80" s="417"/>
      <c r="F80" s="422"/>
      <c r="G80" s="831"/>
      <c r="H80" s="442"/>
      <c r="I80" s="2010"/>
      <c r="J80" s="2010"/>
      <c r="K80" s="2010"/>
      <c r="L80" s="2010"/>
      <c r="M80" s="2010"/>
      <c r="N80" s="2010"/>
      <c r="O80" s="2010"/>
      <c r="P80" s="2010"/>
      <c r="Q80" s="2010"/>
      <c r="R80" s="2010"/>
      <c r="S80" s="2010"/>
    </row>
    <row r="81" spans="1:19" ht="15.75" thickBot="1">
      <c r="A81" s="443"/>
      <c r="B81" s="421"/>
      <c r="C81" s="23"/>
      <c r="D81" s="265"/>
      <c r="E81" s="266"/>
      <c r="F81" s="86"/>
      <c r="G81" s="27"/>
      <c r="H81" s="25"/>
      <c r="I81" s="444"/>
      <c r="J81" s="444"/>
      <c r="K81" s="444"/>
      <c r="L81" s="444"/>
      <c r="M81" s="444"/>
      <c r="N81" s="444"/>
      <c r="O81" s="444"/>
      <c r="P81" s="444"/>
      <c r="Q81" s="444"/>
      <c r="R81" s="444"/>
      <c r="S81" s="444"/>
    </row>
    <row r="82" spans="1:19" ht="16.5" thickTop="1" thickBot="1">
      <c r="A82" s="72" t="s">
        <v>768</v>
      </c>
      <c r="B82" s="73"/>
      <c r="C82" s="298"/>
      <c r="D82" s="347"/>
      <c r="E82" s="350"/>
      <c r="F82" s="12"/>
      <c r="G82" s="26"/>
      <c r="H82" s="24"/>
      <c r="I82" s="20"/>
      <c r="J82" s="20"/>
      <c r="K82" s="20"/>
      <c r="L82" s="20"/>
      <c r="M82" s="20"/>
      <c r="N82" s="20"/>
      <c r="O82" s="20"/>
      <c r="P82" s="20"/>
      <c r="Q82" s="20"/>
      <c r="R82" s="20"/>
      <c r="S82" s="20"/>
    </row>
    <row r="83" spans="1:19" ht="15.75" thickTop="1">
      <c r="A83" s="2030"/>
      <c r="B83" s="2060" t="s">
        <v>769</v>
      </c>
      <c r="C83" s="1396"/>
      <c r="D83" s="2084"/>
      <c r="E83" s="2085"/>
      <c r="F83" s="2042"/>
      <c r="G83" s="2031"/>
      <c r="H83" s="2037"/>
      <c r="I83" s="2062"/>
      <c r="J83" s="2062"/>
      <c r="K83" s="2062"/>
      <c r="L83" s="2062"/>
      <c r="M83" s="2062"/>
      <c r="N83" s="2062"/>
      <c r="O83" s="2062"/>
      <c r="P83" s="2062"/>
      <c r="Q83" s="2062"/>
      <c r="R83" s="2062"/>
      <c r="S83" s="2062"/>
    </row>
    <row r="84" spans="1:19">
      <c r="A84" s="1124"/>
      <c r="B84" s="2006" t="s">
        <v>770</v>
      </c>
      <c r="C84" s="415"/>
      <c r="D84" s="416"/>
      <c r="E84" s="417"/>
      <c r="F84" s="422"/>
      <c r="G84" s="831"/>
      <c r="H84" s="445"/>
      <c r="I84" s="2011"/>
      <c r="J84" s="2011"/>
      <c r="K84" s="2011"/>
      <c r="L84" s="2011"/>
      <c r="M84" s="2011"/>
      <c r="N84" s="2011"/>
      <c r="O84" s="2011"/>
      <c r="P84" s="2011"/>
      <c r="Q84" s="2011"/>
      <c r="R84" s="2011"/>
      <c r="S84" s="2011"/>
    </row>
    <row r="85" spans="1:19" ht="15.75" thickBot="1">
      <c r="A85" s="1183"/>
      <c r="B85" s="1184" t="s">
        <v>771</v>
      </c>
      <c r="C85" s="1185"/>
      <c r="D85" s="1229"/>
      <c r="E85" s="1230"/>
      <c r="F85" s="1186"/>
      <c r="G85" s="1187"/>
      <c r="H85" s="1188"/>
      <c r="I85" s="1189"/>
      <c r="J85" s="1189"/>
      <c r="K85" s="1189"/>
      <c r="L85" s="1189"/>
      <c r="M85" s="1189"/>
      <c r="N85" s="1189"/>
      <c r="O85" s="1189"/>
      <c r="P85" s="1189"/>
      <c r="Q85" s="1189"/>
      <c r="R85" s="1189"/>
      <c r="S85" s="1189"/>
    </row>
    <row r="86" spans="1:19" ht="16.5" thickTop="1" thickBot="1">
      <c r="F86" s="2"/>
      <c r="G86" s="2"/>
      <c r="H86" s="2"/>
      <c r="I86" s="2"/>
      <c r="J86" s="2"/>
      <c r="K86" s="2"/>
      <c r="L86" s="2"/>
      <c r="M86" s="2"/>
      <c r="N86" s="2"/>
      <c r="O86" s="2"/>
      <c r="P86" s="2"/>
      <c r="Q86" s="2"/>
      <c r="R86" s="2"/>
      <c r="S86" s="2"/>
    </row>
    <row r="87" spans="1:19" ht="16.5" thickTop="1" thickBot="1">
      <c r="A87" s="37" t="s">
        <v>772</v>
      </c>
      <c r="B87" s="39"/>
      <c r="F87" s="2"/>
      <c r="G87" s="2"/>
      <c r="H87" s="2"/>
      <c r="I87" s="2"/>
      <c r="J87" s="2"/>
      <c r="K87" s="2"/>
      <c r="L87" s="2"/>
      <c r="M87" s="2"/>
      <c r="N87" s="2"/>
      <c r="O87" s="2"/>
      <c r="P87" s="2"/>
      <c r="Q87" s="2"/>
      <c r="R87" s="2"/>
      <c r="S87" s="2"/>
    </row>
    <row r="88" spans="1:19" ht="15.75" thickTop="1">
      <c r="A88" s="38" t="s">
        <v>693</v>
      </c>
      <c r="B88" s="2039"/>
      <c r="F88" s="2"/>
      <c r="G88" s="2"/>
      <c r="H88" s="2"/>
      <c r="I88" s="2"/>
      <c r="J88" s="2"/>
      <c r="K88" s="2"/>
      <c r="L88" s="2"/>
      <c r="M88" s="2"/>
      <c r="N88" s="2"/>
      <c r="O88" s="2"/>
      <c r="P88" s="2"/>
      <c r="Q88" s="2"/>
      <c r="R88" s="2"/>
      <c r="S88" s="2"/>
    </row>
    <row r="89" spans="1:19">
      <c r="A89" s="1142" t="s">
        <v>702</v>
      </c>
      <c r="B89" s="2039"/>
      <c r="F89" s="2"/>
      <c r="G89" s="2"/>
      <c r="H89" s="2"/>
      <c r="I89" s="2"/>
      <c r="J89" s="2"/>
      <c r="K89" s="2"/>
      <c r="L89" s="2"/>
      <c r="M89" s="2"/>
      <c r="N89" s="2"/>
      <c r="O89" s="2"/>
      <c r="P89" s="2"/>
      <c r="Q89" s="2"/>
      <c r="R89" s="2"/>
      <c r="S89" s="2"/>
    </row>
    <row r="90" spans="1:19">
      <c r="A90" s="2013" t="s">
        <v>708</v>
      </c>
      <c r="B90" s="2014"/>
      <c r="F90" s="2"/>
      <c r="G90" s="2"/>
      <c r="H90" s="2"/>
      <c r="I90" s="2"/>
      <c r="J90" s="2"/>
      <c r="K90" s="2"/>
      <c r="L90" s="2"/>
      <c r="M90" s="2"/>
      <c r="N90" s="2"/>
      <c r="O90" s="2"/>
      <c r="P90" s="2"/>
      <c r="Q90" s="2"/>
      <c r="R90" s="2"/>
      <c r="S90" s="2"/>
    </row>
    <row r="91" spans="1:19">
      <c r="A91" s="2013" t="s">
        <v>713</v>
      </c>
      <c r="B91" s="2015"/>
      <c r="F91" s="2"/>
      <c r="G91" s="2"/>
      <c r="H91" s="2"/>
      <c r="I91" s="2"/>
      <c r="J91" s="2"/>
      <c r="K91" s="2"/>
      <c r="L91" s="2"/>
      <c r="M91" s="2"/>
      <c r="N91" s="2"/>
      <c r="O91" s="2"/>
      <c r="P91" s="2"/>
      <c r="Q91" s="2"/>
      <c r="R91" s="2"/>
      <c r="S91" s="2"/>
    </row>
    <row r="92" spans="1:19" ht="15.75" thickBot="1">
      <c r="A92" s="1194" t="s">
        <v>69</v>
      </c>
      <c r="B92" s="1231">
        <f>I56</f>
        <v>126191.82</v>
      </c>
      <c r="F92" s="2"/>
      <c r="G92" s="2"/>
      <c r="H92" s="2"/>
      <c r="I92" s="2"/>
      <c r="J92" s="2"/>
      <c r="K92" s="2"/>
      <c r="L92" s="2"/>
      <c r="M92" s="2"/>
      <c r="N92" s="2"/>
      <c r="O92" s="2"/>
      <c r="P92" s="2"/>
      <c r="Q92" s="2"/>
      <c r="R92" s="2"/>
      <c r="S92" s="2"/>
    </row>
    <row r="93" spans="1:19" ht="15.75" thickTop="1"/>
  </sheetData>
  <mergeCells count="41">
    <mergeCell ref="A60:B60"/>
    <mergeCell ref="A64:B64"/>
    <mergeCell ref="A68:B68"/>
    <mergeCell ref="A72:B72"/>
    <mergeCell ref="A76:B76"/>
    <mergeCell ref="R9:S9"/>
    <mergeCell ref="H8:I8"/>
    <mergeCell ref="L8:M8"/>
    <mergeCell ref="N8:O8"/>
    <mergeCell ref="J8:K8"/>
    <mergeCell ref="P8:Q8"/>
    <mergeCell ref="R8:S8"/>
    <mergeCell ref="H9:I9"/>
    <mergeCell ref="L9:M9"/>
    <mergeCell ref="N9:O9"/>
    <mergeCell ref="J9:K9"/>
    <mergeCell ref="P9:Q9"/>
    <mergeCell ref="R7:S7"/>
    <mergeCell ref="H6:I6"/>
    <mergeCell ref="L6:M6"/>
    <mergeCell ref="N6:O6"/>
    <mergeCell ref="J6:K6"/>
    <mergeCell ref="P6:Q6"/>
    <mergeCell ref="R6:S6"/>
    <mergeCell ref="H7:I7"/>
    <mergeCell ref="L7:M7"/>
    <mergeCell ref="N7:O7"/>
    <mergeCell ref="J7:K7"/>
    <mergeCell ref="P7:Q7"/>
    <mergeCell ref="R5:S5"/>
    <mergeCell ref="H4:I4"/>
    <mergeCell ref="L4:M4"/>
    <mergeCell ref="N4:O4"/>
    <mergeCell ref="J4:K4"/>
    <mergeCell ref="P4:Q4"/>
    <mergeCell ref="R4:S4"/>
    <mergeCell ref="H5:I5"/>
    <mergeCell ref="L5:M5"/>
    <mergeCell ref="N5:O5"/>
    <mergeCell ref="J5:K5"/>
    <mergeCell ref="P5:Q5"/>
  </mergeCells>
  <conditionalFormatting sqref="H11:H19">
    <cfRule type="cellIs" dxfId="31" priority="1" operator="equal">
      <formula>"X"</formula>
    </cfRule>
    <cfRule type="cellIs" dxfId="30" priority="2" operator="equal">
      <formula>"I"</formula>
    </cfRule>
  </conditionalFormatting>
  <conditionalFormatting sqref="J11:J19 L11:L19 N11:N19 P11:P19 R11:R19 H21:H51 J21:J51 L21:L51 N21:N51 P21:P51 R21:R51">
    <cfRule type="cellIs" dxfId="29" priority="15" operator="equal">
      <formula>"X"</formula>
    </cfRule>
    <cfRule type="cellIs" dxfId="28" priority="16" operator="equal">
      <formula>"I"</formula>
    </cfRule>
  </conditionalFormatting>
  <hyperlinks>
    <hyperlink ref="B4" location="'Cost Summary'!A1" display="BACK TO SUMMARY SHEET" xr:uid="{CA0F4310-E47F-4464-876B-DE7B88433921}"/>
    <hyperlink ref="H8" r:id="rId1" xr:uid="{25C281EB-3388-4680-94DA-62855F378812}"/>
    <hyperlink ref="L8" r:id="rId2" xr:uid="{EC0EACF0-C20E-440C-83DD-D3257700ECAA}"/>
    <hyperlink ref="N8" r:id="rId3" xr:uid="{990791AC-7C0B-4F5D-8ABA-8B8C4DB0FA37}"/>
    <hyperlink ref="J8" r:id="rId4" xr:uid="{C47195D5-DBE5-4ECB-B338-834280F5D520}"/>
  </hyperlinks>
  <pageMargins left="0.7" right="0.7" top="0.75" bottom="0.75" header="0.3" footer="0.3"/>
  <pageSetup orientation="portrait" r:id="rId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A85D-4C37-43E8-8DB1-6376546362F8}">
  <sheetPr>
    <tabColor rgb="FF00B0F0"/>
  </sheetPr>
  <dimension ref="A1:AO100"/>
  <sheetViews>
    <sheetView zoomScale="90" zoomScaleNormal="90" workbookViewId="0">
      <pane xSplit="2" ySplit="10" topLeftCell="D28" activePane="bottomRight" state="frozen"/>
      <selection pane="topRight" activeCell="C1" sqref="C1"/>
      <selection pane="bottomLeft" activeCell="A11" sqref="A11"/>
      <selection pane="bottomRight" activeCell="B4" sqref="B4"/>
    </sheetView>
  </sheetViews>
  <sheetFormatPr defaultRowHeight="15"/>
  <cols>
    <col min="1" max="1" width="11" customWidth="1"/>
    <col min="2" max="2" width="70.7109375" style="1" customWidth="1"/>
    <col min="3" max="3" width="12.7109375" style="2" customWidth="1"/>
    <col min="4" max="4" width="12.7109375" style="497"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E1" s="68"/>
      <c r="F1" s="275"/>
      <c r="G1" s="269" t="s">
        <v>679</v>
      </c>
      <c r="X1" s="261"/>
    </row>
    <row r="2" spans="1:24">
      <c r="E2" s="68"/>
      <c r="F2" s="276" t="s">
        <v>680</v>
      </c>
      <c r="G2" s="269" t="s">
        <v>681</v>
      </c>
      <c r="X2" s="261"/>
    </row>
    <row r="3" spans="1:24" ht="15.75" thickBot="1">
      <c r="E3" s="68"/>
      <c r="F3" s="277" t="s">
        <v>682</v>
      </c>
      <c r="G3" s="269" t="s">
        <v>683</v>
      </c>
      <c r="X3" s="261"/>
    </row>
    <row r="4" spans="1:24" ht="15.75" thickBot="1">
      <c r="B4" s="262" t="s">
        <v>684</v>
      </c>
      <c r="E4" s="68"/>
      <c r="F4" s="278"/>
      <c r="G4" s="270" t="s">
        <v>685</v>
      </c>
      <c r="H4" s="2323" t="s">
        <v>686</v>
      </c>
      <c r="I4" s="2324"/>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498"/>
      <c r="E5" s="264"/>
      <c r="F5" s="279"/>
      <c r="G5" s="271" t="s">
        <v>693</v>
      </c>
      <c r="H5" s="2321" t="s">
        <v>2847</v>
      </c>
      <c r="I5" s="2322"/>
      <c r="J5" s="2321" t="s">
        <v>2848</v>
      </c>
      <c r="K5" s="2322"/>
      <c r="L5" s="2321"/>
      <c r="M5" s="2322"/>
      <c r="N5" s="2321"/>
      <c r="O5" s="2322"/>
      <c r="P5" s="2333"/>
      <c r="Q5" s="2334"/>
      <c r="R5" s="2333"/>
      <c r="S5" s="2334"/>
      <c r="X5" s="261"/>
    </row>
    <row r="6" spans="1:24">
      <c r="A6" s="1082" t="s">
        <v>700</v>
      </c>
      <c r="B6" s="2016" t="s">
        <v>379</v>
      </c>
      <c r="C6" s="415"/>
      <c r="D6" s="499"/>
      <c r="E6" s="417"/>
      <c r="F6" s="418"/>
      <c r="G6" s="419" t="s">
        <v>702</v>
      </c>
      <c r="H6" s="2325" t="s">
        <v>2849</v>
      </c>
      <c r="I6" s="2326"/>
      <c r="J6" s="2325" t="s">
        <v>2850</v>
      </c>
      <c r="K6" s="2326"/>
      <c r="L6" s="2325"/>
      <c r="M6" s="2326"/>
      <c r="N6" s="2325"/>
      <c r="O6" s="2326"/>
      <c r="P6" s="2313"/>
      <c r="Q6" s="2314"/>
      <c r="R6" s="2313"/>
      <c r="S6" s="2314"/>
      <c r="X6" s="261"/>
    </row>
    <row r="7" spans="1:24">
      <c r="A7" s="1082" t="s">
        <v>706</v>
      </c>
      <c r="B7" s="2017" t="s">
        <v>378</v>
      </c>
      <c r="C7" s="415"/>
      <c r="D7" s="499"/>
      <c r="E7" s="417"/>
      <c r="F7" s="418"/>
      <c r="G7" s="829" t="s">
        <v>708</v>
      </c>
      <c r="H7" s="2325" t="s">
        <v>2851</v>
      </c>
      <c r="I7" s="2326"/>
      <c r="J7" s="2325" t="s">
        <v>2852</v>
      </c>
      <c r="K7" s="2326"/>
      <c r="L7" s="2325"/>
      <c r="M7" s="2326"/>
      <c r="N7" s="2325"/>
      <c r="O7" s="2326"/>
      <c r="P7" s="2313"/>
      <c r="Q7" s="2314"/>
      <c r="R7" s="2313"/>
      <c r="S7" s="2314"/>
      <c r="X7" s="261"/>
    </row>
    <row r="8" spans="1:24">
      <c r="A8" s="1082" t="s">
        <v>712</v>
      </c>
      <c r="B8" s="2018"/>
      <c r="C8" s="415"/>
      <c r="D8" s="499"/>
      <c r="E8" s="417"/>
      <c r="F8" s="418"/>
      <c r="G8" s="829" t="s">
        <v>713</v>
      </c>
      <c r="H8" s="2327" t="s">
        <v>2853</v>
      </c>
      <c r="I8" s="2328"/>
      <c r="J8" s="2327" t="s">
        <v>2854</v>
      </c>
      <c r="K8" s="2328"/>
      <c r="L8" s="2329"/>
      <c r="M8" s="2328"/>
      <c r="N8" s="2329"/>
      <c r="O8" s="2328"/>
      <c r="P8" s="2315"/>
      <c r="Q8" s="2316"/>
      <c r="R8" s="2315"/>
      <c r="S8" s="2316"/>
      <c r="X8" s="261"/>
    </row>
    <row r="9" spans="1:24" ht="15.75" thickBot="1">
      <c r="A9" s="420"/>
      <c r="B9" s="421"/>
      <c r="C9" s="23"/>
      <c r="D9" s="500"/>
      <c r="E9" s="266"/>
      <c r="F9" s="283"/>
      <c r="G9" s="284" t="s">
        <v>717</v>
      </c>
      <c r="H9" s="2317">
        <f>I63</f>
        <v>209676.35594999997</v>
      </c>
      <c r="I9" s="2318"/>
      <c r="J9" s="2317">
        <f>K63</f>
        <v>247249.255</v>
      </c>
      <c r="K9" s="2318"/>
      <c r="L9" s="2317">
        <f>M63</f>
        <v>0</v>
      </c>
      <c r="M9" s="2318"/>
      <c r="N9" s="2330">
        <f>O63</f>
        <v>0</v>
      </c>
      <c r="O9" s="2330"/>
      <c r="P9" s="2317">
        <f>Q63</f>
        <v>0</v>
      </c>
      <c r="Q9" s="2318"/>
      <c r="R9" s="2317">
        <f>S63</f>
        <v>0</v>
      </c>
      <c r="S9" s="2318"/>
      <c r="X9" s="261"/>
    </row>
    <row r="10" spans="1:24" s="267" customFormat="1" ht="32.1" customHeight="1" thickBot="1">
      <c r="A10" s="293"/>
      <c r="B10" s="300"/>
      <c r="C10" s="295" t="s">
        <v>718</v>
      </c>
      <c r="D10" s="501"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c r="A11" s="2040"/>
      <c r="B11" s="2083" t="s">
        <v>725</v>
      </c>
      <c r="C11" s="1396"/>
      <c r="D11" s="2071"/>
      <c r="E11" s="2042"/>
      <c r="F11" s="2043"/>
      <c r="G11" s="2044"/>
      <c r="H11" s="2086"/>
      <c r="I11" s="2046"/>
      <c r="J11" s="2086"/>
      <c r="K11" s="348"/>
      <c r="L11" s="2086"/>
      <c r="M11" s="2047"/>
      <c r="N11" s="2086"/>
      <c r="O11" s="2047"/>
      <c r="P11" s="2086"/>
      <c r="Q11" s="2047"/>
      <c r="R11" s="2086"/>
      <c r="S11" s="2047"/>
    </row>
    <row r="12" spans="1:24">
      <c r="A12" s="2040"/>
      <c r="B12" s="2087" t="s">
        <v>726</v>
      </c>
      <c r="C12" s="415"/>
      <c r="D12" s="499"/>
      <c r="E12" s="422"/>
      <c r="F12" s="418"/>
      <c r="G12" s="423"/>
      <c r="H12" s="2020" t="s">
        <v>727</v>
      </c>
      <c r="I12" s="2046"/>
      <c r="J12" s="2088"/>
      <c r="K12" s="2047"/>
      <c r="L12" s="2088"/>
      <c r="M12" s="2047"/>
      <c r="N12" s="2088"/>
      <c r="O12" s="2047"/>
      <c r="P12" s="2088"/>
      <c r="Q12" s="2047"/>
      <c r="R12" s="2088"/>
      <c r="S12" s="2047"/>
    </row>
    <row r="13" spans="1:24">
      <c r="A13" s="1097"/>
      <c r="B13" s="2087" t="s">
        <v>728</v>
      </c>
      <c r="C13" s="415"/>
      <c r="D13" s="499"/>
      <c r="E13" s="422"/>
      <c r="F13" s="418"/>
      <c r="G13" s="423"/>
      <c r="H13" s="2020" t="s">
        <v>727</v>
      </c>
      <c r="I13" s="2046"/>
      <c r="J13" s="2088"/>
      <c r="K13" s="2047"/>
      <c r="L13" s="2088"/>
      <c r="M13" s="2047"/>
      <c r="N13" s="2088"/>
      <c r="O13" s="2047"/>
      <c r="P13" s="2088"/>
      <c r="Q13" s="2047"/>
      <c r="R13" s="2088"/>
      <c r="S13" s="2047"/>
    </row>
    <row r="14" spans="1:24">
      <c r="A14" s="2040"/>
      <c r="B14" s="2089" t="s">
        <v>729</v>
      </c>
      <c r="C14" s="415"/>
      <c r="D14" s="499"/>
      <c r="E14" s="422"/>
      <c r="F14" s="418"/>
      <c r="G14" s="423"/>
      <c r="H14" s="2020" t="s">
        <v>730</v>
      </c>
      <c r="I14" s="2072" t="s">
        <v>837</v>
      </c>
      <c r="J14" s="2088"/>
      <c r="K14" s="2047"/>
      <c r="L14" s="2088"/>
      <c r="M14" s="2047"/>
      <c r="N14" s="2088"/>
      <c r="O14" s="2047"/>
      <c r="P14" s="2088"/>
      <c r="Q14" s="2047"/>
      <c r="R14" s="2088"/>
      <c r="S14" s="2047"/>
    </row>
    <row r="15" spans="1:24">
      <c r="A15" s="1097"/>
      <c r="B15" s="2089" t="s">
        <v>731</v>
      </c>
      <c r="C15" s="415"/>
      <c r="D15" s="499"/>
      <c r="E15" s="422"/>
      <c r="F15" s="418"/>
      <c r="G15" s="423"/>
      <c r="H15" s="2020" t="s">
        <v>727</v>
      </c>
      <c r="I15" s="2046"/>
      <c r="J15" s="2088"/>
      <c r="K15" s="2046"/>
      <c r="L15" s="2088"/>
      <c r="M15" s="2046"/>
      <c r="N15" s="2088"/>
      <c r="O15" s="2046"/>
      <c r="P15" s="2088"/>
      <c r="Q15" s="2046"/>
      <c r="R15" s="2088"/>
      <c r="S15" s="2046"/>
    </row>
    <row r="16" spans="1:24">
      <c r="A16" s="2040"/>
      <c r="B16" s="2089" t="s">
        <v>732</v>
      </c>
      <c r="C16" s="415"/>
      <c r="D16" s="499"/>
      <c r="E16" s="422"/>
      <c r="F16" s="418"/>
      <c r="G16" s="423"/>
      <c r="H16" s="2020" t="s">
        <v>727</v>
      </c>
      <c r="I16" s="2046"/>
      <c r="J16" s="2088"/>
      <c r="K16" s="2047"/>
      <c r="L16" s="2088"/>
      <c r="M16" s="2047"/>
      <c r="N16" s="2088"/>
      <c r="O16" s="2047"/>
      <c r="P16" s="2088"/>
      <c r="Q16" s="2047"/>
      <c r="R16" s="2088"/>
      <c r="S16" s="2047"/>
    </row>
    <row r="17" spans="1:41">
      <c r="A17" s="1097"/>
      <c r="B17" s="2089" t="s">
        <v>733</v>
      </c>
      <c r="C17" s="415"/>
      <c r="D17" s="499"/>
      <c r="E17" s="422"/>
      <c r="F17" s="418"/>
      <c r="G17" s="423"/>
      <c r="H17" s="2020" t="s">
        <v>727</v>
      </c>
      <c r="I17" s="2046"/>
      <c r="J17" s="2088"/>
      <c r="K17" s="2047"/>
      <c r="L17" s="2088"/>
      <c r="M17" s="2047"/>
      <c r="N17" s="2088"/>
      <c r="O17" s="2047"/>
      <c r="P17" s="2088"/>
      <c r="Q17" s="2047"/>
      <c r="R17" s="2088"/>
      <c r="S17" s="2047"/>
    </row>
    <row r="18" spans="1:41">
      <c r="A18" s="2040"/>
      <c r="B18" s="726" t="s">
        <v>734</v>
      </c>
      <c r="C18" s="415"/>
      <c r="D18" s="499"/>
      <c r="E18" s="422"/>
      <c r="F18" s="418"/>
      <c r="G18" s="423"/>
      <c r="H18" s="2020" t="s">
        <v>730</v>
      </c>
      <c r="I18" s="2046" t="s">
        <v>1780</v>
      </c>
      <c r="J18" s="2088"/>
      <c r="K18" s="2047"/>
      <c r="L18" s="2088"/>
      <c r="M18" s="2047"/>
      <c r="N18" s="2088"/>
      <c r="O18" s="2047"/>
      <c r="P18" s="2088"/>
      <c r="Q18" s="2047"/>
      <c r="R18" s="2088"/>
      <c r="S18" s="2047"/>
    </row>
    <row r="19" spans="1:41">
      <c r="A19" s="2040"/>
      <c r="B19" s="2090" t="s">
        <v>736</v>
      </c>
      <c r="C19" s="415"/>
      <c r="D19" s="499"/>
      <c r="E19" s="422"/>
      <c r="F19" s="418"/>
      <c r="G19" s="423"/>
      <c r="H19" s="2088"/>
      <c r="I19" s="2046"/>
      <c r="J19" s="2088"/>
      <c r="K19" s="2047"/>
      <c r="L19" s="2088"/>
      <c r="M19" s="2047"/>
      <c r="N19" s="2088"/>
      <c r="O19" s="2047"/>
      <c r="P19" s="2088"/>
      <c r="Q19" s="2047"/>
      <c r="R19" s="2088"/>
      <c r="S19" s="2047"/>
    </row>
    <row r="20" spans="1:41">
      <c r="A20" s="1097"/>
      <c r="B20" s="2091" t="s">
        <v>737</v>
      </c>
      <c r="C20" s="424"/>
      <c r="D20" s="502"/>
      <c r="E20" s="425"/>
      <c r="F20" s="426"/>
      <c r="G20" s="427"/>
      <c r="H20" s="2092"/>
      <c r="I20" s="2024"/>
      <c r="J20" s="2092"/>
      <c r="K20" s="2025"/>
      <c r="L20" s="2092"/>
      <c r="M20" s="2025"/>
      <c r="N20" s="2092"/>
      <c r="O20" s="2025"/>
      <c r="P20" s="2092"/>
      <c r="Q20" s="2025"/>
      <c r="R20" s="2092"/>
      <c r="S20" s="2025"/>
    </row>
    <row r="21" spans="1:41">
      <c r="A21" s="2040"/>
      <c r="B21" s="1104"/>
      <c r="C21" s="23"/>
      <c r="D21" s="500"/>
      <c r="E21" s="86"/>
      <c r="F21" s="280"/>
      <c r="G21" s="274"/>
      <c r="H21" s="2088"/>
      <c r="I21" s="428"/>
      <c r="J21" s="2088"/>
      <c r="K21" s="428"/>
      <c r="L21" s="2088"/>
      <c r="M21" s="428"/>
      <c r="N21" s="2088"/>
      <c r="O21" s="428"/>
      <c r="P21" s="2088"/>
      <c r="Q21" s="428"/>
      <c r="R21" s="2088"/>
      <c r="S21" s="428"/>
    </row>
    <row r="22" spans="1:41" s="514" customFormat="1">
      <c r="A22" s="1097"/>
      <c r="B22" s="2112" t="s">
        <v>2855</v>
      </c>
      <c r="C22" s="511"/>
      <c r="D22" s="515"/>
      <c r="E22" s="462"/>
      <c r="F22" s="512"/>
      <c r="G22" s="513"/>
      <c r="H22" s="2113"/>
      <c r="I22" s="2114"/>
      <c r="J22" s="2113"/>
      <c r="K22" s="2115"/>
      <c r="L22" s="2113"/>
      <c r="M22" s="2115"/>
      <c r="N22" s="2113"/>
      <c r="O22" s="2114"/>
      <c r="P22" s="2113"/>
      <c r="Q22" s="2114"/>
      <c r="R22" s="2113"/>
      <c r="S22" s="2115"/>
      <c r="T22" s="267"/>
      <c r="U22" s="267"/>
      <c r="V22" s="267"/>
      <c r="W22" s="267"/>
      <c r="X22" s="267"/>
      <c r="Y22" s="267"/>
      <c r="Z22" s="267"/>
      <c r="AA22" s="267"/>
      <c r="AB22" s="267"/>
      <c r="AC22" s="267"/>
      <c r="AD22" s="267"/>
      <c r="AE22" s="267"/>
      <c r="AF22" s="267"/>
      <c r="AG22" s="267"/>
      <c r="AH22" s="267"/>
      <c r="AI22" s="267"/>
      <c r="AJ22" s="267"/>
      <c r="AK22" s="267"/>
      <c r="AL22" s="267"/>
      <c r="AM22" s="267"/>
      <c r="AN22" s="267"/>
      <c r="AO22" s="267"/>
    </row>
    <row r="23" spans="1:41" s="267" customFormat="1">
      <c r="A23" s="2040"/>
      <c r="B23" s="2116" t="s">
        <v>2856</v>
      </c>
      <c r="C23" s="2103"/>
      <c r="D23" s="2117">
        <v>1</v>
      </c>
      <c r="E23" s="2118" t="s">
        <v>468</v>
      </c>
      <c r="F23" s="2106"/>
      <c r="G23" s="2107"/>
      <c r="H23" s="2113" t="s">
        <v>682</v>
      </c>
      <c r="I23" s="2109">
        <v>11000</v>
      </c>
      <c r="J23" s="2113" t="s">
        <v>682</v>
      </c>
      <c r="K23" s="2109">
        <v>13750</v>
      </c>
      <c r="L23" s="2113"/>
      <c r="M23" s="2109"/>
      <c r="N23" s="2113"/>
      <c r="O23" s="2109"/>
      <c r="P23" s="2113"/>
      <c r="Q23" s="2109"/>
      <c r="R23" s="2113"/>
      <c r="S23" s="2109"/>
    </row>
    <row r="24" spans="1:41" s="267" customFormat="1">
      <c r="A24" s="1097"/>
      <c r="B24" s="2112" t="s">
        <v>2857</v>
      </c>
      <c r="C24" s="511"/>
      <c r="D24" s="516"/>
      <c r="E24" s="462"/>
      <c r="F24" s="463"/>
      <c r="G24" s="2107"/>
      <c r="H24" s="2113"/>
      <c r="I24" s="2109"/>
      <c r="J24" s="2113"/>
      <c r="K24" s="2109"/>
      <c r="L24" s="2113"/>
      <c r="M24" s="2109"/>
      <c r="N24" s="2113"/>
      <c r="O24" s="2109"/>
      <c r="P24" s="2113"/>
      <c r="Q24" s="2109"/>
      <c r="R24" s="2113"/>
      <c r="S24" s="2109"/>
    </row>
    <row r="25" spans="1:41" s="267" customFormat="1" ht="30">
      <c r="A25" s="2040"/>
      <c r="B25" s="2116" t="s">
        <v>2858</v>
      </c>
      <c r="C25" s="511"/>
      <c r="D25" s="516">
        <v>4</v>
      </c>
      <c r="E25" s="462" t="s">
        <v>468</v>
      </c>
      <c r="F25" s="463"/>
      <c r="G25" s="2107"/>
      <c r="H25" s="2113" t="s">
        <v>682</v>
      </c>
      <c r="I25" s="2109">
        <f>5180*2</f>
        <v>10360</v>
      </c>
      <c r="J25" s="2113" t="s">
        <v>682</v>
      </c>
      <c r="K25" s="2109">
        <f>6475*2</f>
        <v>12950</v>
      </c>
      <c r="L25" s="2113"/>
      <c r="M25" s="2109"/>
      <c r="N25" s="2113"/>
      <c r="O25" s="2109"/>
      <c r="P25" s="2113"/>
      <c r="Q25" s="2109"/>
      <c r="R25" s="2113"/>
      <c r="S25" s="2109"/>
    </row>
    <row r="26" spans="1:41" s="267" customFormat="1">
      <c r="A26" s="2040"/>
      <c r="B26" s="2116" t="s">
        <v>2859</v>
      </c>
      <c r="C26" s="511"/>
      <c r="D26" s="516">
        <v>24</v>
      </c>
      <c r="E26" s="462" t="s">
        <v>468</v>
      </c>
      <c r="F26" s="463"/>
      <c r="G26" s="2107"/>
      <c r="H26" s="2113" t="s">
        <v>682</v>
      </c>
      <c r="I26" s="2109">
        <v>60960</v>
      </c>
      <c r="J26" s="2113" t="s">
        <v>682</v>
      </c>
      <c r="K26" s="2109">
        <v>76200</v>
      </c>
      <c r="L26" s="2113"/>
      <c r="M26" s="2109"/>
      <c r="N26" s="2113"/>
      <c r="O26" s="2109"/>
      <c r="P26" s="2113"/>
      <c r="Q26" s="2109"/>
      <c r="R26" s="2113"/>
      <c r="S26" s="2109"/>
    </row>
    <row r="27" spans="1:41" s="267" customFormat="1">
      <c r="A27" s="1097"/>
      <c r="B27" s="2112" t="s">
        <v>2860</v>
      </c>
      <c r="C27" s="511"/>
      <c r="D27" s="516"/>
      <c r="E27" s="462"/>
      <c r="F27" s="463"/>
      <c r="G27" s="2107"/>
      <c r="H27" s="2113"/>
      <c r="I27" s="2109"/>
      <c r="J27" s="2113"/>
      <c r="K27" s="2109"/>
      <c r="L27" s="2113"/>
      <c r="M27" s="2109"/>
      <c r="N27" s="2113"/>
      <c r="O27" s="2109"/>
      <c r="P27" s="2113"/>
      <c r="Q27" s="2109"/>
      <c r="R27" s="2113"/>
      <c r="S27" s="2109"/>
    </row>
    <row r="28" spans="1:41" s="267" customFormat="1">
      <c r="A28" s="2040"/>
      <c r="B28" s="2116" t="s">
        <v>2861</v>
      </c>
      <c r="C28" s="511"/>
      <c r="D28" s="516">
        <v>4</v>
      </c>
      <c r="E28" s="462" t="s">
        <v>468</v>
      </c>
      <c r="F28" s="463"/>
      <c r="G28" s="2107"/>
      <c r="H28" s="2113" t="s">
        <v>682</v>
      </c>
      <c r="I28" s="2119">
        <v>12320</v>
      </c>
      <c r="J28" s="2113" t="s">
        <v>682</v>
      </c>
      <c r="K28" s="2109">
        <v>15400</v>
      </c>
      <c r="L28" s="2113"/>
      <c r="M28" s="2109"/>
      <c r="N28" s="2113"/>
      <c r="O28" s="2109"/>
      <c r="P28" s="2113"/>
      <c r="Q28" s="2109"/>
      <c r="R28" s="2113"/>
      <c r="S28" s="2109"/>
    </row>
    <row r="29" spans="1:41" s="267" customFormat="1">
      <c r="A29" s="1097"/>
      <c r="B29" s="2120" t="s">
        <v>2862</v>
      </c>
      <c r="C29" s="511"/>
      <c r="D29" s="516"/>
      <c r="E29" s="462"/>
      <c r="F29" s="463"/>
      <c r="G29" s="2107"/>
      <c r="H29" s="2113"/>
      <c r="I29" s="2119"/>
      <c r="J29" s="2113"/>
      <c r="K29" s="2109"/>
      <c r="L29" s="2113"/>
      <c r="M29" s="2109"/>
      <c r="N29" s="2113"/>
      <c r="O29" s="2109"/>
      <c r="P29" s="2113"/>
      <c r="Q29" s="2109"/>
      <c r="R29" s="2113"/>
      <c r="S29" s="2109"/>
    </row>
    <row r="30" spans="1:41" s="267" customFormat="1" ht="30">
      <c r="A30" s="2040"/>
      <c r="B30" s="2116" t="s">
        <v>2863</v>
      </c>
      <c r="C30" s="511"/>
      <c r="D30" s="516">
        <v>8</v>
      </c>
      <c r="E30" s="462" t="s">
        <v>468</v>
      </c>
      <c r="F30" s="463"/>
      <c r="G30" s="2107"/>
      <c r="H30" s="2113" t="s">
        <v>682</v>
      </c>
      <c r="I30" s="2119">
        <v>16720</v>
      </c>
      <c r="J30" s="2113" t="s">
        <v>682</v>
      </c>
      <c r="K30" s="2109">
        <v>20900</v>
      </c>
      <c r="L30" s="2113"/>
      <c r="M30" s="2109"/>
      <c r="N30" s="2113"/>
      <c r="O30" s="2109"/>
      <c r="P30" s="2113"/>
      <c r="Q30" s="2109"/>
      <c r="R30" s="2113"/>
      <c r="S30" s="2109"/>
    </row>
    <row r="31" spans="1:41" s="267" customFormat="1">
      <c r="A31" s="2040"/>
      <c r="B31" s="2120" t="s">
        <v>2864</v>
      </c>
      <c r="C31" s="511"/>
      <c r="D31" s="516"/>
      <c r="E31" s="462"/>
      <c r="F31" s="463"/>
      <c r="G31" s="2107"/>
      <c r="H31" s="2113"/>
      <c r="I31" s="2119"/>
      <c r="J31" s="2113"/>
      <c r="K31" s="2109"/>
      <c r="L31" s="2113"/>
      <c r="M31" s="2109"/>
      <c r="N31" s="2113"/>
      <c r="O31" s="2109"/>
      <c r="P31" s="2113"/>
      <c r="Q31" s="2109"/>
      <c r="R31" s="2113"/>
      <c r="S31" s="2109"/>
    </row>
    <row r="32" spans="1:41" s="267" customFormat="1">
      <c r="A32" s="1097"/>
      <c r="B32" s="2116" t="s">
        <v>2865</v>
      </c>
      <c r="C32" s="511"/>
      <c r="D32" s="516">
        <v>6</v>
      </c>
      <c r="E32" s="462" t="s">
        <v>468</v>
      </c>
      <c r="F32" s="463"/>
      <c r="G32" s="2107"/>
      <c r="H32" s="2113" t="s">
        <v>682</v>
      </c>
      <c r="I32" s="2119">
        <v>3180</v>
      </c>
      <c r="J32" s="2113" t="s">
        <v>682</v>
      </c>
      <c r="K32" s="2109">
        <v>3975</v>
      </c>
      <c r="L32" s="2113"/>
      <c r="M32" s="2109"/>
      <c r="N32" s="2113"/>
      <c r="O32" s="2109"/>
      <c r="P32" s="2113"/>
      <c r="Q32" s="2109"/>
      <c r="R32" s="2113"/>
      <c r="S32" s="2109"/>
    </row>
    <row r="33" spans="1:19" s="267" customFormat="1">
      <c r="A33" s="2040"/>
      <c r="B33" s="2120"/>
      <c r="C33" s="511"/>
      <c r="D33" s="516"/>
      <c r="E33" s="462"/>
      <c r="F33" s="463"/>
      <c r="G33" s="2107"/>
      <c r="H33" s="2113"/>
      <c r="I33" s="2109"/>
      <c r="J33" s="2113"/>
      <c r="K33" s="2109"/>
      <c r="L33" s="2113"/>
      <c r="M33" s="2109"/>
      <c r="N33" s="2113"/>
      <c r="O33" s="2109"/>
      <c r="P33" s="2113"/>
      <c r="Q33" s="2109"/>
      <c r="R33" s="2113"/>
      <c r="S33" s="2109"/>
    </row>
    <row r="34" spans="1:19" s="267" customFormat="1">
      <c r="A34" s="1097"/>
      <c r="B34" s="2121" t="s">
        <v>2866</v>
      </c>
      <c r="C34" s="511"/>
      <c r="D34" s="516">
        <v>1</v>
      </c>
      <c r="E34" s="462" t="s">
        <v>462</v>
      </c>
      <c r="F34" s="463"/>
      <c r="G34" s="2107"/>
      <c r="H34" s="2113" t="s">
        <v>682</v>
      </c>
      <c r="I34" s="2109">
        <f>27156+6290</f>
        <v>33446</v>
      </c>
      <c r="J34" s="2113" t="s">
        <v>682</v>
      </c>
      <c r="K34" s="2109">
        <v>43439.33</v>
      </c>
      <c r="L34" s="2113"/>
      <c r="M34" s="2109"/>
      <c r="N34" s="2113"/>
      <c r="O34" s="2109"/>
      <c r="P34" s="2113"/>
      <c r="Q34" s="2109"/>
      <c r="R34" s="2113"/>
      <c r="S34" s="2109"/>
    </row>
    <row r="35" spans="1:19">
      <c r="A35" s="2040"/>
      <c r="B35" s="2097" t="s">
        <v>2867</v>
      </c>
      <c r="C35" s="23"/>
      <c r="D35" s="504">
        <v>1</v>
      </c>
      <c r="E35" s="422" t="s">
        <v>462</v>
      </c>
      <c r="F35" s="431">
        <f>SUM(K23:K32)*0.075</f>
        <v>10738.125</v>
      </c>
      <c r="G35" s="2029">
        <f>D35*F35</f>
        <v>10738.125</v>
      </c>
      <c r="H35" s="2088" t="s">
        <v>682</v>
      </c>
      <c r="I35" s="2047">
        <f>5702.4+2255.4</f>
        <v>7957.7999999999993</v>
      </c>
      <c r="J35" s="2088" t="s">
        <v>682</v>
      </c>
      <c r="K35" s="2073">
        <f>G35</f>
        <v>10738.125</v>
      </c>
      <c r="L35" s="2088"/>
      <c r="M35" s="2047"/>
      <c r="N35" s="2088"/>
      <c r="O35" s="2047"/>
      <c r="P35" s="2088"/>
      <c r="Q35" s="2047"/>
      <c r="R35" s="2088"/>
      <c r="S35" s="2047"/>
    </row>
    <row r="36" spans="1:19">
      <c r="A36" s="1097"/>
      <c r="B36" s="2097"/>
      <c r="C36" s="23"/>
      <c r="D36" s="503"/>
      <c r="E36" s="86"/>
      <c r="F36" s="431"/>
      <c r="G36" s="2029"/>
      <c r="H36" s="2088"/>
      <c r="I36" s="2047"/>
      <c r="J36" s="2088"/>
      <c r="K36" s="2047"/>
      <c r="L36" s="2088"/>
      <c r="M36" s="2047"/>
      <c r="N36" s="2088"/>
      <c r="O36" s="2047"/>
      <c r="P36" s="2088"/>
      <c r="Q36" s="2047"/>
      <c r="R36" s="2088"/>
      <c r="S36" s="2047"/>
    </row>
    <row r="37" spans="1:19">
      <c r="A37" s="2040"/>
      <c r="B37" s="2097" t="s">
        <v>2868</v>
      </c>
      <c r="C37" s="23"/>
      <c r="D37" s="503">
        <f>20*21</f>
        <v>420</v>
      </c>
      <c r="E37" s="86" t="s">
        <v>511</v>
      </c>
      <c r="F37" s="431">
        <v>10</v>
      </c>
      <c r="G37" s="2029">
        <f>D37*F37</f>
        <v>4200</v>
      </c>
      <c r="H37" s="2088"/>
      <c r="I37" s="2073">
        <f>$G37</f>
        <v>4200</v>
      </c>
      <c r="J37" s="2088"/>
      <c r="K37" s="2073">
        <f>$G37</f>
        <v>4200</v>
      </c>
      <c r="L37" s="2088"/>
      <c r="M37" s="2047"/>
      <c r="N37" s="2088"/>
      <c r="O37" s="2047"/>
      <c r="P37" s="2088"/>
      <c r="Q37" s="2047"/>
      <c r="R37" s="2088"/>
      <c r="S37" s="2047"/>
    </row>
    <row r="38" spans="1:19">
      <c r="A38" s="2040"/>
      <c r="B38" s="2097" t="s">
        <v>2869</v>
      </c>
      <c r="C38" s="23"/>
      <c r="D38" s="503">
        <v>2</v>
      </c>
      <c r="E38" s="86" t="s">
        <v>2870</v>
      </c>
      <c r="F38" s="431">
        <f>1600+750</f>
        <v>2350</v>
      </c>
      <c r="G38" s="2029">
        <f>D38*F38</f>
        <v>4700</v>
      </c>
      <c r="H38" s="2088"/>
      <c r="I38" s="2073">
        <f t="shared" ref="I38:K40" si="0">$G38</f>
        <v>4700</v>
      </c>
      <c r="J38" s="2088"/>
      <c r="K38" s="2073">
        <f t="shared" si="0"/>
        <v>4700</v>
      </c>
      <c r="L38" s="2088"/>
      <c r="M38" s="2047"/>
      <c r="N38" s="2088"/>
      <c r="O38" s="2047"/>
      <c r="P38" s="2088"/>
      <c r="Q38" s="2047"/>
      <c r="R38" s="2088"/>
      <c r="S38" s="2047"/>
    </row>
    <row r="39" spans="1:19">
      <c r="A39" s="2040"/>
      <c r="B39" s="2097" t="s">
        <v>2871</v>
      </c>
      <c r="C39" s="23"/>
      <c r="D39" s="503">
        <f>5*16</f>
        <v>80</v>
      </c>
      <c r="E39" s="86" t="s">
        <v>2872</v>
      </c>
      <c r="F39" s="431">
        <v>75</v>
      </c>
      <c r="G39" s="2029">
        <f>D39*F39</f>
        <v>6000</v>
      </c>
      <c r="H39" s="2088"/>
      <c r="I39" s="2073">
        <f t="shared" si="0"/>
        <v>6000</v>
      </c>
      <c r="J39" s="2088"/>
      <c r="K39" s="2073">
        <f t="shared" si="0"/>
        <v>6000</v>
      </c>
      <c r="L39" s="2088"/>
      <c r="M39" s="2047"/>
      <c r="N39" s="2088"/>
      <c r="O39" s="2047"/>
      <c r="P39" s="2088"/>
      <c r="Q39" s="2047"/>
      <c r="R39" s="2088"/>
      <c r="S39" s="2047"/>
    </row>
    <row r="40" spans="1:19">
      <c r="A40" s="2040"/>
      <c r="B40" s="2097" t="s">
        <v>2873</v>
      </c>
      <c r="C40" s="23"/>
      <c r="D40" s="503">
        <f>14*4</f>
        <v>56</v>
      </c>
      <c r="E40" s="86" t="s">
        <v>468</v>
      </c>
      <c r="F40" s="431">
        <v>50</v>
      </c>
      <c r="G40" s="2029">
        <f>D40*F40</f>
        <v>2800</v>
      </c>
      <c r="H40" s="2088"/>
      <c r="I40" s="2073">
        <f t="shared" si="0"/>
        <v>2800</v>
      </c>
      <c r="J40" s="2088"/>
      <c r="K40" s="2073">
        <f t="shared" si="0"/>
        <v>2800</v>
      </c>
      <c r="L40" s="2088"/>
      <c r="M40" s="2047"/>
      <c r="N40" s="2088"/>
      <c r="O40" s="2047"/>
      <c r="P40" s="2088"/>
      <c r="Q40" s="2047"/>
      <c r="R40" s="2088"/>
      <c r="S40" s="2047"/>
    </row>
    <row r="41" spans="1:19">
      <c r="A41" s="2040"/>
      <c r="B41" s="2097"/>
      <c r="C41" s="23"/>
      <c r="D41" s="503"/>
      <c r="E41" s="86"/>
      <c r="F41" s="431"/>
      <c r="G41" s="2029"/>
      <c r="H41" s="2088"/>
      <c r="I41" s="2047"/>
      <c r="J41" s="2088"/>
      <c r="K41" s="2047"/>
      <c r="L41" s="2088"/>
      <c r="M41" s="2047"/>
      <c r="N41" s="2088"/>
      <c r="O41" s="2047"/>
      <c r="P41" s="2088"/>
      <c r="Q41" s="2047"/>
      <c r="R41" s="2088"/>
      <c r="S41" s="2047"/>
    </row>
    <row r="42" spans="1:19" s="267" customFormat="1">
      <c r="A42" s="2040"/>
      <c r="B42" s="2120" t="s">
        <v>2874</v>
      </c>
      <c r="C42" s="511"/>
      <c r="D42" s="516"/>
      <c r="E42" s="462"/>
      <c r="F42" s="463"/>
      <c r="G42" s="2107"/>
      <c r="H42" s="2113"/>
      <c r="I42" s="2109" t="s">
        <v>2875</v>
      </c>
      <c r="J42" s="2113"/>
      <c r="K42" s="2109"/>
      <c r="L42" s="2113"/>
      <c r="M42" s="2109"/>
      <c r="N42" s="2113"/>
      <c r="O42" s="2109"/>
      <c r="P42" s="2113"/>
      <c r="Q42" s="2109"/>
      <c r="R42" s="2113"/>
      <c r="S42" s="2109"/>
    </row>
    <row r="43" spans="1:19" s="267" customFormat="1" ht="45">
      <c r="A43" s="1097"/>
      <c r="B43" s="2116" t="s">
        <v>2876</v>
      </c>
      <c r="C43" s="511"/>
      <c r="D43" s="516">
        <v>4</v>
      </c>
      <c r="E43" s="462" t="s">
        <v>468</v>
      </c>
      <c r="F43" s="463">
        <v>2358</v>
      </c>
      <c r="G43" s="2107">
        <f>D43*F43</f>
        <v>9432</v>
      </c>
      <c r="H43" s="2113"/>
      <c r="I43" s="2119">
        <f>G43</f>
        <v>9432</v>
      </c>
      <c r="J43" s="2113"/>
      <c r="K43" s="2109">
        <v>7860</v>
      </c>
      <c r="L43" s="2113"/>
      <c r="M43" s="2109"/>
      <c r="N43" s="2113"/>
      <c r="O43" s="2109"/>
      <c r="P43" s="2113"/>
      <c r="Q43" s="2109"/>
      <c r="R43" s="2113"/>
      <c r="S43" s="2109"/>
    </row>
    <row r="44" spans="1:19" s="267" customFormat="1">
      <c r="A44" s="2040"/>
      <c r="B44" s="2121" t="s">
        <v>2866</v>
      </c>
      <c r="C44" s="517"/>
      <c r="D44" s="518">
        <v>1</v>
      </c>
      <c r="E44" s="390" t="s">
        <v>462</v>
      </c>
      <c r="F44" s="463">
        <v>1200</v>
      </c>
      <c r="G44" s="2107">
        <f>D44*F44</f>
        <v>1200</v>
      </c>
      <c r="H44" s="2113" t="s">
        <v>682</v>
      </c>
      <c r="I44" s="2119">
        <v>1102.69</v>
      </c>
      <c r="J44" s="2113" t="s">
        <v>682</v>
      </c>
      <c r="K44" s="2109">
        <v>0</v>
      </c>
      <c r="L44" s="2113"/>
      <c r="M44" s="2109"/>
      <c r="N44" s="2113"/>
      <c r="O44" s="2109"/>
      <c r="P44" s="2113"/>
      <c r="Q44" s="2109"/>
      <c r="R44" s="2113"/>
      <c r="S44" s="2109"/>
    </row>
    <row r="45" spans="1:19" s="267" customFormat="1">
      <c r="A45" s="2040"/>
      <c r="B45" s="2097" t="s">
        <v>2867</v>
      </c>
      <c r="C45" s="517"/>
      <c r="D45" s="518">
        <v>1</v>
      </c>
      <c r="E45" s="390" t="s">
        <v>462</v>
      </c>
      <c r="F45" s="463">
        <f>G43*0.075</f>
        <v>707.4</v>
      </c>
      <c r="G45" s="2107">
        <f>D45*F45</f>
        <v>707.4</v>
      </c>
      <c r="H45" s="2113"/>
      <c r="I45" s="2073">
        <f t="shared" ref="I45:K47" si="1">$G45</f>
        <v>707.4</v>
      </c>
      <c r="J45" s="2113"/>
      <c r="K45" s="2122">
        <f>K43*0.075</f>
        <v>589.5</v>
      </c>
      <c r="L45" s="2113"/>
      <c r="M45" s="2109"/>
      <c r="N45" s="2113"/>
      <c r="O45" s="2109"/>
      <c r="P45" s="2113"/>
      <c r="Q45" s="2109"/>
      <c r="R45" s="2113"/>
      <c r="S45" s="2109"/>
    </row>
    <row r="46" spans="1:19">
      <c r="A46" s="2040"/>
      <c r="B46" s="2097" t="s">
        <v>2877</v>
      </c>
      <c r="C46" s="23"/>
      <c r="D46" s="503">
        <f>2*4</f>
        <v>8</v>
      </c>
      <c r="E46" s="86" t="s">
        <v>2872</v>
      </c>
      <c r="F46" s="431">
        <v>75</v>
      </c>
      <c r="G46" s="2029">
        <f>D46*F46</f>
        <v>600</v>
      </c>
      <c r="H46" s="2088"/>
      <c r="I46" s="2073">
        <f t="shared" si="1"/>
        <v>600</v>
      </c>
      <c r="J46" s="2088"/>
      <c r="K46" s="2073">
        <f t="shared" si="1"/>
        <v>600</v>
      </c>
      <c r="L46" s="2088"/>
      <c r="M46" s="2047"/>
      <c r="N46" s="2088"/>
      <c r="O46" s="2047"/>
      <c r="P46" s="2088"/>
      <c r="Q46" s="2047"/>
      <c r="R46" s="2088"/>
      <c r="S46" s="2047"/>
    </row>
    <row r="47" spans="1:19">
      <c r="A47" s="2040"/>
      <c r="B47" s="2097" t="s">
        <v>2873</v>
      </c>
      <c r="C47" s="23"/>
      <c r="D47" s="503">
        <v>40</v>
      </c>
      <c r="E47" s="86" t="s">
        <v>468</v>
      </c>
      <c r="F47" s="431">
        <v>50</v>
      </c>
      <c r="G47" s="2029">
        <f>D47*F47</f>
        <v>2000</v>
      </c>
      <c r="H47" s="2088"/>
      <c r="I47" s="2073">
        <f t="shared" si="1"/>
        <v>2000</v>
      </c>
      <c r="J47" s="2088"/>
      <c r="K47" s="2073">
        <f t="shared" si="1"/>
        <v>2000</v>
      </c>
      <c r="L47" s="2088"/>
      <c r="M47" s="2047"/>
      <c r="N47" s="2088"/>
      <c r="O47" s="2047"/>
      <c r="P47" s="2088"/>
      <c r="Q47" s="2047"/>
      <c r="R47" s="2088"/>
      <c r="S47" s="2047"/>
    </row>
    <row r="48" spans="1:19">
      <c r="A48" s="2040"/>
      <c r="B48" s="2097"/>
      <c r="C48" s="23"/>
      <c r="D48" s="503"/>
      <c r="E48" s="86"/>
      <c r="F48" s="431"/>
      <c r="G48" s="2029"/>
      <c r="H48" s="2088"/>
      <c r="I48" s="2047"/>
      <c r="J48" s="2088"/>
      <c r="K48" s="2047"/>
      <c r="L48" s="2088"/>
      <c r="M48" s="2047"/>
      <c r="N48" s="2088"/>
      <c r="O48" s="2047"/>
      <c r="P48" s="2088"/>
      <c r="Q48" s="2047"/>
      <c r="R48" s="2088"/>
      <c r="S48" s="2047"/>
    </row>
    <row r="49" spans="1:19">
      <c r="A49" s="2040"/>
      <c r="B49" s="2097" t="s">
        <v>2878</v>
      </c>
      <c r="C49" s="23"/>
      <c r="D49" s="503"/>
      <c r="E49" s="86"/>
      <c r="F49" s="431"/>
      <c r="G49" s="2029"/>
      <c r="H49" s="2088"/>
      <c r="I49" s="2047"/>
      <c r="J49" s="2088"/>
      <c r="K49" s="2047"/>
      <c r="L49" s="2088"/>
      <c r="M49" s="2047"/>
      <c r="N49" s="2088"/>
      <c r="O49" s="2047"/>
      <c r="P49" s="2088"/>
      <c r="Q49" s="2047"/>
      <c r="R49" s="2088"/>
      <c r="S49" s="2047"/>
    </row>
    <row r="50" spans="1:19">
      <c r="A50" s="2040"/>
      <c r="B50" s="2097"/>
      <c r="C50" s="23"/>
      <c r="D50" s="503">
        <v>6</v>
      </c>
      <c r="E50" s="86" t="s">
        <v>468</v>
      </c>
      <c r="F50" s="431">
        <v>2194</v>
      </c>
      <c r="G50" s="2029">
        <f t="shared" ref="G50:G55" si="2">D50*F50</f>
        <v>13164</v>
      </c>
      <c r="H50" s="2088"/>
      <c r="I50" s="2073">
        <f t="shared" ref="I50:K57" si="3">$G50</f>
        <v>13164</v>
      </c>
      <c r="J50" s="2088"/>
      <c r="K50" s="2073">
        <f t="shared" si="3"/>
        <v>13164</v>
      </c>
      <c r="L50" s="2088"/>
      <c r="M50" s="2047"/>
      <c r="N50" s="2088"/>
      <c r="O50" s="2047"/>
      <c r="P50" s="2088"/>
      <c r="Q50" s="2047"/>
      <c r="R50" s="2088"/>
      <c r="S50" s="2047"/>
    </row>
    <row r="51" spans="1:19">
      <c r="A51" s="2040"/>
      <c r="B51" s="2096"/>
      <c r="C51" s="23"/>
      <c r="D51" s="503">
        <v>4</v>
      </c>
      <c r="E51" s="86" t="s">
        <v>468</v>
      </c>
      <c r="F51" s="431">
        <v>874</v>
      </c>
      <c r="G51" s="2029">
        <f t="shared" si="2"/>
        <v>3496</v>
      </c>
      <c r="H51" s="2088"/>
      <c r="I51" s="2073">
        <f t="shared" si="3"/>
        <v>3496</v>
      </c>
      <c r="J51" s="2088"/>
      <c r="K51" s="2073">
        <f t="shared" si="3"/>
        <v>3496</v>
      </c>
      <c r="L51" s="2088"/>
      <c r="M51" s="2047"/>
      <c r="N51" s="2088"/>
      <c r="O51" s="2047"/>
      <c r="P51" s="2088"/>
      <c r="Q51" s="2047"/>
      <c r="R51" s="2088"/>
      <c r="S51" s="2047"/>
    </row>
    <row r="52" spans="1:19" s="267" customFormat="1">
      <c r="A52" s="2040"/>
      <c r="B52" s="2121" t="s">
        <v>2866</v>
      </c>
      <c r="C52" s="517"/>
      <c r="D52" s="518">
        <v>1</v>
      </c>
      <c r="E52" s="390" t="s">
        <v>462</v>
      </c>
      <c r="F52" s="463">
        <v>750</v>
      </c>
      <c r="G52" s="2107">
        <f>D52*F52</f>
        <v>750</v>
      </c>
      <c r="H52" s="2113"/>
      <c r="I52" s="2073">
        <f t="shared" si="3"/>
        <v>750</v>
      </c>
      <c r="J52" s="2113"/>
      <c r="K52" s="2073">
        <f t="shared" si="3"/>
        <v>750</v>
      </c>
      <c r="L52" s="2113"/>
      <c r="M52" s="2109"/>
      <c r="N52" s="2113"/>
      <c r="O52" s="2109"/>
      <c r="P52" s="2113"/>
      <c r="Q52" s="2109"/>
      <c r="R52" s="2113"/>
      <c r="S52" s="2109"/>
    </row>
    <row r="53" spans="1:19" s="267" customFormat="1">
      <c r="A53" s="2040"/>
      <c r="B53" s="2097" t="s">
        <v>2867</v>
      </c>
      <c r="C53" s="517"/>
      <c r="D53" s="518">
        <v>1</v>
      </c>
      <c r="E53" s="390" t="s">
        <v>462</v>
      </c>
      <c r="F53" s="463">
        <f>G50*0.075</f>
        <v>987.3</v>
      </c>
      <c r="G53" s="2107">
        <f>D53*F53</f>
        <v>987.3</v>
      </c>
      <c r="H53" s="2113"/>
      <c r="I53" s="2073">
        <f t="shared" si="3"/>
        <v>987.3</v>
      </c>
      <c r="J53" s="2113"/>
      <c r="K53" s="2073">
        <f t="shared" ref="K53:K55" si="4">$G53</f>
        <v>987.3</v>
      </c>
      <c r="L53" s="2113"/>
      <c r="M53" s="2109"/>
      <c r="N53" s="2113"/>
      <c r="O53" s="2109"/>
      <c r="P53" s="2113"/>
      <c r="Q53" s="2109"/>
      <c r="R53" s="2113"/>
      <c r="S53" s="2109"/>
    </row>
    <row r="54" spans="1:19" s="267" customFormat="1">
      <c r="A54" s="2040"/>
      <c r="B54" s="2097" t="s">
        <v>2879</v>
      </c>
      <c r="C54" s="517"/>
      <c r="D54" s="518">
        <v>10</v>
      </c>
      <c r="E54" s="86" t="s">
        <v>2872</v>
      </c>
      <c r="F54" s="431">
        <v>75</v>
      </c>
      <c r="G54" s="2029">
        <f>D54*F54</f>
        <v>750</v>
      </c>
      <c r="H54" s="2113"/>
      <c r="I54" s="2073">
        <f t="shared" si="3"/>
        <v>750</v>
      </c>
      <c r="J54" s="2113"/>
      <c r="K54" s="2073">
        <f t="shared" si="4"/>
        <v>750</v>
      </c>
      <c r="L54" s="2113"/>
      <c r="M54" s="2109"/>
      <c r="N54" s="2113"/>
      <c r="O54" s="2109"/>
      <c r="P54" s="2113"/>
      <c r="Q54" s="2109"/>
      <c r="R54" s="2113"/>
      <c r="S54" s="2109"/>
    </row>
    <row r="55" spans="1:19">
      <c r="A55" s="2040"/>
      <c r="B55" s="2097" t="s">
        <v>2880</v>
      </c>
      <c r="C55" s="23"/>
      <c r="D55" s="503">
        <v>40</v>
      </c>
      <c r="E55" s="86" t="s">
        <v>468</v>
      </c>
      <c r="F55" s="431">
        <v>50</v>
      </c>
      <c r="G55" s="2029">
        <f t="shared" si="2"/>
        <v>2000</v>
      </c>
      <c r="H55" s="2088"/>
      <c r="I55" s="2073">
        <f t="shared" si="3"/>
        <v>2000</v>
      </c>
      <c r="J55" s="2088"/>
      <c r="K55" s="2073">
        <f t="shared" si="4"/>
        <v>2000</v>
      </c>
      <c r="L55" s="2088"/>
      <c r="M55" s="2047"/>
      <c r="N55" s="2088"/>
      <c r="O55" s="2047"/>
      <c r="P55" s="2088"/>
      <c r="Q55" s="2047"/>
      <c r="R55" s="2088"/>
      <c r="S55" s="2047"/>
    </row>
    <row r="56" spans="1:19">
      <c r="A56" s="2040"/>
      <c r="B56" s="2097"/>
      <c r="C56" s="23"/>
      <c r="D56" s="503"/>
      <c r="E56" s="86"/>
      <c r="F56" s="431"/>
      <c r="G56" s="2029"/>
      <c r="H56" s="2088"/>
      <c r="I56" s="2047">
        <f t="shared" si="3"/>
        <v>0</v>
      </c>
      <c r="J56" s="2088"/>
      <c r="K56" s="2047"/>
      <c r="L56" s="2088"/>
      <c r="M56" s="2047"/>
      <c r="N56" s="2088"/>
      <c r="O56" s="2047"/>
      <c r="P56" s="2088"/>
      <c r="Q56" s="2047"/>
      <c r="R56" s="2088"/>
      <c r="S56" s="2047"/>
    </row>
    <row r="57" spans="1:19">
      <c r="A57" s="2040"/>
      <c r="B57" s="2097"/>
      <c r="C57" s="23"/>
      <c r="D57" s="503"/>
      <c r="E57" s="86"/>
      <c r="F57" s="431"/>
      <c r="G57" s="830"/>
      <c r="H57" s="2088"/>
      <c r="I57" s="2047">
        <f t="shared" si="3"/>
        <v>0</v>
      </c>
      <c r="J57" s="2088"/>
      <c r="K57" s="2047"/>
      <c r="L57" s="2088"/>
      <c r="M57" s="2047"/>
      <c r="N57" s="2088"/>
      <c r="O57" s="2047"/>
      <c r="P57" s="2088"/>
      <c r="Q57" s="2047"/>
      <c r="R57" s="2088"/>
      <c r="S57" s="2047"/>
    </row>
    <row r="58" spans="1:19" ht="15.75" thickBot="1">
      <c r="A58" s="2040"/>
      <c r="B58" s="2097"/>
      <c r="C58" s="23"/>
      <c r="D58" s="503"/>
      <c r="E58" s="86"/>
      <c r="F58" s="431"/>
      <c r="G58" s="830"/>
      <c r="H58" s="2088"/>
      <c r="I58" s="2047"/>
      <c r="J58" s="2088"/>
      <c r="K58" s="2047"/>
      <c r="L58" s="2088"/>
      <c r="M58" s="2047"/>
      <c r="N58" s="2088"/>
      <c r="O58" s="2047"/>
      <c r="P58" s="2088"/>
      <c r="Q58" s="2047"/>
      <c r="R58" s="2088"/>
      <c r="S58" s="2047"/>
    </row>
    <row r="59" spans="1:19" ht="15.75" thickTop="1">
      <c r="A59" s="296"/>
      <c r="B59" s="301"/>
      <c r="C59" s="297"/>
      <c r="D59" s="505"/>
      <c r="E59" s="16"/>
      <c r="F59" s="282" t="s">
        <v>753</v>
      </c>
      <c r="G59" s="272" t="s">
        <v>69</v>
      </c>
      <c r="H59" s="273"/>
      <c r="I59" s="273">
        <f>SUM(I20:I58)</f>
        <v>208633.18999999997</v>
      </c>
      <c r="J59" s="273"/>
      <c r="K59" s="273">
        <f>SUM(K20:K58)</f>
        <v>247249.255</v>
      </c>
      <c r="L59" s="273"/>
      <c r="M59" s="273">
        <f>SUM(M20:M58)</f>
        <v>0</v>
      </c>
      <c r="N59" s="273"/>
      <c r="O59" s="273">
        <f>SUM(O20:O58)</f>
        <v>0</v>
      </c>
      <c r="P59" s="273"/>
      <c r="Q59" s="273">
        <f>SUM(Q20:Q58)</f>
        <v>0</v>
      </c>
      <c r="R59" s="273"/>
      <c r="S59" s="273">
        <f>SUM(S20:S58)</f>
        <v>0</v>
      </c>
    </row>
    <row r="60" spans="1:19">
      <c r="A60" s="1114"/>
      <c r="B60" s="2000"/>
      <c r="C60" s="432"/>
      <c r="D60" s="506"/>
      <c r="E60" s="434"/>
      <c r="F60" s="435" t="s">
        <v>754</v>
      </c>
      <c r="G60" s="436"/>
      <c r="H60" s="2001">
        <v>5.0000000000000001E-3</v>
      </c>
      <c r="I60" s="2002"/>
      <c r="J60" s="2003">
        <v>0</v>
      </c>
      <c r="K60" s="2002"/>
      <c r="L60" s="2003">
        <v>0</v>
      </c>
      <c r="M60" s="2002"/>
      <c r="N60" s="2003">
        <v>0</v>
      </c>
      <c r="O60" s="2002"/>
      <c r="P60" s="2003">
        <v>0</v>
      </c>
      <c r="Q60" s="2002"/>
      <c r="R60" s="2003">
        <v>0</v>
      </c>
      <c r="S60" s="2002"/>
    </row>
    <row r="61" spans="1:19">
      <c r="A61" s="1114"/>
      <c r="B61" s="2000"/>
      <c r="C61" s="432"/>
      <c r="D61" s="506"/>
      <c r="E61" s="434"/>
      <c r="F61" s="435" t="s">
        <v>755</v>
      </c>
      <c r="G61" s="436"/>
      <c r="H61" s="2002"/>
      <c r="I61" s="2002">
        <f>I59*H60</f>
        <v>1043.1659499999998</v>
      </c>
      <c r="J61" s="2002"/>
      <c r="K61" s="2002">
        <f>K59*J60</f>
        <v>0</v>
      </c>
      <c r="L61" s="2002"/>
      <c r="M61" s="2002">
        <f>M59*L60</f>
        <v>0</v>
      </c>
      <c r="N61" s="2002"/>
      <c r="O61" s="2002">
        <f>O59*N60</f>
        <v>0</v>
      </c>
      <c r="P61" s="2002"/>
      <c r="Q61" s="2002">
        <f>Q59*P60</f>
        <v>0</v>
      </c>
      <c r="R61" s="2002"/>
      <c r="S61" s="2002">
        <f>S59*R60</f>
        <v>0</v>
      </c>
    </row>
    <row r="62" spans="1:19">
      <c r="A62" s="1114"/>
      <c r="B62" s="2000"/>
      <c r="C62" s="432"/>
      <c r="D62" s="506"/>
      <c r="E62" s="434"/>
      <c r="F62" s="435"/>
      <c r="G62" s="436"/>
      <c r="H62" s="2002"/>
      <c r="I62" s="2002"/>
      <c r="J62" s="2002"/>
      <c r="K62" s="2002"/>
      <c r="L62" s="2002"/>
      <c r="M62" s="2002"/>
      <c r="N62" s="2002"/>
      <c r="O62" s="2002"/>
      <c r="P62" s="2002"/>
      <c r="Q62" s="2002"/>
      <c r="R62" s="2002"/>
      <c r="S62" s="2002"/>
    </row>
    <row r="63" spans="1:19">
      <c r="A63" s="1114"/>
      <c r="B63" s="2000"/>
      <c r="C63" s="432"/>
      <c r="D63" s="506"/>
      <c r="E63" s="434"/>
      <c r="F63" s="435" t="s">
        <v>756</v>
      </c>
      <c r="G63" s="436"/>
      <c r="H63" s="2002"/>
      <c r="I63" s="2002">
        <f>SUM(I59:I61)</f>
        <v>209676.35594999997</v>
      </c>
      <c r="J63" s="2002"/>
      <c r="K63" s="2002">
        <f>SUM(K59:K61)</f>
        <v>247249.255</v>
      </c>
      <c r="L63" s="2002"/>
      <c r="M63" s="2002">
        <f>SUM(M59:M61)</f>
        <v>0</v>
      </c>
      <c r="N63" s="2002"/>
      <c r="O63" s="2002">
        <f>SUM(O59:O61)</f>
        <v>0</v>
      </c>
      <c r="P63" s="2002"/>
      <c r="Q63" s="2002">
        <f>SUM(Q59:Q61)</f>
        <v>0</v>
      </c>
      <c r="R63" s="2002"/>
      <c r="S63" s="2002">
        <f>SUM(S59:S61)</f>
        <v>0</v>
      </c>
    </row>
    <row r="64" spans="1:19">
      <c r="A64" s="1114"/>
      <c r="B64" s="2000"/>
      <c r="C64" s="432"/>
      <c r="D64" s="506"/>
      <c r="E64" s="434"/>
      <c r="F64" s="437" t="s">
        <v>757</v>
      </c>
      <c r="G64" s="438"/>
      <c r="H64" s="2004"/>
      <c r="I64" s="2004">
        <f>I63/'Area Calculations'!$G$4</f>
        <v>0.36234622906596753</v>
      </c>
      <c r="J64" s="2004"/>
      <c r="K64" s="2004">
        <f>K63/'Area Calculations'!$G$4</f>
        <v>0.42727676557858374</v>
      </c>
      <c r="L64" s="2004"/>
      <c r="M64" s="2004">
        <f>M63/'Area Calculations'!$G$4</f>
        <v>0</v>
      </c>
      <c r="N64" s="2004"/>
      <c r="O64" s="2004">
        <f>O63/'Area Calculations'!$G$4</f>
        <v>0</v>
      </c>
      <c r="P64" s="2004"/>
      <c r="Q64" s="2004">
        <f>Q63/'Area Calculations'!$G$4</f>
        <v>0</v>
      </c>
      <c r="R64" s="2004"/>
      <c r="S64" s="2004">
        <f>S63/'Area Calculations'!$G$4</f>
        <v>0</v>
      </c>
    </row>
    <row r="65" spans="1:34">
      <c r="A65" s="1114"/>
      <c r="B65" s="2000"/>
      <c r="C65" s="432"/>
      <c r="D65" s="506"/>
      <c r="E65" s="434"/>
      <c r="F65" s="437" t="s">
        <v>758</v>
      </c>
      <c r="G65" s="438"/>
      <c r="H65" s="2004"/>
      <c r="I65" s="2004">
        <f>I63/'Area Calculations'!$G$9</f>
        <v>1959.5921116822426</v>
      </c>
      <c r="J65" s="2004"/>
      <c r="K65" s="2004">
        <f>K63/'Area Calculations'!$G$9</f>
        <v>2310.7407009345793</v>
      </c>
      <c r="L65" s="2004"/>
      <c r="M65" s="2004">
        <f>M63/'Area Calculations'!$G$9</f>
        <v>0</v>
      </c>
      <c r="N65" s="2004"/>
      <c r="O65" s="2004">
        <f>O63/'Area Calculations'!$G$9</f>
        <v>0</v>
      </c>
      <c r="P65" s="2004"/>
      <c r="Q65" s="2004">
        <f>Q63/'Area Calculations'!$G$9</f>
        <v>0</v>
      </c>
      <c r="R65" s="2004"/>
      <c r="S65" s="2004">
        <f>S63/'Area Calculations'!$G$9</f>
        <v>0</v>
      </c>
    </row>
    <row r="66" spans="1:34" ht="15.75" thickBot="1">
      <c r="A66" s="1114"/>
      <c r="B66" s="2000"/>
      <c r="C66" s="432"/>
      <c r="D66" s="506"/>
      <c r="E66" s="434"/>
      <c r="F66" s="439"/>
      <c r="G66" s="436"/>
      <c r="H66" s="2005"/>
      <c r="I66" s="2005"/>
      <c r="J66" s="2005"/>
      <c r="K66" s="2005"/>
      <c r="L66" s="2005"/>
      <c r="M66" s="2005"/>
      <c r="N66" s="2005"/>
      <c r="O66" s="2005"/>
      <c r="P66" s="2005"/>
      <c r="Q66" s="2005"/>
      <c r="R66" s="2005"/>
      <c r="S66" s="2005"/>
    </row>
    <row r="67" spans="1:34" ht="16.5" thickTop="1" thickBot="1">
      <c r="A67" s="2331" t="s">
        <v>759</v>
      </c>
      <c r="B67" s="2332"/>
      <c r="C67" s="298"/>
      <c r="D67" s="507"/>
      <c r="E67" s="12"/>
      <c r="F67" s="12"/>
      <c r="G67" s="26"/>
      <c r="H67" s="24"/>
      <c r="I67" s="20"/>
      <c r="J67" s="20"/>
      <c r="K67" s="20"/>
      <c r="L67" s="20"/>
      <c r="M67" s="20"/>
      <c r="N67" s="20"/>
      <c r="O67" s="20"/>
      <c r="P67" s="20"/>
      <c r="Q67" s="20"/>
      <c r="R67" s="20"/>
      <c r="S67" s="20"/>
    </row>
    <row r="68" spans="1:34" ht="15.75" thickTop="1">
      <c r="A68" s="2030"/>
      <c r="B68" s="2006"/>
      <c r="C68" s="1396"/>
      <c r="D68" s="2071"/>
      <c r="E68" s="2042"/>
      <c r="F68" s="2042"/>
      <c r="G68" s="2031"/>
      <c r="H68" s="2032"/>
      <c r="I68" s="2057"/>
      <c r="J68" s="2057"/>
      <c r="K68" s="2057"/>
      <c r="L68" s="2057"/>
      <c r="M68" s="2057"/>
      <c r="N68" s="2057"/>
      <c r="O68" s="2057"/>
      <c r="P68" s="2057"/>
      <c r="Q68" s="2057"/>
      <c r="R68" s="2057"/>
      <c r="S68" s="2057"/>
    </row>
    <row r="69" spans="1:34">
      <c r="A69" s="2030"/>
      <c r="B69" s="2006"/>
      <c r="C69" s="1396"/>
      <c r="D69" s="2071"/>
      <c r="E69" s="2042"/>
      <c r="F69" s="2042"/>
      <c r="G69" s="2031"/>
      <c r="H69" s="2032"/>
      <c r="I69" s="2057"/>
      <c r="J69" s="2057"/>
      <c r="K69" s="2057"/>
      <c r="L69" s="2057"/>
      <c r="M69" s="2057"/>
      <c r="N69" s="2057"/>
      <c r="O69" s="2057"/>
      <c r="P69" s="2057"/>
      <c r="Q69" s="2057"/>
      <c r="R69" s="2057"/>
      <c r="S69" s="2057"/>
    </row>
    <row r="70" spans="1:34" ht="15.75" thickBot="1">
      <c r="A70" s="2030"/>
      <c r="B70" s="2006"/>
      <c r="C70" s="1396"/>
      <c r="D70" s="2071"/>
      <c r="E70" s="2042"/>
      <c r="F70" s="2042"/>
      <c r="G70" s="2031"/>
      <c r="H70" s="2032"/>
      <c r="I70" s="2057"/>
      <c r="J70" s="2057"/>
      <c r="K70" s="2057"/>
      <c r="L70" s="2057"/>
      <c r="M70" s="2057"/>
      <c r="N70" s="2057"/>
      <c r="O70" s="2057"/>
      <c r="P70" s="2057"/>
      <c r="Q70" s="2057"/>
      <c r="R70" s="2057"/>
      <c r="S70" s="2057"/>
    </row>
    <row r="71" spans="1:34" s="2" customFormat="1" ht="16.5" thickTop="1" thickBot="1">
      <c r="A71" s="2331" t="s">
        <v>760</v>
      </c>
      <c r="B71" s="2332"/>
      <c r="C71" s="298"/>
      <c r="D71" s="507"/>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s="2" customFormat="1" ht="15.75" thickTop="1">
      <c r="A72" s="2030"/>
      <c r="B72" s="2006"/>
      <c r="C72" s="1396"/>
      <c r="D72" s="2071"/>
      <c r="E72" s="2042"/>
      <c r="F72" s="2042"/>
      <c r="G72" s="2031"/>
      <c r="H72" s="2032"/>
      <c r="I72" s="2057"/>
      <c r="J72" s="2057"/>
      <c r="K72" s="2057"/>
      <c r="L72" s="2057"/>
      <c r="M72" s="2057"/>
      <c r="N72" s="2057"/>
      <c r="O72" s="2057"/>
      <c r="P72" s="2057"/>
      <c r="Q72" s="2057"/>
      <c r="R72" s="2057"/>
      <c r="S72" s="2057"/>
      <c r="T72"/>
      <c r="U72"/>
      <c r="V72"/>
      <c r="W72"/>
      <c r="X72"/>
      <c r="Y72"/>
      <c r="Z72"/>
      <c r="AA72"/>
      <c r="AB72"/>
      <c r="AC72"/>
      <c r="AD72"/>
      <c r="AE72"/>
      <c r="AF72"/>
      <c r="AG72"/>
      <c r="AH72"/>
    </row>
    <row r="73" spans="1:34" s="2" customFormat="1">
      <c r="A73" s="2030"/>
      <c r="B73" s="2006"/>
      <c r="C73" s="1396"/>
      <c r="D73" s="2071"/>
      <c r="E73" s="2042"/>
      <c r="F73" s="2042"/>
      <c r="G73" s="2031"/>
      <c r="H73" s="2032"/>
      <c r="I73" s="2057"/>
      <c r="J73" s="2057"/>
      <c r="K73" s="2057"/>
      <c r="L73" s="2057"/>
      <c r="M73" s="2057"/>
      <c r="N73" s="2057"/>
      <c r="O73" s="2057"/>
      <c r="P73" s="2057"/>
      <c r="Q73" s="2057"/>
      <c r="R73" s="2057"/>
      <c r="S73" s="2057"/>
      <c r="T73"/>
      <c r="U73"/>
      <c r="V73"/>
      <c r="W73"/>
      <c r="X73"/>
      <c r="Y73"/>
      <c r="Z73"/>
      <c r="AA73"/>
      <c r="AB73"/>
      <c r="AC73"/>
      <c r="AD73"/>
      <c r="AE73"/>
      <c r="AF73"/>
      <c r="AG73"/>
      <c r="AH73"/>
    </row>
    <row r="74" spans="1:34" ht="15.75" thickBot="1">
      <c r="A74" s="2030"/>
      <c r="B74" s="2006"/>
      <c r="C74" s="1396"/>
      <c r="D74" s="2071"/>
      <c r="E74" s="2042"/>
      <c r="F74" s="2042"/>
      <c r="G74" s="2031"/>
      <c r="H74" s="2032"/>
      <c r="I74" s="2057"/>
      <c r="J74" s="2057"/>
      <c r="K74" s="2057"/>
      <c r="L74" s="2057"/>
      <c r="M74" s="2057"/>
      <c r="N74" s="2057"/>
      <c r="O74" s="2057"/>
      <c r="P74" s="2057"/>
      <c r="Q74" s="2057"/>
      <c r="R74" s="2057"/>
      <c r="S74" s="2057"/>
    </row>
    <row r="75" spans="1:34" s="2" customFormat="1" ht="16.5" thickTop="1" thickBot="1">
      <c r="A75" s="2331" t="s">
        <v>761</v>
      </c>
      <c r="B75" s="2332"/>
      <c r="C75" s="298"/>
      <c r="D75" s="507"/>
      <c r="E75" s="12"/>
      <c r="F75" s="12"/>
      <c r="G75" s="26"/>
      <c r="H75" s="24"/>
      <c r="I75" s="20"/>
      <c r="J75" s="20"/>
      <c r="K75" s="20"/>
      <c r="L75" s="20"/>
      <c r="M75" s="20"/>
      <c r="N75" s="20"/>
      <c r="O75" s="20"/>
      <c r="P75" s="20"/>
      <c r="Q75" s="20"/>
      <c r="R75" s="20"/>
      <c r="S75" s="20"/>
      <c r="T75"/>
      <c r="U75"/>
      <c r="V75"/>
      <c r="W75"/>
      <c r="X75"/>
      <c r="Y75"/>
      <c r="Z75"/>
      <c r="AA75"/>
      <c r="AB75"/>
      <c r="AC75"/>
      <c r="AD75"/>
      <c r="AE75"/>
      <c r="AF75"/>
      <c r="AG75"/>
      <c r="AH75"/>
    </row>
    <row r="76" spans="1:34" s="2" customFormat="1" ht="15.75" thickTop="1">
      <c r="A76" s="2030"/>
      <c r="B76" s="2006"/>
      <c r="C76" s="1396"/>
      <c r="D76" s="2071"/>
      <c r="E76" s="2042"/>
      <c r="F76" s="2042"/>
      <c r="G76" s="2031"/>
      <c r="H76" s="2032"/>
      <c r="I76" s="2057"/>
      <c r="J76" s="2057"/>
      <c r="K76" s="2057"/>
      <c r="L76" s="2057"/>
      <c r="M76" s="2057"/>
      <c r="N76" s="2057"/>
      <c r="O76" s="2057"/>
      <c r="P76" s="2057"/>
      <c r="Q76" s="2057"/>
      <c r="R76" s="2057"/>
      <c r="S76" s="2057"/>
      <c r="T76"/>
      <c r="U76"/>
      <c r="V76"/>
      <c r="W76"/>
      <c r="X76"/>
      <c r="Y76"/>
      <c r="Z76"/>
      <c r="AA76"/>
      <c r="AB76"/>
      <c r="AC76"/>
      <c r="AD76"/>
      <c r="AE76"/>
      <c r="AF76"/>
      <c r="AG76"/>
      <c r="AH76"/>
    </row>
    <row r="77" spans="1:34" s="2" customFormat="1">
      <c r="A77" s="1124"/>
      <c r="B77" s="2006"/>
      <c r="C77" s="415"/>
      <c r="D77" s="499"/>
      <c r="E77" s="422"/>
      <c r="F77" s="422"/>
      <c r="G77" s="831"/>
      <c r="H77" s="440"/>
      <c r="I77" s="2007"/>
      <c r="J77" s="2007"/>
      <c r="K77" s="2007"/>
      <c r="L77" s="2007"/>
      <c r="M77" s="2007"/>
      <c r="N77" s="2007"/>
      <c r="O77" s="2007"/>
      <c r="P77" s="2007"/>
      <c r="Q77" s="2007"/>
      <c r="R77" s="2007"/>
      <c r="S77" s="2007"/>
      <c r="T77"/>
      <c r="U77"/>
      <c r="V77"/>
      <c r="W77"/>
      <c r="X77"/>
      <c r="Y77"/>
      <c r="Z77"/>
      <c r="AA77"/>
      <c r="AB77"/>
      <c r="AC77"/>
      <c r="AD77"/>
      <c r="AE77"/>
      <c r="AF77"/>
      <c r="AG77"/>
      <c r="AH77"/>
    </row>
    <row r="78" spans="1:34" s="2" customFormat="1" ht="15.75" thickBot="1">
      <c r="A78" s="1126"/>
      <c r="B78" s="2008"/>
      <c r="C78" s="415"/>
      <c r="D78" s="499"/>
      <c r="E78" s="422"/>
      <c r="F78" s="422"/>
      <c r="G78" s="831"/>
      <c r="H78" s="441"/>
      <c r="I78" s="2009"/>
      <c r="J78" s="2009"/>
      <c r="K78" s="2009"/>
      <c r="L78" s="2009"/>
      <c r="M78" s="2009"/>
      <c r="N78" s="2009"/>
      <c r="O78" s="2009"/>
      <c r="P78" s="2009"/>
      <c r="Q78" s="2009"/>
      <c r="R78" s="2009"/>
      <c r="S78" s="2009"/>
    </row>
    <row r="79" spans="1:34" s="2" customFormat="1" ht="16.5" thickTop="1" thickBot="1">
      <c r="A79" s="2331" t="s">
        <v>762</v>
      </c>
      <c r="B79" s="2332"/>
      <c r="C79" s="298"/>
      <c r="D79" s="507"/>
      <c r="E79" s="12"/>
      <c r="F79" s="12"/>
      <c r="G79" s="26"/>
      <c r="H79" s="24"/>
      <c r="I79" s="20"/>
      <c r="J79" s="20"/>
      <c r="K79" s="20"/>
      <c r="L79" s="20"/>
      <c r="M79" s="20"/>
      <c r="N79" s="20"/>
      <c r="O79" s="20"/>
      <c r="P79" s="20"/>
      <c r="Q79" s="20"/>
      <c r="R79" s="20"/>
      <c r="S79" s="20"/>
      <c r="T79"/>
      <c r="U79"/>
      <c r="V79"/>
      <c r="W79"/>
      <c r="X79"/>
      <c r="Y79"/>
      <c r="Z79"/>
      <c r="AA79"/>
      <c r="AB79"/>
      <c r="AC79"/>
      <c r="AD79"/>
      <c r="AE79"/>
      <c r="AF79"/>
      <c r="AG79"/>
      <c r="AH79"/>
    </row>
    <row r="80" spans="1:34" ht="15.75" thickTop="1">
      <c r="A80" s="2034"/>
      <c r="B80" s="2059"/>
      <c r="C80" s="1396"/>
      <c r="D80" s="2071"/>
      <c r="E80" s="2042"/>
      <c r="F80" s="2042"/>
      <c r="G80" s="2031"/>
      <c r="H80" s="2032"/>
      <c r="I80" s="2057"/>
      <c r="J80" s="2057"/>
      <c r="K80" s="2057"/>
      <c r="L80" s="2057"/>
      <c r="M80" s="2057"/>
      <c r="N80" s="2057"/>
      <c r="O80" s="2057"/>
      <c r="P80" s="2057"/>
      <c r="Q80" s="2057"/>
      <c r="R80" s="2057"/>
      <c r="S80" s="2057"/>
      <c r="T80" s="2"/>
      <c r="U80" s="2"/>
      <c r="V80" s="2"/>
      <c r="W80" s="2"/>
      <c r="X80" s="2"/>
      <c r="Y80" s="2"/>
      <c r="Z80" s="2"/>
      <c r="AA80" s="2"/>
      <c r="AB80" s="2"/>
      <c r="AC80" s="2"/>
      <c r="AD80" s="2"/>
      <c r="AE80" s="2"/>
      <c r="AF80" s="2"/>
      <c r="AG80" s="2"/>
      <c r="AH80" s="2"/>
    </row>
    <row r="81" spans="1:34">
      <c r="A81" s="1126"/>
      <c r="B81" s="2008"/>
      <c r="C81" s="415"/>
      <c r="D81" s="499"/>
      <c r="E81" s="422"/>
      <c r="F81" s="422"/>
      <c r="G81" s="831"/>
      <c r="H81" s="442"/>
      <c r="I81" s="2010"/>
      <c r="J81" s="2010"/>
      <c r="K81" s="2010"/>
      <c r="L81" s="2010"/>
      <c r="M81" s="2010"/>
      <c r="N81" s="2010"/>
      <c r="O81" s="2010"/>
      <c r="P81" s="2010"/>
      <c r="Q81" s="2010"/>
      <c r="R81" s="2010"/>
      <c r="S81" s="2010"/>
      <c r="T81" s="2"/>
      <c r="U81" s="2"/>
      <c r="V81" s="2"/>
      <c r="W81" s="2"/>
      <c r="X81" s="2"/>
      <c r="Y81" s="2"/>
      <c r="Z81" s="2"/>
      <c r="AA81" s="2"/>
      <c r="AB81" s="2"/>
      <c r="AC81" s="2"/>
      <c r="AD81" s="2"/>
      <c r="AE81" s="2"/>
      <c r="AF81" s="2"/>
      <c r="AG81" s="2"/>
      <c r="AH81" s="2"/>
    </row>
    <row r="82" spans="1:34" ht="15.75" thickBot="1">
      <c r="A82" s="1126"/>
      <c r="B82" s="2008"/>
      <c r="C82" s="415"/>
      <c r="D82" s="499"/>
      <c r="E82" s="422"/>
      <c r="F82" s="422"/>
      <c r="G82" s="831"/>
      <c r="H82" s="442"/>
      <c r="I82" s="2010"/>
      <c r="J82" s="2010"/>
      <c r="K82" s="2010"/>
      <c r="L82" s="2010"/>
      <c r="M82" s="2010"/>
      <c r="N82" s="2010"/>
      <c r="O82" s="2010"/>
      <c r="P82" s="2010"/>
      <c r="Q82" s="2010"/>
      <c r="R82" s="2010"/>
      <c r="S82" s="2010"/>
      <c r="T82" s="2"/>
      <c r="U82" s="2"/>
      <c r="V82" s="2"/>
      <c r="W82" s="2"/>
      <c r="X82" s="2"/>
      <c r="Y82" s="2"/>
      <c r="Z82" s="2"/>
      <c r="AA82" s="2"/>
      <c r="AB82" s="2"/>
      <c r="AC82" s="2"/>
      <c r="AD82" s="2"/>
      <c r="AE82" s="2"/>
      <c r="AF82" s="2"/>
      <c r="AG82" s="2"/>
      <c r="AH82" s="2"/>
    </row>
    <row r="83" spans="1:34" ht="16.5" thickTop="1" thickBot="1">
      <c r="A83" s="2331" t="s">
        <v>763</v>
      </c>
      <c r="B83" s="2332"/>
      <c r="C83" s="298"/>
      <c r="D83" s="507"/>
      <c r="E83" s="12"/>
      <c r="F83" s="12"/>
      <c r="G83" s="26"/>
      <c r="H83" s="24"/>
      <c r="I83" s="20"/>
      <c r="J83" s="20"/>
      <c r="K83" s="20"/>
      <c r="L83" s="20"/>
      <c r="M83" s="20"/>
      <c r="N83" s="20"/>
      <c r="O83" s="20"/>
      <c r="P83" s="20"/>
      <c r="Q83" s="20"/>
      <c r="R83" s="20"/>
      <c r="S83" s="20"/>
    </row>
    <row r="84" spans="1:34" ht="15.75" thickTop="1">
      <c r="A84" s="1124"/>
      <c r="B84" s="2006" t="s">
        <v>764</v>
      </c>
      <c r="C84" s="415"/>
      <c r="D84" s="499"/>
      <c r="E84" s="422"/>
      <c r="F84" s="422"/>
      <c r="G84" s="831"/>
      <c r="H84" s="442"/>
      <c r="I84" s="2010"/>
      <c r="J84" s="2010"/>
      <c r="K84" s="2010"/>
      <c r="L84" s="2010"/>
      <c r="M84" s="2010"/>
      <c r="N84" s="2010"/>
      <c r="O84" s="2010"/>
      <c r="P84" s="2010"/>
      <c r="Q84" s="2010"/>
      <c r="R84" s="2010"/>
      <c r="S84" s="2010"/>
    </row>
    <row r="85" spans="1:34">
      <c r="A85" s="1124"/>
      <c r="B85" s="2006" t="s">
        <v>765</v>
      </c>
      <c r="C85" s="415"/>
      <c r="D85" s="499"/>
      <c r="E85" s="422"/>
      <c r="F85" s="422"/>
      <c r="G85" s="831"/>
      <c r="H85" s="442"/>
      <c r="I85" s="2010"/>
      <c r="J85" s="2010"/>
      <c r="K85" s="2010"/>
      <c r="L85" s="2010"/>
      <c r="M85" s="2010"/>
      <c r="N85" s="2010"/>
      <c r="O85" s="2010"/>
      <c r="P85" s="2010"/>
      <c r="Q85" s="2010"/>
      <c r="R85" s="2010"/>
      <c r="S85" s="2010"/>
    </row>
    <row r="86" spans="1:34">
      <c r="A86" s="1124"/>
      <c r="B86" s="2006" t="s">
        <v>766</v>
      </c>
      <c r="C86" s="415"/>
      <c r="D86" s="499"/>
      <c r="E86" s="422"/>
      <c r="F86" s="422"/>
      <c r="G86" s="831"/>
      <c r="H86" s="442"/>
      <c r="I86" s="2010"/>
      <c r="J86" s="2010"/>
      <c r="K86" s="2010"/>
      <c r="L86" s="2010"/>
      <c r="M86" s="2010"/>
      <c r="N86" s="2010"/>
      <c r="O86" s="2010"/>
      <c r="P86" s="2010"/>
      <c r="Q86" s="2010"/>
      <c r="R86" s="2010"/>
      <c r="S86" s="2010"/>
    </row>
    <row r="87" spans="1:34">
      <c r="A87" s="1124"/>
      <c r="B87" s="2006" t="s">
        <v>767</v>
      </c>
      <c r="C87" s="415"/>
      <c r="D87" s="499"/>
      <c r="E87" s="422"/>
      <c r="F87" s="422"/>
      <c r="G87" s="831"/>
      <c r="H87" s="442"/>
      <c r="I87" s="2010"/>
      <c r="J87" s="2010"/>
      <c r="K87" s="2010"/>
      <c r="L87" s="2010"/>
      <c r="M87" s="2010"/>
      <c r="N87" s="2010"/>
      <c r="O87" s="2010"/>
      <c r="P87" s="2010"/>
      <c r="Q87" s="2010"/>
      <c r="R87" s="2010"/>
      <c r="S87" s="2010"/>
    </row>
    <row r="88" spans="1:34" ht="15.75" thickBot="1">
      <c r="A88" s="443"/>
      <c r="B88" s="421"/>
      <c r="C88" s="23"/>
      <c r="D88" s="500"/>
      <c r="E88" s="86"/>
      <c r="F88" s="86"/>
      <c r="G88" s="27"/>
      <c r="H88" s="25"/>
      <c r="I88" s="444"/>
      <c r="J88" s="444"/>
      <c r="K88" s="444"/>
      <c r="L88" s="444"/>
      <c r="M88" s="444"/>
      <c r="N88" s="444"/>
      <c r="O88" s="444"/>
      <c r="P88" s="444"/>
      <c r="Q88" s="444"/>
      <c r="R88" s="444"/>
      <c r="S88" s="444"/>
    </row>
    <row r="89" spans="1:34" ht="16.5" thickTop="1" thickBot="1">
      <c r="A89" s="72" t="s">
        <v>768</v>
      </c>
      <c r="B89" s="73"/>
      <c r="C89" s="298"/>
      <c r="D89" s="507"/>
      <c r="E89" s="12"/>
      <c r="F89" s="12"/>
      <c r="G89" s="26"/>
      <c r="H89" s="24"/>
      <c r="I89" s="20"/>
      <c r="J89" s="20"/>
      <c r="K89" s="20"/>
      <c r="L89" s="20"/>
      <c r="M89" s="20"/>
      <c r="N89" s="20"/>
      <c r="O89" s="20"/>
      <c r="P89" s="20"/>
      <c r="Q89" s="20"/>
      <c r="R89" s="20"/>
      <c r="S89" s="20"/>
    </row>
    <row r="90" spans="1:34" ht="15.75" thickTop="1">
      <c r="A90" s="2030"/>
      <c r="B90" s="2060" t="s">
        <v>769</v>
      </c>
      <c r="C90" s="1396"/>
      <c r="D90" s="2071"/>
      <c r="E90" s="2042"/>
      <c r="F90" s="2042"/>
      <c r="G90" s="2031"/>
      <c r="H90" s="2037"/>
      <c r="I90" s="2062"/>
      <c r="J90" s="2062"/>
      <c r="K90" s="2062"/>
      <c r="L90" s="2062"/>
      <c r="M90" s="2062"/>
      <c r="N90" s="2062"/>
      <c r="O90" s="2062"/>
      <c r="P90" s="2062"/>
      <c r="Q90" s="2062"/>
      <c r="R90" s="2062"/>
      <c r="S90" s="2062"/>
    </row>
    <row r="91" spans="1:34">
      <c r="A91" s="1124"/>
      <c r="B91" s="2006" t="s">
        <v>770</v>
      </c>
      <c r="C91" s="415"/>
      <c r="D91" s="499"/>
      <c r="E91" s="422"/>
      <c r="F91" s="422"/>
      <c r="G91" s="831"/>
      <c r="H91" s="445"/>
      <c r="I91" s="2011"/>
      <c r="J91" s="2011"/>
      <c r="K91" s="2011"/>
      <c r="L91" s="2011"/>
      <c r="M91" s="2011"/>
      <c r="N91" s="2011"/>
      <c r="O91" s="2011"/>
      <c r="P91" s="2011"/>
      <c r="Q91" s="2011"/>
      <c r="R91" s="2011"/>
      <c r="S91" s="2011"/>
    </row>
    <row r="92" spans="1:34" ht="15.75" thickBot="1">
      <c r="A92" s="1183"/>
      <c r="B92" s="1184" t="s">
        <v>771</v>
      </c>
      <c r="C92" s="1185"/>
      <c r="D92" s="2082"/>
      <c r="E92" s="1186"/>
      <c r="F92" s="1186"/>
      <c r="G92" s="1187"/>
      <c r="H92" s="1188"/>
      <c r="I92" s="1189"/>
      <c r="J92" s="1189"/>
      <c r="K92" s="1189"/>
      <c r="L92" s="1189"/>
      <c r="M92" s="1189"/>
      <c r="N92" s="1189"/>
      <c r="O92" s="1189"/>
      <c r="P92" s="1189"/>
      <c r="Q92" s="1189"/>
      <c r="R92" s="1189"/>
      <c r="S92" s="1189"/>
    </row>
    <row r="93" spans="1:34" ht="16.5" thickTop="1" thickBot="1">
      <c r="F93" s="2"/>
      <c r="G93" s="2"/>
      <c r="H93" s="2"/>
      <c r="I93" s="2"/>
      <c r="J93" s="2"/>
      <c r="K93" s="2"/>
      <c r="L93" s="2"/>
      <c r="M93" s="2"/>
      <c r="N93" s="2"/>
      <c r="O93" s="2"/>
      <c r="P93" s="2"/>
      <c r="Q93" s="2"/>
      <c r="R93" s="2"/>
      <c r="S93" s="2"/>
    </row>
    <row r="94" spans="1:34" ht="16.5" thickTop="1" thickBot="1">
      <c r="A94" s="37" t="s">
        <v>772</v>
      </c>
      <c r="B94" s="39"/>
      <c r="F94" s="2"/>
      <c r="G94" s="2"/>
      <c r="H94" s="2"/>
      <c r="I94" s="2"/>
      <c r="J94" s="2"/>
      <c r="K94" s="2"/>
      <c r="L94" s="2"/>
      <c r="M94" s="2"/>
      <c r="N94" s="2"/>
      <c r="O94" s="2"/>
      <c r="P94" s="2"/>
      <c r="Q94" s="2"/>
      <c r="R94" s="2"/>
      <c r="S94" s="2"/>
    </row>
    <row r="95" spans="1:34" ht="15.75" thickTop="1">
      <c r="A95" s="38" t="s">
        <v>693</v>
      </c>
      <c r="B95" s="2012" t="str">
        <f>H5</f>
        <v>LandscapeForms</v>
      </c>
      <c r="F95" s="2"/>
      <c r="G95" s="2"/>
      <c r="H95" s="2"/>
      <c r="I95" s="2"/>
      <c r="J95" s="2"/>
      <c r="K95" s="2"/>
      <c r="L95" s="2"/>
      <c r="M95" s="2"/>
      <c r="N95" s="2"/>
      <c r="O95" s="2"/>
      <c r="P95" s="2"/>
      <c r="Q95" s="2"/>
      <c r="R95" s="2"/>
      <c r="S95" s="2"/>
    </row>
    <row r="96" spans="1:34">
      <c r="A96" s="1142" t="s">
        <v>702</v>
      </c>
      <c r="B96" s="2012" t="str">
        <f>H6</f>
        <v>Hunter Lunardini</v>
      </c>
      <c r="F96" s="2"/>
      <c r="G96" s="2"/>
      <c r="H96" s="2"/>
      <c r="I96" s="2"/>
      <c r="J96" s="2"/>
      <c r="K96" s="2"/>
      <c r="L96" s="2"/>
      <c r="M96" s="2"/>
      <c r="N96" s="2"/>
      <c r="O96" s="2"/>
      <c r="P96" s="2"/>
      <c r="Q96" s="2"/>
      <c r="R96" s="2"/>
      <c r="S96" s="2"/>
    </row>
    <row r="97" spans="1:19">
      <c r="A97" s="2013" t="s">
        <v>708</v>
      </c>
      <c r="B97" s="2014" t="str">
        <f>H7</f>
        <v xml:space="preserve">(800) 441-1945 </v>
      </c>
      <c r="F97" s="2"/>
      <c r="G97" s="2"/>
      <c r="H97" s="2"/>
      <c r="I97" s="2"/>
      <c r="J97" s="2"/>
      <c r="K97" s="2"/>
      <c r="L97" s="2"/>
      <c r="M97" s="2"/>
      <c r="N97" s="2"/>
      <c r="O97" s="2"/>
      <c r="P97" s="2"/>
      <c r="Q97" s="2"/>
      <c r="R97" s="2"/>
      <c r="S97" s="2"/>
    </row>
    <row r="98" spans="1:19">
      <c r="A98" s="2013" t="s">
        <v>713</v>
      </c>
      <c r="B98" s="2015" t="s">
        <v>2881</v>
      </c>
      <c r="F98" s="2"/>
      <c r="G98" s="2"/>
      <c r="H98" s="2"/>
      <c r="I98" s="2"/>
      <c r="J98" s="2"/>
      <c r="K98" s="2"/>
      <c r="L98" s="2"/>
      <c r="M98" s="2"/>
      <c r="N98" s="2"/>
      <c r="O98" s="2"/>
      <c r="P98" s="2"/>
      <c r="Q98" s="2"/>
      <c r="R98" s="2"/>
      <c r="S98" s="2"/>
    </row>
    <row r="99" spans="1:19" ht="15.75" thickBot="1">
      <c r="A99" s="1194" t="s">
        <v>69</v>
      </c>
      <c r="B99" s="1231">
        <f>I63</f>
        <v>209676.35594999997</v>
      </c>
      <c r="F99" s="2"/>
      <c r="G99" s="2"/>
      <c r="H99" s="2"/>
      <c r="I99" s="2"/>
      <c r="J99" s="2"/>
      <c r="K99" s="2"/>
      <c r="L99" s="2"/>
      <c r="M99" s="2"/>
      <c r="N99" s="2"/>
      <c r="O99" s="2"/>
      <c r="P99" s="2"/>
      <c r="Q99" s="2"/>
      <c r="R99" s="2"/>
      <c r="S99" s="2"/>
    </row>
    <row r="100" spans="1:19" ht="15.75" thickTop="1"/>
  </sheetData>
  <mergeCells count="41">
    <mergeCell ref="A67:B67"/>
    <mergeCell ref="A71:B71"/>
    <mergeCell ref="A75:B75"/>
    <mergeCell ref="A79:B79"/>
    <mergeCell ref="A83:B83"/>
    <mergeCell ref="R9:S9"/>
    <mergeCell ref="H8:I8"/>
    <mergeCell ref="J8:K8"/>
    <mergeCell ref="L8:M8"/>
    <mergeCell ref="N8:O8"/>
    <mergeCell ref="P8:Q8"/>
    <mergeCell ref="R8:S8"/>
    <mergeCell ref="H9:I9"/>
    <mergeCell ref="J9:K9"/>
    <mergeCell ref="L9:M9"/>
    <mergeCell ref="N9:O9"/>
    <mergeCell ref="P9:Q9"/>
    <mergeCell ref="R7:S7"/>
    <mergeCell ref="H6:I6"/>
    <mergeCell ref="J6:K6"/>
    <mergeCell ref="L6:M6"/>
    <mergeCell ref="N6:O6"/>
    <mergeCell ref="P6:Q6"/>
    <mergeCell ref="R6:S6"/>
    <mergeCell ref="H7:I7"/>
    <mergeCell ref="J7:K7"/>
    <mergeCell ref="L7:M7"/>
    <mergeCell ref="N7:O7"/>
    <mergeCell ref="P7:Q7"/>
    <mergeCell ref="R5:S5"/>
    <mergeCell ref="H4:I4"/>
    <mergeCell ref="J4:K4"/>
    <mergeCell ref="L4:M4"/>
    <mergeCell ref="N4:O4"/>
    <mergeCell ref="P4:Q4"/>
    <mergeCell ref="R4:S4"/>
    <mergeCell ref="H5:I5"/>
    <mergeCell ref="J5:K5"/>
    <mergeCell ref="L5:M5"/>
    <mergeCell ref="N5:O5"/>
    <mergeCell ref="P5:Q5"/>
  </mergeCells>
  <conditionalFormatting sqref="H11:H19">
    <cfRule type="cellIs" dxfId="27" priority="1" operator="equal">
      <formula>"X"</formula>
    </cfRule>
    <cfRule type="cellIs" dxfId="26" priority="2" operator="equal">
      <formula>"I"</formula>
    </cfRule>
  </conditionalFormatting>
  <conditionalFormatting sqref="J11:J19 L11:L19 N11:N19 P11:P19 R11:R19 H21:H58 J21:J58 L21:L58 N21:N58 P21:P58 R21:R58">
    <cfRule type="cellIs" dxfId="25" priority="15" operator="equal">
      <formula>"X"</formula>
    </cfRule>
    <cfRule type="cellIs" dxfId="24" priority="16" operator="equal">
      <formula>"I"</formula>
    </cfRule>
  </conditionalFormatting>
  <hyperlinks>
    <hyperlink ref="B4" location="'Cost Summary'!A1" display="BACK TO SUMMARY SHEET" xr:uid="{BA3B83A2-A955-4126-8DA1-DF720C4981A1}"/>
    <hyperlink ref="H8" r:id="rId1" xr:uid="{A7B7342E-5DA1-4A37-B167-33803524876E}"/>
    <hyperlink ref="J8" r:id="rId2" xr:uid="{DD194CF2-82A6-44AF-9949-29108FB6737C}"/>
  </hyperlinks>
  <pageMargins left="0.7" right="0.7" top="0.75" bottom="0.75" header="0.3" footer="0.3"/>
  <pageSetup orientation="portrait" r:id="rId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34A8-C1D6-4783-AD7F-A9271A44FFDE}">
  <sheetPr>
    <tabColor rgb="FF00B0F0"/>
  </sheetPr>
  <dimension ref="A1:JG140"/>
  <sheetViews>
    <sheetView zoomScale="90" zoomScaleNormal="90" workbookViewId="0">
      <pane xSplit="2" ySplit="10" topLeftCell="F62" activePane="bottomRight" state="frozen"/>
      <selection pane="topRight" activeCell="G32" sqref="G32"/>
      <selection pane="bottomLeft" activeCell="G32" sqref="G32"/>
      <selection pane="bottomRight" activeCell="B4" sqref="B4"/>
    </sheetView>
  </sheetViews>
  <sheetFormatPr defaultRowHeight="15"/>
  <cols>
    <col min="1" max="1" width="11" customWidth="1"/>
    <col min="2" max="2" width="70.7109375" style="1" customWidth="1"/>
    <col min="3" max="3" width="12.7109375" style="2" customWidth="1"/>
    <col min="4" max="4" width="12.7109375" style="497" customWidth="1"/>
    <col min="5" max="5" width="7.7109375" style="68"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 min="20" max="20" width="7.7109375" style="270" customWidth="1"/>
    <col min="21" max="21" width="15.7109375" style="270" customWidth="1"/>
  </cols>
  <sheetData>
    <row r="1" spans="1:26">
      <c r="F1" s="275"/>
      <c r="G1" s="269" t="s">
        <v>679</v>
      </c>
      <c r="Z1" s="261"/>
    </row>
    <row r="2" spans="1:26">
      <c r="F2" s="276" t="s">
        <v>680</v>
      </c>
      <c r="G2" s="269" t="s">
        <v>681</v>
      </c>
      <c r="Z2" s="261"/>
    </row>
    <row r="3" spans="1:26" ht="15.75" thickBot="1">
      <c r="F3" s="277" t="s">
        <v>682</v>
      </c>
      <c r="G3" s="269" t="s">
        <v>683</v>
      </c>
      <c r="Z3" s="261"/>
    </row>
    <row r="4" spans="1:26" ht="15.75" thickBot="1">
      <c r="B4" s="262" t="s">
        <v>684</v>
      </c>
      <c r="F4" s="278"/>
      <c r="G4" s="270" t="s">
        <v>685</v>
      </c>
      <c r="H4" s="2323" t="s">
        <v>806</v>
      </c>
      <c r="I4" s="2324"/>
      <c r="J4" s="2319" t="s">
        <v>690</v>
      </c>
      <c r="K4" s="2320"/>
      <c r="L4" s="2319" t="s">
        <v>686</v>
      </c>
      <c r="M4" s="2320"/>
      <c r="N4" s="2319" t="s">
        <v>688</v>
      </c>
      <c r="O4" s="2320"/>
      <c r="P4" s="2319" t="s">
        <v>691</v>
      </c>
      <c r="Q4" s="2320"/>
      <c r="R4" s="2319" t="s">
        <v>689</v>
      </c>
      <c r="S4" s="2320"/>
      <c r="T4" s="2319" t="s">
        <v>687</v>
      </c>
      <c r="U4" s="2320"/>
      <c r="Z4" s="261"/>
    </row>
    <row r="5" spans="1:26" ht="15.75" thickTop="1">
      <c r="A5" s="292" t="s">
        <v>692</v>
      </c>
      <c r="B5" s="299" t="str">
        <f>'Area Calculations'!B4</f>
        <v>ERAU Residential Hall &amp; Garage Building</v>
      </c>
      <c r="C5" s="294"/>
      <c r="D5" s="498"/>
      <c r="E5" s="264"/>
      <c r="F5" s="279"/>
      <c r="G5" s="271" t="s">
        <v>693</v>
      </c>
      <c r="H5" s="2321" t="s">
        <v>2882</v>
      </c>
      <c r="I5" s="2322"/>
      <c r="J5" s="2321" t="s">
        <v>2883</v>
      </c>
      <c r="K5" s="2322"/>
      <c r="L5" s="2321" t="s">
        <v>2884</v>
      </c>
      <c r="M5" s="2322"/>
      <c r="N5" s="2321" t="s">
        <v>2885</v>
      </c>
      <c r="O5" s="2322"/>
      <c r="P5" s="2321" t="s">
        <v>2886</v>
      </c>
      <c r="Q5" s="2322"/>
      <c r="R5" s="2321" t="s">
        <v>2887</v>
      </c>
      <c r="S5" s="2322"/>
      <c r="T5" s="2321" t="s">
        <v>2888</v>
      </c>
      <c r="U5" s="2322"/>
      <c r="Z5" s="261"/>
    </row>
    <row r="6" spans="1:26">
      <c r="A6" s="1082" t="s">
        <v>700</v>
      </c>
      <c r="B6" s="2016" t="s">
        <v>2889</v>
      </c>
      <c r="C6" s="415"/>
      <c r="D6" s="499"/>
      <c r="E6" s="417"/>
      <c r="F6" s="418"/>
      <c r="G6" s="419" t="s">
        <v>702</v>
      </c>
      <c r="H6" s="2325" t="s">
        <v>2890</v>
      </c>
      <c r="I6" s="2326"/>
      <c r="J6" s="2325" t="s">
        <v>2891</v>
      </c>
      <c r="K6" s="2326"/>
      <c r="L6" s="2325" t="s">
        <v>2892</v>
      </c>
      <c r="M6" s="2326"/>
      <c r="N6" s="2325" t="s">
        <v>2893</v>
      </c>
      <c r="O6" s="2326"/>
      <c r="P6" s="2325" t="s">
        <v>2894</v>
      </c>
      <c r="Q6" s="2326"/>
      <c r="R6" s="2325" t="s">
        <v>2895</v>
      </c>
      <c r="S6" s="2326"/>
      <c r="T6" s="2325" t="s">
        <v>2896</v>
      </c>
      <c r="U6" s="2326"/>
      <c r="Z6" s="261"/>
    </row>
    <row r="7" spans="1:26">
      <c r="A7" s="1082" t="s">
        <v>706</v>
      </c>
      <c r="B7" s="2017" t="s">
        <v>2897</v>
      </c>
      <c r="C7" s="415"/>
      <c r="D7" s="499"/>
      <c r="E7" s="417"/>
      <c r="F7" s="418"/>
      <c r="G7" s="829" t="s">
        <v>708</v>
      </c>
      <c r="H7" s="2325" t="s">
        <v>2898</v>
      </c>
      <c r="I7" s="2326"/>
      <c r="J7" s="2325" t="s">
        <v>2899</v>
      </c>
      <c r="K7" s="2326"/>
      <c r="L7" s="2325" t="s">
        <v>2900</v>
      </c>
      <c r="M7" s="2326"/>
      <c r="N7" s="2325" t="s">
        <v>2901</v>
      </c>
      <c r="O7" s="2326"/>
      <c r="P7" s="2325" t="s">
        <v>2902</v>
      </c>
      <c r="Q7" s="2326"/>
      <c r="R7" s="2325" t="s">
        <v>2903</v>
      </c>
      <c r="S7" s="2326"/>
      <c r="T7" s="2325" t="s">
        <v>2904</v>
      </c>
      <c r="U7" s="2326"/>
      <c r="Z7" s="261"/>
    </row>
    <row r="8" spans="1:26">
      <c r="A8" s="1082" t="s">
        <v>712</v>
      </c>
      <c r="B8" s="2018"/>
      <c r="C8" s="415"/>
      <c r="D8" s="499"/>
      <c r="E8" s="417"/>
      <c r="F8" s="418"/>
      <c r="G8" s="829" t="s">
        <v>713</v>
      </c>
      <c r="H8" s="2327" t="s">
        <v>2905</v>
      </c>
      <c r="I8" s="2328"/>
      <c r="J8" s="2327" t="s">
        <v>2906</v>
      </c>
      <c r="K8" s="2328"/>
      <c r="L8" s="2327" t="s">
        <v>2907</v>
      </c>
      <c r="M8" s="2328"/>
      <c r="N8" s="2327" t="s">
        <v>2908</v>
      </c>
      <c r="O8" s="2328"/>
      <c r="P8" s="2327" t="s">
        <v>2909</v>
      </c>
      <c r="Q8" s="2328"/>
      <c r="R8" s="2327" t="s">
        <v>2910</v>
      </c>
      <c r="S8" s="2328"/>
      <c r="T8" s="2327" t="s">
        <v>2911</v>
      </c>
      <c r="U8" s="2328"/>
      <c r="Z8" s="261"/>
    </row>
    <row r="9" spans="1:26" ht="15.75" thickBot="1">
      <c r="A9" s="420"/>
      <c r="B9" s="421"/>
      <c r="C9" s="23"/>
      <c r="D9" s="500"/>
      <c r="E9" s="266"/>
      <c r="F9" s="283"/>
      <c r="G9" s="284" t="s">
        <v>717</v>
      </c>
      <c r="H9" s="2317">
        <f>I102</f>
        <v>461690.97</v>
      </c>
      <c r="I9" s="2318"/>
      <c r="J9" s="2317">
        <f>K102</f>
        <v>484502</v>
      </c>
      <c r="K9" s="2318"/>
      <c r="L9" s="2317">
        <f>M102</f>
        <v>485155.74851851858</v>
      </c>
      <c r="M9" s="2318"/>
      <c r="N9" s="2317">
        <f>O102</f>
        <v>502977.16</v>
      </c>
      <c r="O9" s="2318"/>
      <c r="P9" s="2317">
        <f>Q102</f>
        <v>538595.78999999992</v>
      </c>
      <c r="Q9" s="2318"/>
      <c r="R9" s="2330">
        <f>S102</f>
        <v>544302.76851851842</v>
      </c>
      <c r="S9" s="2330"/>
      <c r="T9" s="2317">
        <f>U102</f>
        <v>660321.04999999993</v>
      </c>
      <c r="U9" s="2318"/>
      <c r="Z9" s="261"/>
    </row>
    <row r="10" spans="1:26" s="267" customFormat="1" ht="32.1" customHeight="1" thickBot="1">
      <c r="A10" s="293"/>
      <c r="B10" s="300"/>
      <c r="C10" s="295" t="s">
        <v>718</v>
      </c>
      <c r="D10" s="501"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1" t="s">
        <v>724</v>
      </c>
      <c r="R10" s="290" t="s">
        <v>723</v>
      </c>
      <c r="S10" s="290" t="s">
        <v>724</v>
      </c>
      <c r="T10" s="290" t="s">
        <v>723</v>
      </c>
      <c r="U10" s="290" t="s">
        <v>724</v>
      </c>
      <c r="Z10" s="268"/>
    </row>
    <row r="11" spans="1:26">
      <c r="A11" s="2040"/>
      <c r="B11" s="2083" t="s">
        <v>725</v>
      </c>
      <c r="C11" s="1396"/>
      <c r="D11" s="2071"/>
      <c r="E11" s="2085"/>
      <c r="F11" s="2043"/>
      <c r="G11" s="2044"/>
      <c r="H11" s="2086"/>
      <c r="I11" s="2047"/>
      <c r="J11" s="2086"/>
      <c r="K11" s="2047"/>
      <c r="L11" s="2086"/>
      <c r="M11" s="2046"/>
      <c r="N11" s="2086"/>
      <c r="O11" s="2047"/>
      <c r="P11" s="2086"/>
      <c r="Q11" s="2047"/>
      <c r="R11" s="2086"/>
      <c r="S11" s="2047"/>
      <c r="T11" s="2086"/>
      <c r="U11" s="348"/>
    </row>
    <row r="12" spans="1:26">
      <c r="A12" s="2040"/>
      <c r="B12" s="2087" t="s">
        <v>726</v>
      </c>
      <c r="C12" s="415"/>
      <c r="D12" s="499"/>
      <c r="E12" s="417"/>
      <c r="F12" s="418"/>
      <c r="G12" s="423"/>
      <c r="H12" s="2020" t="s">
        <v>727</v>
      </c>
      <c r="I12" s="2047"/>
      <c r="J12" s="2088"/>
      <c r="K12" s="2047"/>
      <c r="L12" s="2088"/>
      <c r="M12" s="2046"/>
      <c r="N12" s="2088"/>
      <c r="O12" s="2047"/>
      <c r="P12" s="2088"/>
      <c r="Q12" s="2047"/>
      <c r="R12" s="2088"/>
      <c r="S12" s="2047"/>
      <c r="T12" s="2088"/>
      <c r="U12" s="2047"/>
    </row>
    <row r="13" spans="1:26">
      <c r="A13" s="1097"/>
      <c r="B13" s="2087" t="s">
        <v>728</v>
      </c>
      <c r="C13" s="415"/>
      <c r="D13" s="499"/>
      <c r="E13" s="417"/>
      <c r="F13" s="418"/>
      <c r="G13" s="423"/>
      <c r="H13" s="2020" t="s">
        <v>727</v>
      </c>
      <c r="I13" s="2047"/>
      <c r="J13" s="2088"/>
      <c r="K13" s="2047"/>
      <c r="L13" s="2088"/>
      <c r="M13" s="2046"/>
      <c r="N13" s="2088"/>
      <c r="O13" s="2047"/>
      <c r="P13" s="2088"/>
      <c r="Q13" s="2047"/>
      <c r="R13" s="2088"/>
      <c r="S13" s="2047"/>
      <c r="T13" s="2088"/>
      <c r="U13" s="2047"/>
    </row>
    <row r="14" spans="1:26">
      <c r="A14" s="2040"/>
      <c r="B14" s="2089" t="s">
        <v>729</v>
      </c>
      <c r="C14" s="415"/>
      <c r="D14" s="499"/>
      <c r="E14" s="417"/>
      <c r="F14" s="418"/>
      <c r="G14" s="423"/>
      <c r="H14" s="2020" t="s">
        <v>730</v>
      </c>
      <c r="I14" s="2123" t="s">
        <v>837</v>
      </c>
      <c r="J14" s="2088"/>
      <c r="K14" s="2047"/>
      <c r="L14" s="2088"/>
      <c r="M14" s="2046"/>
      <c r="N14" s="2088"/>
      <c r="O14" s="2047"/>
      <c r="P14" s="2088"/>
      <c r="Q14" s="2047"/>
      <c r="R14" s="2088"/>
      <c r="S14" s="2047"/>
      <c r="T14" s="2088"/>
      <c r="U14" s="2047"/>
    </row>
    <row r="15" spans="1:26">
      <c r="A15" s="1097"/>
      <c r="B15" s="2089" t="s">
        <v>731</v>
      </c>
      <c r="C15" s="415"/>
      <c r="D15" s="499"/>
      <c r="E15" s="417"/>
      <c r="F15" s="418"/>
      <c r="G15" s="423"/>
      <c r="H15" s="2020" t="s">
        <v>727</v>
      </c>
      <c r="I15" s="2046"/>
      <c r="J15" s="2088"/>
      <c r="K15" s="2046"/>
      <c r="L15" s="2088"/>
      <c r="M15" s="2046"/>
      <c r="N15" s="2088"/>
      <c r="O15" s="2046"/>
      <c r="P15" s="2088"/>
      <c r="Q15" s="2046"/>
      <c r="R15" s="2088"/>
      <c r="S15" s="2046"/>
      <c r="T15" s="2088"/>
      <c r="U15" s="2046"/>
    </row>
    <row r="16" spans="1:26">
      <c r="A16" s="2040"/>
      <c r="B16" s="2089" t="s">
        <v>732</v>
      </c>
      <c r="C16" s="415"/>
      <c r="D16" s="499"/>
      <c r="E16" s="417"/>
      <c r="F16" s="418"/>
      <c r="G16" s="423"/>
      <c r="H16" s="2020" t="s">
        <v>727</v>
      </c>
      <c r="I16" s="2047"/>
      <c r="J16" s="2088"/>
      <c r="K16" s="2047"/>
      <c r="L16" s="2088"/>
      <c r="M16" s="2046"/>
      <c r="N16" s="2088"/>
      <c r="O16" s="2047"/>
      <c r="P16" s="2088"/>
      <c r="Q16" s="2047"/>
      <c r="R16" s="2088"/>
      <c r="S16" s="2047"/>
      <c r="T16" s="2088"/>
      <c r="U16" s="2047"/>
    </row>
    <row r="17" spans="1:267">
      <c r="A17" s="1097"/>
      <c r="B17" s="2089" t="s">
        <v>733</v>
      </c>
      <c r="C17" s="415"/>
      <c r="D17" s="499"/>
      <c r="E17" s="417"/>
      <c r="F17" s="418"/>
      <c r="G17" s="423"/>
      <c r="H17" s="2020" t="s">
        <v>727</v>
      </c>
      <c r="I17" s="2047"/>
      <c r="J17" s="2088"/>
      <c r="K17" s="2047"/>
      <c r="L17" s="2088"/>
      <c r="M17" s="2046"/>
      <c r="N17" s="2088"/>
      <c r="O17" s="2047"/>
      <c r="P17" s="2088"/>
      <c r="Q17" s="2047"/>
      <c r="R17" s="2088"/>
      <c r="S17" s="2047"/>
      <c r="T17" s="2088"/>
      <c r="U17" s="2047"/>
    </row>
    <row r="18" spans="1:267">
      <c r="A18" s="2040"/>
      <c r="B18" s="726" t="s">
        <v>734</v>
      </c>
      <c r="C18" s="415"/>
      <c r="D18" s="499"/>
      <c r="E18" s="417"/>
      <c r="F18" s="418"/>
      <c r="G18" s="423"/>
      <c r="H18" s="2020" t="s">
        <v>730</v>
      </c>
      <c r="I18" s="2047" t="s">
        <v>735</v>
      </c>
      <c r="J18" s="2088"/>
      <c r="K18" s="2047"/>
      <c r="L18" s="2088"/>
      <c r="M18" s="2046"/>
      <c r="N18" s="2088"/>
      <c r="O18" s="2047"/>
      <c r="P18" s="2088"/>
      <c r="Q18" s="2047"/>
      <c r="R18" s="2088"/>
      <c r="S18" s="2047"/>
      <c r="T18" s="2088"/>
      <c r="U18" s="2047"/>
    </row>
    <row r="19" spans="1:267">
      <c r="A19" s="2040"/>
      <c r="B19" s="2090" t="s">
        <v>736</v>
      </c>
      <c r="C19" s="415"/>
      <c r="D19" s="499"/>
      <c r="E19" s="417"/>
      <c r="F19" s="418"/>
      <c r="G19" s="423"/>
      <c r="H19" s="2088"/>
      <c r="I19" s="2047"/>
      <c r="J19" s="2088"/>
      <c r="K19" s="2047"/>
      <c r="L19" s="2088"/>
      <c r="M19" s="2046"/>
      <c r="N19" s="2088"/>
      <c r="O19" s="2047"/>
      <c r="P19" s="2088"/>
      <c r="Q19" s="2047"/>
      <c r="R19" s="2088"/>
      <c r="S19" s="2047"/>
      <c r="T19" s="2088"/>
      <c r="U19" s="2047"/>
    </row>
    <row r="20" spans="1:267">
      <c r="A20" s="1097"/>
      <c r="B20" s="2091" t="s">
        <v>737</v>
      </c>
      <c r="C20" s="424"/>
      <c r="D20" s="502"/>
      <c r="E20" s="449"/>
      <c r="F20" s="426"/>
      <c r="G20" s="427"/>
      <c r="H20" s="2092"/>
      <c r="I20" s="2025"/>
      <c r="J20" s="2092"/>
      <c r="K20" s="2025"/>
      <c r="L20" s="2092"/>
      <c r="M20" s="2024"/>
      <c r="N20" s="2092"/>
      <c r="O20" s="2025"/>
      <c r="P20" s="2092"/>
      <c r="Q20" s="2025"/>
      <c r="R20" s="2092"/>
      <c r="S20" s="2025"/>
      <c r="T20" s="2092"/>
      <c r="U20" s="2025"/>
    </row>
    <row r="21" spans="1:267">
      <c r="A21" s="2040"/>
      <c r="B21" s="2097"/>
      <c r="C21" s="23"/>
      <c r="D21" s="500"/>
      <c r="E21" s="266"/>
      <c r="F21" s="280"/>
      <c r="G21" s="274"/>
      <c r="H21" s="2088"/>
      <c r="I21" s="428"/>
      <c r="J21" s="2088"/>
      <c r="K21" s="428"/>
      <c r="L21" s="2088"/>
      <c r="M21" s="428"/>
      <c r="N21" s="2088"/>
      <c r="O21" s="428"/>
      <c r="P21" s="2088"/>
      <c r="Q21" s="428"/>
      <c r="R21" s="2088"/>
      <c r="S21" s="428"/>
      <c r="T21" s="2088"/>
      <c r="U21" s="428"/>
    </row>
    <row r="22" spans="1:267">
      <c r="A22" s="2040"/>
      <c r="B22" s="2097" t="s">
        <v>770</v>
      </c>
      <c r="C22" s="23"/>
      <c r="D22" s="500"/>
      <c r="E22" s="266"/>
      <c r="F22" s="280"/>
      <c r="G22" s="274"/>
      <c r="H22" s="2088"/>
      <c r="I22" s="461"/>
      <c r="J22" s="2088"/>
      <c r="K22" s="461"/>
      <c r="L22" s="2088"/>
      <c r="M22" s="461"/>
      <c r="N22" s="2088"/>
      <c r="O22" s="428">
        <v>5843.2</v>
      </c>
      <c r="P22" s="2088"/>
      <c r="Q22" s="428"/>
      <c r="R22" s="2088"/>
      <c r="S22" s="461"/>
      <c r="T22" s="2088"/>
      <c r="U22" s="428"/>
    </row>
    <row r="23" spans="1:267">
      <c r="A23" s="2040"/>
      <c r="B23" s="2097" t="s">
        <v>2912</v>
      </c>
      <c r="C23" s="23"/>
      <c r="D23" s="500"/>
      <c r="E23" s="266"/>
      <c r="F23" s="280"/>
      <c r="G23" s="274"/>
      <c r="H23" s="2088"/>
      <c r="I23" s="461"/>
      <c r="J23" s="2088"/>
      <c r="K23" s="461"/>
      <c r="L23" s="2088"/>
      <c r="M23" s="461">
        <v>36800</v>
      </c>
      <c r="N23" s="2088"/>
      <c r="O23" s="428"/>
      <c r="P23" s="2088"/>
      <c r="Q23" s="428"/>
      <c r="R23" s="2088"/>
      <c r="S23" s="461"/>
      <c r="T23" s="2088"/>
      <c r="U23" s="428"/>
    </row>
    <row r="24" spans="1:267">
      <c r="A24" s="2040"/>
      <c r="B24" s="2097"/>
      <c r="C24" s="23"/>
      <c r="D24" s="500"/>
      <c r="E24" s="266"/>
      <c r="F24" s="280"/>
      <c r="G24" s="274"/>
      <c r="H24" s="2088"/>
      <c r="I24" s="461"/>
      <c r="J24" s="2088"/>
      <c r="K24" s="461"/>
      <c r="L24" s="2088"/>
      <c r="M24" s="461"/>
      <c r="N24" s="2088"/>
      <c r="O24" s="428"/>
      <c r="P24" s="2088"/>
      <c r="Q24" s="428"/>
      <c r="R24" s="2088"/>
      <c r="S24" s="461"/>
      <c r="T24" s="2088"/>
      <c r="U24" s="428"/>
    </row>
    <row r="25" spans="1:267" s="69" customFormat="1">
      <c r="A25" s="1097"/>
      <c r="B25" s="2006" t="s">
        <v>2913</v>
      </c>
      <c r="C25" s="415"/>
      <c r="D25" s="499"/>
      <c r="E25" s="417"/>
      <c r="F25" s="429"/>
      <c r="G25" s="423"/>
      <c r="H25" s="2088"/>
      <c r="I25" s="461">
        <v>282284</v>
      </c>
      <c r="J25" s="2088"/>
      <c r="K25" s="1107">
        <v>354300</v>
      </c>
      <c r="L25" s="2088"/>
      <c r="M25" s="1107"/>
      <c r="N25" s="2088"/>
      <c r="O25" s="1992"/>
      <c r="P25" s="2088"/>
      <c r="Q25" s="1992"/>
      <c r="R25" s="2088"/>
      <c r="S25" s="1107">
        <v>385893</v>
      </c>
      <c r="T25" s="2088"/>
      <c r="U25" s="1992"/>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row>
    <row r="26" spans="1:267">
      <c r="A26" s="2040"/>
      <c r="B26" s="2124" t="s">
        <v>2914</v>
      </c>
      <c r="C26" s="1396"/>
      <c r="D26" s="2071">
        <v>6</v>
      </c>
      <c r="E26" s="2085" t="s">
        <v>468</v>
      </c>
      <c r="F26" s="2125"/>
      <c r="G26" s="2044"/>
      <c r="H26" s="2088" t="s">
        <v>682</v>
      </c>
      <c r="I26" s="461"/>
      <c r="J26" s="2088" t="s">
        <v>682</v>
      </c>
      <c r="K26" s="2126"/>
      <c r="L26" s="2088" t="s">
        <v>682</v>
      </c>
      <c r="M26" s="2126">
        <v>3640.2</v>
      </c>
      <c r="N26" s="2088" t="s">
        <v>682</v>
      </c>
      <c r="O26" s="2047">
        <v>4087.91</v>
      </c>
      <c r="P26" s="2088"/>
      <c r="Q26" s="2047">
        <v>4661.3999999999996</v>
      </c>
      <c r="R26" s="2088"/>
      <c r="S26" s="2126"/>
      <c r="T26" s="2088" t="s">
        <v>682</v>
      </c>
      <c r="U26" s="2047">
        <v>5100</v>
      </c>
    </row>
    <row r="27" spans="1:267">
      <c r="A27" s="2040"/>
      <c r="B27" s="2094" t="s">
        <v>2915</v>
      </c>
      <c r="C27" s="1396"/>
      <c r="D27" s="2127">
        <v>8</v>
      </c>
      <c r="E27" s="2085" t="s">
        <v>468</v>
      </c>
      <c r="F27" s="2028"/>
      <c r="G27" s="2029"/>
      <c r="H27" s="2088" t="s">
        <v>682</v>
      </c>
      <c r="I27" s="461"/>
      <c r="J27" s="2088" t="s">
        <v>682</v>
      </c>
      <c r="K27" s="2047"/>
      <c r="L27" s="2088" t="s">
        <v>682</v>
      </c>
      <c r="M27" s="2047">
        <v>4065.12</v>
      </c>
      <c r="N27" s="2088" t="s">
        <v>682</v>
      </c>
      <c r="O27" s="2047">
        <v>4138.8</v>
      </c>
      <c r="P27" s="2088"/>
      <c r="Q27" s="2047">
        <v>3438.64</v>
      </c>
      <c r="R27" s="2088"/>
      <c r="S27" s="2047"/>
      <c r="T27" s="2088" t="s">
        <v>682</v>
      </c>
      <c r="U27" s="2047">
        <v>5400</v>
      </c>
    </row>
    <row r="28" spans="1:267">
      <c r="A28" s="1097"/>
      <c r="B28" s="2094" t="s">
        <v>2916</v>
      </c>
      <c r="C28" s="1396"/>
      <c r="D28" s="504">
        <v>3</v>
      </c>
      <c r="E28" s="2085" t="s">
        <v>468</v>
      </c>
      <c r="F28" s="431"/>
      <c r="G28" s="2029"/>
      <c r="H28" s="2088" t="s">
        <v>682</v>
      </c>
      <c r="I28" s="461"/>
      <c r="J28" s="2088" t="s">
        <v>682</v>
      </c>
      <c r="K28" s="2047"/>
      <c r="L28" s="2088" t="s">
        <v>682</v>
      </c>
      <c r="M28" s="2047">
        <v>2240.25</v>
      </c>
      <c r="N28" s="2088" t="s">
        <v>682</v>
      </c>
      <c r="O28" s="2047">
        <v>2447.61</v>
      </c>
      <c r="P28" s="2088"/>
      <c r="Q28" s="2047">
        <v>3208.02</v>
      </c>
      <c r="R28" s="2088"/>
      <c r="S28" s="2047"/>
      <c r="T28" s="2088" t="s">
        <v>682</v>
      </c>
      <c r="U28" s="2047">
        <v>2850</v>
      </c>
    </row>
    <row r="29" spans="1:267">
      <c r="A29" s="2040"/>
      <c r="B29" s="2094" t="s">
        <v>2917</v>
      </c>
      <c r="C29" s="1396"/>
      <c r="D29" s="504">
        <v>6</v>
      </c>
      <c r="E29" s="2085" t="s">
        <v>468</v>
      </c>
      <c r="F29" s="431"/>
      <c r="G29" s="2029"/>
      <c r="H29" s="2088" t="s">
        <v>682</v>
      </c>
      <c r="I29" s="461"/>
      <c r="J29" s="2088" t="s">
        <v>682</v>
      </c>
      <c r="K29" s="2047"/>
      <c r="L29" s="2088" t="s">
        <v>682</v>
      </c>
      <c r="M29" s="2047">
        <v>1891.26</v>
      </c>
      <c r="N29" s="2088" t="s">
        <v>682</v>
      </c>
      <c r="O29" s="2047">
        <v>4676.3999999999996</v>
      </c>
      <c r="P29" s="2088"/>
      <c r="Q29" s="2047">
        <v>5497.38</v>
      </c>
      <c r="R29" s="2088"/>
      <c r="S29" s="2047"/>
      <c r="T29" s="2088" t="s">
        <v>682</v>
      </c>
      <c r="U29" s="2047">
        <v>4800</v>
      </c>
    </row>
    <row r="30" spans="1:267">
      <c r="A30" s="1097"/>
      <c r="B30" s="2096" t="s">
        <v>2918</v>
      </c>
      <c r="C30" s="415"/>
      <c r="D30" s="504"/>
      <c r="E30" s="417"/>
      <c r="F30" s="431"/>
      <c r="G30" s="2029"/>
      <c r="H30" s="2088"/>
      <c r="I30" s="461"/>
      <c r="J30" s="2088"/>
      <c r="K30" s="2047"/>
      <c r="L30" s="2088"/>
      <c r="M30" s="2047"/>
      <c r="N30" s="2088"/>
      <c r="O30" s="2047"/>
      <c r="P30" s="2088"/>
      <c r="Q30" s="2047"/>
      <c r="R30" s="2088"/>
      <c r="S30" s="2047"/>
      <c r="T30" s="2088"/>
      <c r="U30" s="2047"/>
    </row>
    <row r="31" spans="1:267">
      <c r="A31" s="2040"/>
      <c r="B31" s="2094" t="s">
        <v>2919</v>
      </c>
      <c r="C31" s="1396"/>
      <c r="D31" s="504">
        <v>8</v>
      </c>
      <c r="E31" s="2085" t="s">
        <v>468</v>
      </c>
      <c r="F31" s="431"/>
      <c r="G31" s="2029"/>
      <c r="H31" s="2088" t="s">
        <v>682</v>
      </c>
      <c r="I31" s="461"/>
      <c r="J31" s="2088" t="s">
        <v>682</v>
      </c>
      <c r="K31" s="2047"/>
      <c r="L31" s="2088" t="s">
        <v>682</v>
      </c>
      <c r="M31" s="2047">
        <v>14186.72</v>
      </c>
      <c r="N31" s="2088" t="s">
        <v>682</v>
      </c>
      <c r="O31" s="2047">
        <v>5359.84</v>
      </c>
      <c r="P31" s="2088"/>
      <c r="Q31" s="2047">
        <v>6267.96</v>
      </c>
      <c r="R31" s="2088"/>
      <c r="S31" s="2047"/>
      <c r="T31" s="2088" t="s">
        <v>682</v>
      </c>
      <c r="U31" s="2047">
        <v>16000</v>
      </c>
    </row>
    <row r="32" spans="1:267">
      <c r="A32" s="1097"/>
      <c r="B32" s="2094" t="s">
        <v>2920</v>
      </c>
      <c r="C32" s="1396"/>
      <c r="D32" s="504">
        <v>24</v>
      </c>
      <c r="E32" s="2085" t="s">
        <v>468</v>
      </c>
      <c r="F32" s="431"/>
      <c r="G32" s="2029"/>
      <c r="H32" s="2088" t="s">
        <v>682</v>
      </c>
      <c r="I32" s="461"/>
      <c r="J32" s="2088" t="s">
        <v>682</v>
      </c>
      <c r="K32" s="2047"/>
      <c r="L32" s="2088" t="s">
        <v>682</v>
      </c>
      <c r="M32" s="2047">
        <v>127680</v>
      </c>
      <c r="N32" s="2088" t="s">
        <v>682</v>
      </c>
      <c r="O32" s="2047">
        <v>128123.28</v>
      </c>
      <c r="P32" s="2088"/>
      <c r="Q32" s="2047">
        <v>178903.92</v>
      </c>
      <c r="R32" s="2088"/>
      <c r="S32" s="2047"/>
      <c r="T32" s="2088" t="s">
        <v>682</v>
      </c>
      <c r="U32" s="2047">
        <v>276000</v>
      </c>
    </row>
    <row r="33" spans="1:21">
      <c r="A33" s="2040"/>
      <c r="B33" s="2094" t="s">
        <v>2921</v>
      </c>
      <c r="C33" s="1396"/>
      <c r="D33" s="504">
        <v>35</v>
      </c>
      <c r="E33" s="2085" t="s">
        <v>468</v>
      </c>
      <c r="F33" s="431"/>
      <c r="G33" s="2029"/>
      <c r="H33" s="2088" t="s">
        <v>682</v>
      </c>
      <c r="I33" s="461"/>
      <c r="J33" s="2088" t="s">
        <v>682</v>
      </c>
      <c r="K33" s="2047"/>
      <c r="L33" s="2088" t="s">
        <v>682</v>
      </c>
      <c r="M33" s="2047">
        <v>20825</v>
      </c>
      <c r="N33" s="2088" t="s">
        <v>682</v>
      </c>
      <c r="O33" s="2047">
        <v>13924.789999999999</v>
      </c>
      <c r="P33" s="2088"/>
      <c r="Q33" s="2047">
        <v>31549.35</v>
      </c>
      <c r="R33" s="2088"/>
      <c r="S33" s="2047"/>
      <c r="T33" s="2088" t="s">
        <v>682</v>
      </c>
      <c r="U33" s="2047">
        <f>9900+9350</f>
        <v>19250</v>
      </c>
    </row>
    <row r="34" spans="1:21">
      <c r="A34" s="1097"/>
      <c r="B34" s="2096" t="s">
        <v>2922</v>
      </c>
      <c r="C34" s="415"/>
      <c r="D34" s="504"/>
      <c r="E34" s="417"/>
      <c r="F34" s="431"/>
      <c r="G34" s="2029"/>
      <c r="H34" s="2088"/>
      <c r="I34" s="461"/>
      <c r="J34" s="2088"/>
      <c r="K34" s="2047"/>
      <c r="L34" s="2088"/>
      <c r="M34" s="2047"/>
      <c r="N34" s="2088"/>
      <c r="O34" s="2047"/>
      <c r="P34" s="2088"/>
      <c r="Q34" s="2047"/>
      <c r="R34" s="2088"/>
      <c r="S34" s="2047"/>
      <c r="T34" s="2088"/>
      <c r="U34" s="2047"/>
    </row>
    <row r="35" spans="1:21">
      <c r="A35" s="2040"/>
      <c r="B35" s="2094" t="s">
        <v>2923</v>
      </c>
      <c r="C35" s="1396"/>
      <c r="D35" s="504">
        <v>191</v>
      </c>
      <c r="E35" s="2085" t="s">
        <v>468</v>
      </c>
      <c r="F35" s="431"/>
      <c r="G35" s="2029"/>
      <c r="H35" s="2088" t="s">
        <v>682</v>
      </c>
      <c r="I35" s="461"/>
      <c r="J35" s="2088" t="s">
        <v>682</v>
      </c>
      <c r="K35" s="2047"/>
      <c r="L35" s="2088" t="s">
        <v>682</v>
      </c>
      <c r="M35" s="2047">
        <v>16044</v>
      </c>
      <c r="N35" s="2088" t="s">
        <v>682</v>
      </c>
      <c r="O35" s="2047">
        <v>13277.4</v>
      </c>
      <c r="P35" s="2088"/>
      <c r="Q35" s="2047">
        <v>17115.84</v>
      </c>
      <c r="R35" s="2088"/>
      <c r="S35" s="2047"/>
      <c r="T35" s="2088" t="s">
        <v>682</v>
      </c>
      <c r="U35" s="2047">
        <v>24830</v>
      </c>
    </row>
    <row r="36" spans="1:21">
      <c r="A36" s="2040"/>
      <c r="B36" s="2094" t="s">
        <v>2924</v>
      </c>
      <c r="C36" s="1396"/>
      <c r="D36" s="504">
        <v>38</v>
      </c>
      <c r="E36" s="2085" t="s">
        <v>468</v>
      </c>
      <c r="F36" s="431"/>
      <c r="G36" s="2029"/>
      <c r="H36" s="2088" t="s">
        <v>682</v>
      </c>
      <c r="I36" s="461"/>
      <c r="J36" s="2088" t="s">
        <v>682</v>
      </c>
      <c r="K36" s="2047"/>
      <c r="L36" s="2088" t="s">
        <v>682</v>
      </c>
      <c r="M36" s="2047">
        <v>1879.48</v>
      </c>
      <c r="N36" s="2088" t="s">
        <v>682</v>
      </c>
      <c r="O36" s="2047">
        <v>2641.58</v>
      </c>
      <c r="P36" s="2088"/>
      <c r="Q36" s="2047">
        <v>2782.36</v>
      </c>
      <c r="R36" s="2088"/>
      <c r="S36" s="2047"/>
      <c r="T36" s="2088" t="s">
        <v>682</v>
      </c>
      <c r="U36" s="2047">
        <v>2470</v>
      </c>
    </row>
    <row r="37" spans="1:21">
      <c r="A37" s="2040"/>
      <c r="B37" s="2094" t="s">
        <v>2925</v>
      </c>
      <c r="C37" s="1396"/>
      <c r="D37" s="504">
        <v>32</v>
      </c>
      <c r="E37" s="2085" t="s">
        <v>468</v>
      </c>
      <c r="F37" s="431"/>
      <c r="G37" s="2029"/>
      <c r="H37" s="2088" t="s">
        <v>682</v>
      </c>
      <c r="I37" s="461"/>
      <c r="J37" s="2088" t="s">
        <v>682</v>
      </c>
      <c r="K37" s="2047"/>
      <c r="L37" s="2088" t="s">
        <v>682</v>
      </c>
      <c r="M37" s="2047">
        <v>1536.64</v>
      </c>
      <c r="N37" s="2088" t="s">
        <v>682</v>
      </c>
      <c r="O37" s="2047">
        <v>1874.09</v>
      </c>
      <c r="P37" s="2088"/>
      <c r="Q37" s="2047">
        <v>2669.76</v>
      </c>
      <c r="R37" s="2088"/>
      <c r="S37" s="2047"/>
      <c r="T37" s="2088" t="s">
        <v>682</v>
      </c>
      <c r="U37" s="2047">
        <v>2080</v>
      </c>
    </row>
    <row r="38" spans="1:21">
      <c r="A38" s="1097"/>
      <c r="B38" s="2096" t="s">
        <v>2926</v>
      </c>
      <c r="C38" s="415"/>
      <c r="D38" s="504"/>
      <c r="E38" s="417"/>
      <c r="F38" s="431"/>
      <c r="G38" s="2029"/>
      <c r="H38" s="2088"/>
      <c r="I38" s="461"/>
      <c r="J38" s="2088"/>
      <c r="K38" s="2047"/>
      <c r="L38" s="2088"/>
      <c r="M38" s="2047"/>
      <c r="N38" s="2088"/>
      <c r="O38" s="2047"/>
      <c r="P38" s="2088"/>
      <c r="Q38" s="2047"/>
      <c r="R38" s="2088"/>
      <c r="S38" s="2047"/>
      <c r="T38" s="2088"/>
      <c r="U38" s="2047"/>
    </row>
    <row r="39" spans="1:21">
      <c r="A39" s="2040"/>
      <c r="B39" s="2094" t="s">
        <v>2927</v>
      </c>
      <c r="C39" s="1396"/>
      <c r="D39" s="504">
        <v>126</v>
      </c>
      <c r="E39" s="2085" t="s">
        <v>468</v>
      </c>
      <c r="F39" s="431"/>
      <c r="G39" s="2029"/>
      <c r="H39" s="2088" t="s">
        <v>682</v>
      </c>
      <c r="I39" s="461"/>
      <c r="J39" s="2088" t="s">
        <v>682</v>
      </c>
      <c r="K39" s="2047"/>
      <c r="L39" s="2088" t="s">
        <v>682</v>
      </c>
      <c r="M39" s="2047">
        <v>1799.28</v>
      </c>
      <c r="N39" s="2088" t="s">
        <v>682</v>
      </c>
      <c r="O39" s="2047">
        <v>1848.42</v>
      </c>
      <c r="P39" s="2088"/>
      <c r="Q39" s="2047">
        <v>1004.22</v>
      </c>
      <c r="R39" s="2088"/>
      <c r="S39" s="2047"/>
      <c r="T39" s="2088" t="s">
        <v>682</v>
      </c>
      <c r="U39" s="2047">
        <v>1260</v>
      </c>
    </row>
    <row r="40" spans="1:21">
      <c r="A40" s="2040"/>
      <c r="B40" s="2128" t="s">
        <v>2928</v>
      </c>
      <c r="C40" s="1396"/>
      <c r="D40" s="504">
        <v>6</v>
      </c>
      <c r="E40" s="2085" t="s">
        <v>468</v>
      </c>
      <c r="F40" s="431"/>
      <c r="G40" s="2029"/>
      <c r="H40" s="2088" t="s">
        <v>682</v>
      </c>
      <c r="I40" s="461"/>
      <c r="J40" s="2088" t="s">
        <v>682</v>
      </c>
      <c r="K40" s="2047"/>
      <c r="L40" s="2088" t="s">
        <v>682</v>
      </c>
      <c r="M40" s="2047">
        <v>293.10000000000002</v>
      </c>
      <c r="N40" s="2088" t="s">
        <v>682</v>
      </c>
      <c r="O40" s="2047">
        <v>285.81</v>
      </c>
      <c r="P40" s="2088"/>
      <c r="Q40" s="2047">
        <v>371.88</v>
      </c>
      <c r="R40" s="2088"/>
      <c r="S40" s="2047"/>
      <c r="T40" s="2088" t="s">
        <v>682</v>
      </c>
      <c r="U40" s="2047">
        <v>348</v>
      </c>
    </row>
    <row r="41" spans="1:21">
      <c r="A41" s="2040"/>
      <c r="B41" s="2128" t="s">
        <v>2929</v>
      </c>
      <c r="C41" s="1396"/>
      <c r="D41" s="503">
        <v>119</v>
      </c>
      <c r="E41" s="2085" t="s">
        <v>468</v>
      </c>
      <c r="F41" s="431"/>
      <c r="G41" s="2029"/>
      <c r="H41" s="2088" t="s">
        <v>682</v>
      </c>
      <c r="I41" s="461"/>
      <c r="J41" s="2088" t="s">
        <v>682</v>
      </c>
      <c r="K41" s="2047"/>
      <c r="L41" s="2088" t="s">
        <v>682</v>
      </c>
      <c r="M41" s="2047">
        <v>1598.17</v>
      </c>
      <c r="N41" s="2088" t="s">
        <v>682</v>
      </c>
      <c r="O41" s="2047">
        <v>2439.5</v>
      </c>
      <c r="P41" s="2088"/>
      <c r="Q41" s="2047">
        <v>2763.18</v>
      </c>
      <c r="R41" s="2088"/>
      <c r="S41" s="2047"/>
      <c r="T41" s="2088" t="s">
        <v>682</v>
      </c>
      <c r="U41" s="2047">
        <v>2023</v>
      </c>
    </row>
    <row r="42" spans="1:21">
      <c r="A42" s="2040"/>
      <c r="B42" s="2128" t="s">
        <v>2930</v>
      </c>
      <c r="C42" s="1396"/>
      <c r="D42" s="503">
        <v>162</v>
      </c>
      <c r="E42" s="2085" t="s">
        <v>468</v>
      </c>
      <c r="F42" s="431"/>
      <c r="G42" s="2029"/>
      <c r="H42" s="2088" t="s">
        <v>682</v>
      </c>
      <c r="I42" s="461"/>
      <c r="J42" s="2088" t="s">
        <v>682</v>
      </c>
      <c r="K42" s="2047"/>
      <c r="L42" s="2088" t="s">
        <v>682</v>
      </c>
      <c r="M42" s="2047">
        <v>1639.44</v>
      </c>
      <c r="N42" s="2088" t="s">
        <v>682</v>
      </c>
      <c r="O42" s="2047">
        <v>2376.54</v>
      </c>
      <c r="P42" s="2088"/>
      <c r="Q42" s="2047">
        <v>2438.1</v>
      </c>
      <c r="R42" s="2088"/>
      <c r="S42" s="2047"/>
      <c r="T42" s="2088" t="s">
        <v>682</v>
      </c>
      <c r="U42" s="2047">
        <v>1620</v>
      </c>
    </row>
    <row r="43" spans="1:21">
      <c r="A43" s="2040"/>
      <c r="B43" s="2128" t="s">
        <v>2931</v>
      </c>
      <c r="C43" s="1396"/>
      <c r="D43" s="503">
        <v>21</v>
      </c>
      <c r="E43" s="2085" t="s">
        <v>468</v>
      </c>
      <c r="F43" s="431"/>
      <c r="G43" s="2029"/>
      <c r="H43" s="2088" t="s">
        <v>682</v>
      </c>
      <c r="I43" s="461"/>
      <c r="J43" s="2088" t="s">
        <v>682</v>
      </c>
      <c r="K43" s="2047"/>
      <c r="L43" s="2088" t="s">
        <v>682</v>
      </c>
      <c r="M43" s="2047">
        <v>764.19</v>
      </c>
      <c r="N43" s="2088" t="s">
        <v>682</v>
      </c>
      <c r="O43" s="2047">
        <v>369.39</v>
      </c>
      <c r="P43" s="2088"/>
      <c r="Q43" s="2047">
        <v>296.94</v>
      </c>
      <c r="R43" s="2088"/>
      <c r="S43" s="2047"/>
      <c r="T43" s="2088" t="s">
        <v>682</v>
      </c>
      <c r="U43" s="2047">
        <v>336</v>
      </c>
    </row>
    <row r="44" spans="1:21">
      <c r="A44" s="2040"/>
      <c r="B44" s="2128" t="s">
        <v>2932</v>
      </c>
      <c r="C44" s="1396"/>
      <c r="D44" s="503">
        <v>7</v>
      </c>
      <c r="E44" s="2085" t="s">
        <v>468</v>
      </c>
      <c r="F44" s="431"/>
      <c r="G44" s="2029"/>
      <c r="H44" s="2088" t="s">
        <v>682</v>
      </c>
      <c r="I44" s="461"/>
      <c r="J44" s="2088" t="s">
        <v>682</v>
      </c>
      <c r="K44" s="2047"/>
      <c r="L44" s="2088" t="s">
        <v>682</v>
      </c>
      <c r="M44" s="2047">
        <v>1690.99</v>
      </c>
      <c r="N44" s="2088" t="s">
        <v>682</v>
      </c>
      <c r="O44" s="2047">
        <v>1495.2</v>
      </c>
      <c r="P44" s="2088"/>
      <c r="Q44" s="2047">
        <v>2226.1999999999998</v>
      </c>
      <c r="R44" s="2088"/>
      <c r="S44" s="2047"/>
      <c r="T44" s="2088" t="s">
        <v>682</v>
      </c>
      <c r="U44" s="2047">
        <v>1540</v>
      </c>
    </row>
    <row r="45" spans="1:21">
      <c r="A45" s="2040"/>
      <c r="B45" s="2128" t="s">
        <v>2933</v>
      </c>
      <c r="C45" s="1396"/>
      <c r="D45" s="503">
        <v>278</v>
      </c>
      <c r="E45" s="2085" t="s">
        <v>468</v>
      </c>
      <c r="F45" s="431"/>
      <c r="G45" s="2029"/>
      <c r="H45" s="2088" t="s">
        <v>682</v>
      </c>
      <c r="I45" s="461"/>
      <c r="J45" s="2088" t="s">
        <v>682</v>
      </c>
      <c r="K45" s="2047"/>
      <c r="L45" s="2088" t="s">
        <v>682</v>
      </c>
      <c r="M45" s="2047">
        <v>2535.36</v>
      </c>
      <c r="N45" s="2088" t="s">
        <v>682</v>
      </c>
      <c r="O45" s="2047">
        <v>3772.46</v>
      </c>
      <c r="P45" s="2088"/>
      <c r="Q45" s="2047">
        <v>3930.84</v>
      </c>
      <c r="R45" s="2088"/>
      <c r="S45" s="2047"/>
      <c r="T45" s="2088" t="s">
        <v>682</v>
      </c>
      <c r="U45" s="2047">
        <v>2780</v>
      </c>
    </row>
    <row r="46" spans="1:21">
      <c r="A46" s="2040"/>
      <c r="B46" s="2128" t="s">
        <v>2934</v>
      </c>
      <c r="C46" s="1396"/>
      <c r="D46" s="503">
        <v>268</v>
      </c>
      <c r="E46" s="2085" t="s">
        <v>468</v>
      </c>
      <c r="F46" s="431"/>
      <c r="G46" s="2029"/>
      <c r="H46" s="2088" t="s">
        <v>682</v>
      </c>
      <c r="I46" s="461"/>
      <c r="J46" s="2088" t="s">
        <v>682</v>
      </c>
      <c r="K46" s="2047"/>
      <c r="L46" s="2088" t="s">
        <v>682</v>
      </c>
      <c r="M46" s="2047">
        <v>2848.84</v>
      </c>
      <c r="N46" s="2088" t="s">
        <v>682</v>
      </c>
      <c r="O46" s="2047">
        <v>3832.4</v>
      </c>
      <c r="P46" s="2088"/>
      <c r="Q46" s="2047">
        <v>3920.92</v>
      </c>
      <c r="R46" s="2088"/>
      <c r="S46" s="2047"/>
      <c r="T46" s="2088" t="s">
        <v>682</v>
      </c>
      <c r="U46" s="2047">
        <v>2680</v>
      </c>
    </row>
    <row r="47" spans="1:21">
      <c r="A47" s="2040"/>
      <c r="B47" s="2128" t="s">
        <v>2935</v>
      </c>
      <c r="C47" s="1396"/>
      <c r="D47" s="503">
        <v>326</v>
      </c>
      <c r="E47" s="2085" t="s">
        <v>468</v>
      </c>
      <c r="F47" s="431"/>
      <c r="G47" s="2029"/>
      <c r="H47" s="2088" t="s">
        <v>682</v>
      </c>
      <c r="I47" s="461"/>
      <c r="J47" s="2088" t="s">
        <v>682</v>
      </c>
      <c r="K47" s="2047"/>
      <c r="L47" s="2088" t="s">
        <v>682</v>
      </c>
      <c r="M47" s="2047">
        <v>2581.92</v>
      </c>
      <c r="N47" s="2088" t="s">
        <v>682</v>
      </c>
      <c r="O47" s="2047">
        <v>4661.8</v>
      </c>
      <c r="P47" s="2088"/>
      <c r="Q47" s="2047">
        <v>3919.89</v>
      </c>
      <c r="R47" s="2088"/>
      <c r="S47" s="2047"/>
      <c r="T47" s="2088" t="s">
        <v>682</v>
      </c>
      <c r="U47" s="2047">
        <v>3260</v>
      </c>
    </row>
    <row r="48" spans="1:21">
      <c r="A48" s="2040"/>
      <c r="B48" s="2128" t="s">
        <v>2936</v>
      </c>
      <c r="C48" s="1396"/>
      <c r="D48" s="503">
        <v>234</v>
      </c>
      <c r="E48" s="2085" t="s">
        <v>468</v>
      </c>
      <c r="F48" s="431"/>
      <c r="G48" s="2029"/>
      <c r="H48" s="2088" t="s">
        <v>682</v>
      </c>
      <c r="I48" s="461"/>
      <c r="J48" s="2088" t="s">
        <v>682</v>
      </c>
      <c r="K48" s="2047"/>
      <c r="L48" s="2088" t="s">
        <v>682</v>
      </c>
      <c r="M48" s="2047">
        <v>2150.46</v>
      </c>
      <c r="N48" s="2088" t="s">
        <v>682</v>
      </c>
      <c r="O48" s="2047">
        <v>4116.0600000000004</v>
      </c>
      <c r="P48" s="2088"/>
      <c r="Q48" s="2047">
        <v>3067.74</v>
      </c>
      <c r="R48" s="2088"/>
      <c r="S48" s="2047"/>
      <c r="T48" s="2088" t="s">
        <v>682</v>
      </c>
      <c r="U48" s="2047">
        <v>2340</v>
      </c>
    </row>
    <row r="49" spans="1:21">
      <c r="A49" s="2040"/>
      <c r="B49" s="2128" t="s">
        <v>2937</v>
      </c>
      <c r="C49" s="1396"/>
      <c r="D49" s="503">
        <v>113</v>
      </c>
      <c r="E49" s="2085" t="s">
        <v>468</v>
      </c>
      <c r="F49" s="431"/>
      <c r="G49" s="2029"/>
      <c r="H49" s="2088" t="s">
        <v>682</v>
      </c>
      <c r="I49" s="461"/>
      <c r="J49" s="2088" t="s">
        <v>682</v>
      </c>
      <c r="K49" s="2047"/>
      <c r="L49" s="2088" t="s">
        <v>682</v>
      </c>
      <c r="M49" s="2047">
        <v>1899.53</v>
      </c>
      <c r="N49" s="2088" t="s">
        <v>682</v>
      </c>
      <c r="O49" s="2047">
        <v>2515.38</v>
      </c>
      <c r="P49" s="2088"/>
      <c r="Q49" s="2047">
        <v>2634.03</v>
      </c>
      <c r="R49" s="2088"/>
      <c r="S49" s="2047"/>
      <c r="T49" s="2088" t="s">
        <v>682</v>
      </c>
      <c r="U49" s="2047">
        <v>2938</v>
      </c>
    </row>
    <row r="50" spans="1:21">
      <c r="A50" s="2040"/>
      <c r="B50" s="2097" t="s">
        <v>2938</v>
      </c>
      <c r="C50" s="1396"/>
      <c r="D50" s="503"/>
      <c r="E50" s="417"/>
      <c r="F50" s="431"/>
      <c r="G50" s="2029"/>
      <c r="H50" s="2088"/>
      <c r="I50" s="461"/>
      <c r="J50" s="2088"/>
      <c r="K50" s="2047"/>
      <c r="L50" s="2088"/>
      <c r="M50" s="2047"/>
      <c r="N50" s="2088"/>
      <c r="O50" s="2047"/>
      <c r="P50" s="2088"/>
      <c r="Q50" s="2047"/>
      <c r="R50" s="2088"/>
      <c r="S50" s="2047"/>
      <c r="T50" s="2088"/>
      <c r="U50" s="2047"/>
    </row>
    <row r="51" spans="1:21">
      <c r="A51" s="2040"/>
      <c r="B51" s="2128" t="s">
        <v>2939</v>
      </c>
      <c r="C51" s="1396"/>
      <c r="D51" s="503">
        <v>212</v>
      </c>
      <c r="E51" s="2085" t="s">
        <v>468</v>
      </c>
      <c r="F51" s="431"/>
      <c r="G51" s="2029"/>
      <c r="H51" s="2088" t="s">
        <v>682</v>
      </c>
      <c r="I51" s="461"/>
      <c r="J51" s="2088" t="s">
        <v>682</v>
      </c>
      <c r="K51" s="2047"/>
      <c r="L51" s="2088" t="s">
        <v>682</v>
      </c>
      <c r="M51" s="2047">
        <v>2020.36</v>
      </c>
      <c r="N51" s="2088" t="s">
        <v>682</v>
      </c>
      <c r="O51" s="2047">
        <v>1037.7</v>
      </c>
      <c r="P51" s="2088"/>
      <c r="Q51" s="2047">
        <v>1363.16</v>
      </c>
      <c r="R51" s="2088"/>
      <c r="S51" s="2047"/>
      <c r="T51" s="2088" t="s">
        <v>682</v>
      </c>
      <c r="U51" s="2047">
        <v>1272</v>
      </c>
    </row>
    <row r="52" spans="1:21">
      <c r="A52" s="2040"/>
      <c r="B52" s="2128" t="s">
        <v>2940</v>
      </c>
      <c r="C52" s="1396"/>
      <c r="D52" s="503">
        <v>5347</v>
      </c>
      <c r="E52" s="2085" t="s">
        <v>468</v>
      </c>
      <c r="F52" s="431"/>
      <c r="G52" s="2029"/>
      <c r="H52" s="2088" t="s">
        <v>682</v>
      </c>
      <c r="I52" s="461"/>
      <c r="J52" s="2088" t="s">
        <v>682</v>
      </c>
      <c r="K52" s="2047"/>
      <c r="L52" s="2088" t="s">
        <v>682</v>
      </c>
      <c r="M52" s="2047">
        <v>16361.82</v>
      </c>
      <c r="N52" s="2088" t="s">
        <v>682</v>
      </c>
      <c r="O52" s="2047">
        <v>30503.57</v>
      </c>
      <c r="P52" s="2088"/>
      <c r="Q52" s="2047">
        <v>29887.8</v>
      </c>
      <c r="R52" s="2088"/>
      <c r="S52" s="2047"/>
      <c r="T52" s="2088" t="s">
        <v>682</v>
      </c>
      <c r="U52" s="2047">
        <v>26735</v>
      </c>
    </row>
    <row r="53" spans="1:21">
      <c r="A53" s="2040"/>
      <c r="B53" s="2128" t="s">
        <v>2941</v>
      </c>
      <c r="C53" s="1396"/>
      <c r="D53" s="503">
        <v>270</v>
      </c>
      <c r="E53" s="510" t="s">
        <v>468</v>
      </c>
      <c r="F53" s="431"/>
      <c r="G53" s="2029"/>
      <c r="H53" s="2088" t="s">
        <v>682</v>
      </c>
      <c r="I53" s="461"/>
      <c r="J53" s="2088" t="s">
        <v>682</v>
      </c>
      <c r="K53" s="2047"/>
      <c r="L53" s="2088" t="s">
        <v>682</v>
      </c>
      <c r="M53" s="2047">
        <v>920.7</v>
      </c>
      <c r="N53" s="2088" t="s">
        <v>682</v>
      </c>
      <c r="O53" s="2047">
        <v>1362.1</v>
      </c>
      <c r="P53" s="2088"/>
      <c r="Q53" s="2047">
        <v>1765.8</v>
      </c>
      <c r="R53" s="2088"/>
      <c r="S53" s="2047"/>
      <c r="T53" s="2088" t="s">
        <v>682</v>
      </c>
      <c r="U53" s="2047">
        <v>1620</v>
      </c>
    </row>
    <row r="54" spans="1:21">
      <c r="A54" s="2040"/>
      <c r="B54" s="2097" t="s">
        <v>2942</v>
      </c>
      <c r="C54" s="1396"/>
      <c r="D54" s="503"/>
      <c r="E54" s="266"/>
      <c r="F54" s="431"/>
      <c r="G54" s="2029"/>
      <c r="H54" s="2088"/>
      <c r="I54" s="461"/>
      <c r="J54" s="2088"/>
      <c r="K54" s="2047"/>
      <c r="L54" s="2088"/>
      <c r="M54" s="2047"/>
      <c r="N54" s="2088"/>
      <c r="O54" s="2047"/>
      <c r="P54" s="2088"/>
      <c r="Q54" s="2047"/>
      <c r="R54" s="2088"/>
      <c r="S54" s="2047"/>
      <c r="T54" s="2088"/>
      <c r="U54" s="2047"/>
    </row>
    <row r="55" spans="1:21">
      <c r="A55" s="2040"/>
      <c r="B55" s="2128" t="s">
        <v>2943</v>
      </c>
      <c r="C55" s="1396"/>
      <c r="D55" s="503">
        <v>12290</v>
      </c>
      <c r="E55" s="266" t="s">
        <v>511</v>
      </c>
      <c r="F55" s="431"/>
      <c r="G55" s="2029"/>
      <c r="H55" s="2088" t="s">
        <v>682</v>
      </c>
      <c r="I55" s="461"/>
      <c r="J55" s="2088" t="s">
        <v>682</v>
      </c>
      <c r="K55" s="2047"/>
      <c r="L55" s="2088" t="s">
        <v>682</v>
      </c>
      <c r="M55" s="2047">
        <v>7988.5</v>
      </c>
      <c r="N55" s="2088" t="s">
        <v>682</v>
      </c>
      <c r="O55" s="2047">
        <v>17305.3</v>
      </c>
      <c r="P55" s="2088"/>
      <c r="Q55" s="2047">
        <v>6219.85</v>
      </c>
      <c r="R55" s="2088" t="s">
        <v>682</v>
      </c>
      <c r="S55" s="2047">
        <v>10560</v>
      </c>
      <c r="T55" s="2088" t="s">
        <v>682</v>
      </c>
      <c r="U55" s="2047">
        <v>8160</v>
      </c>
    </row>
    <row r="56" spans="1:21">
      <c r="A56" s="2040"/>
      <c r="B56" s="2128" t="s">
        <v>2944</v>
      </c>
      <c r="C56" s="1396"/>
      <c r="D56" s="503">
        <v>31947</v>
      </c>
      <c r="E56" s="266" t="s">
        <v>511</v>
      </c>
      <c r="F56" s="431"/>
      <c r="G56" s="2029"/>
      <c r="H56" s="2088" t="s">
        <v>682</v>
      </c>
      <c r="I56" s="461"/>
      <c r="J56" s="2088" t="s">
        <v>682</v>
      </c>
      <c r="K56" s="2047"/>
      <c r="L56" s="2088" t="s">
        <v>682</v>
      </c>
      <c r="M56" s="2047">
        <v>30349.65</v>
      </c>
      <c r="N56" s="2088" t="s">
        <v>682</v>
      </c>
      <c r="O56" s="2047">
        <v>53929.09</v>
      </c>
      <c r="P56" s="2088"/>
      <c r="Q56" s="2047">
        <v>34996</v>
      </c>
      <c r="R56" s="2088" t="s">
        <v>682</v>
      </c>
      <c r="S56" s="2047">
        <v>26240</v>
      </c>
      <c r="T56" s="2088" t="s">
        <v>682</v>
      </c>
      <c r="U56" s="2047">
        <v>28480</v>
      </c>
    </row>
    <row r="57" spans="1:21">
      <c r="A57" s="2040"/>
      <c r="B57" s="2128" t="s">
        <v>2945</v>
      </c>
      <c r="C57" s="23"/>
      <c r="D57" s="503"/>
      <c r="E57" s="266" t="s">
        <v>511</v>
      </c>
      <c r="F57" s="431"/>
      <c r="G57" s="2029"/>
      <c r="H57" s="2088"/>
      <c r="I57" s="461"/>
      <c r="J57" s="2088"/>
      <c r="K57" s="2047"/>
      <c r="L57" s="2088"/>
      <c r="M57" s="2047"/>
      <c r="N57" s="2088"/>
      <c r="O57" s="2047"/>
      <c r="P57" s="2088"/>
      <c r="Q57" s="2047"/>
      <c r="R57" s="2088"/>
      <c r="S57" s="2047"/>
      <c r="T57" s="2088"/>
      <c r="U57" s="2047"/>
    </row>
    <row r="58" spans="1:21">
      <c r="A58" s="2040"/>
      <c r="B58" s="2128" t="s">
        <v>2946</v>
      </c>
      <c r="C58" s="23"/>
      <c r="D58" s="503"/>
      <c r="E58" s="266" t="s">
        <v>511</v>
      </c>
      <c r="F58" s="431"/>
      <c r="G58" s="2029"/>
      <c r="H58" s="2088"/>
      <c r="I58" s="461"/>
      <c r="J58" s="2088"/>
      <c r="K58" s="2047"/>
      <c r="L58" s="2088"/>
      <c r="M58" s="2047"/>
      <c r="N58" s="2088"/>
      <c r="O58" s="2047"/>
      <c r="P58" s="2088"/>
      <c r="Q58" s="2047"/>
      <c r="R58" s="2088"/>
      <c r="S58" s="2047"/>
      <c r="T58" s="2088"/>
      <c r="U58" s="2047"/>
    </row>
    <row r="59" spans="1:21">
      <c r="A59" s="2040"/>
      <c r="B59" s="2097"/>
      <c r="C59" s="23"/>
      <c r="D59" s="503"/>
      <c r="E59" s="266"/>
      <c r="F59" s="431"/>
      <c r="G59" s="2029"/>
      <c r="H59" s="2088"/>
      <c r="I59" s="461"/>
      <c r="J59" s="2088"/>
      <c r="K59" s="2047"/>
      <c r="L59" s="2088"/>
      <c r="M59" s="2047"/>
      <c r="N59" s="2088"/>
      <c r="O59" s="2047"/>
      <c r="P59" s="2088"/>
      <c r="Q59" s="2047"/>
      <c r="R59" s="2088"/>
      <c r="S59" s="2047"/>
      <c r="T59" s="2088"/>
      <c r="U59" s="2047"/>
    </row>
    <row r="60" spans="1:21">
      <c r="A60" s="2040"/>
      <c r="B60" s="2097" t="s">
        <v>2947</v>
      </c>
      <c r="C60" s="23"/>
      <c r="D60" s="503"/>
      <c r="E60" s="266"/>
      <c r="F60" s="431"/>
      <c r="G60" s="2029"/>
      <c r="H60" s="2088"/>
      <c r="I60" s="461">
        <v>85600</v>
      </c>
      <c r="J60" s="2088"/>
      <c r="K60" s="2047">
        <v>68650</v>
      </c>
      <c r="L60" s="2088" t="s">
        <v>682</v>
      </c>
      <c r="M60" s="2047">
        <v>27000</v>
      </c>
      <c r="N60" s="2088" t="s">
        <v>682</v>
      </c>
      <c r="O60" s="2047">
        <v>72059.570000000007</v>
      </c>
      <c r="P60" s="2088" t="s">
        <v>682</v>
      </c>
      <c r="Q60" s="2047">
        <v>73406.460000000006</v>
      </c>
      <c r="R60" s="2088" t="s">
        <v>682</v>
      </c>
      <c r="S60" s="2047">
        <v>49058</v>
      </c>
      <c r="T60" s="2088" t="s">
        <v>682</v>
      </c>
      <c r="U60" s="2047">
        <v>80039.47</v>
      </c>
    </row>
    <row r="61" spans="1:21">
      <c r="A61" s="2040"/>
      <c r="B61" s="2097" t="s">
        <v>2948</v>
      </c>
      <c r="C61" s="23"/>
      <c r="D61" s="503"/>
      <c r="E61" s="266"/>
      <c r="F61" s="431"/>
      <c r="G61" s="2029"/>
      <c r="H61" s="2088"/>
      <c r="I61" s="461"/>
      <c r="J61" s="2088"/>
      <c r="K61" s="2047"/>
      <c r="L61" s="2088"/>
      <c r="M61" s="2073">
        <v>40000</v>
      </c>
      <c r="N61" s="2088"/>
      <c r="O61" s="2047"/>
      <c r="P61" s="2088"/>
      <c r="Q61" s="2047"/>
      <c r="R61" s="2088"/>
      <c r="S61" s="2047"/>
      <c r="T61" s="2088"/>
      <c r="U61" s="2047"/>
    </row>
    <row r="62" spans="1:21">
      <c r="A62" s="2040"/>
      <c r="B62" s="2097"/>
      <c r="C62" s="23"/>
      <c r="D62" s="503"/>
      <c r="E62" s="266"/>
      <c r="F62" s="431"/>
      <c r="G62" s="2029"/>
      <c r="H62" s="2088"/>
      <c r="I62" s="461"/>
      <c r="J62" s="2088"/>
      <c r="K62" s="2047"/>
      <c r="L62" s="2088"/>
      <c r="M62" s="2047"/>
      <c r="N62" s="2088"/>
      <c r="O62" s="2047"/>
      <c r="P62" s="2088"/>
      <c r="Q62" s="2047"/>
      <c r="R62" s="2088"/>
      <c r="S62" s="2047"/>
      <c r="T62" s="2088"/>
      <c r="U62" s="2047"/>
    </row>
    <row r="63" spans="1:21">
      <c r="A63" s="2040"/>
      <c r="B63" s="2097" t="s">
        <v>2949</v>
      </c>
      <c r="C63" s="23"/>
      <c r="D63" s="503"/>
      <c r="E63" s="266"/>
      <c r="F63" s="431"/>
      <c r="G63" s="2029"/>
      <c r="H63" s="2088"/>
      <c r="I63" s="461">
        <v>47730</v>
      </c>
      <c r="J63" s="2088"/>
      <c r="K63" s="2047"/>
      <c r="L63" s="2088"/>
      <c r="M63" s="2047"/>
      <c r="N63" s="2088"/>
      <c r="O63" s="2047"/>
      <c r="P63" s="2088"/>
      <c r="Q63" s="2047"/>
      <c r="R63" s="2088"/>
      <c r="S63" s="2047"/>
      <c r="T63" s="2088"/>
      <c r="U63" s="2047"/>
    </row>
    <row r="64" spans="1:21">
      <c r="A64" s="2040"/>
      <c r="B64" s="2097" t="s">
        <v>2950</v>
      </c>
      <c r="C64" s="23"/>
      <c r="D64" s="503"/>
      <c r="E64" s="266" t="s">
        <v>2758</v>
      </c>
      <c r="F64" s="431"/>
      <c r="G64" s="2029"/>
      <c r="H64" s="2088" t="s">
        <v>682</v>
      </c>
      <c r="I64" s="461"/>
      <c r="J64" s="2088" t="s">
        <v>682</v>
      </c>
      <c r="K64" s="2047"/>
      <c r="L64" s="2088" t="s">
        <v>682</v>
      </c>
      <c r="M64" s="2047">
        <v>24000</v>
      </c>
      <c r="N64" s="2088" t="s">
        <v>682</v>
      </c>
      <c r="O64" s="2047">
        <v>19876.71</v>
      </c>
      <c r="P64" s="2088" t="s">
        <v>682</v>
      </c>
      <c r="Q64" s="2047">
        <v>20436</v>
      </c>
      <c r="R64" s="2088" t="s">
        <v>682</v>
      </c>
      <c r="S64" s="2047"/>
      <c r="T64" s="2088" t="s">
        <v>682</v>
      </c>
      <c r="U64" s="2047">
        <v>14875</v>
      </c>
    </row>
    <row r="65" spans="1:21">
      <c r="A65" s="2040"/>
      <c r="B65" s="2097" t="s">
        <v>2951</v>
      </c>
      <c r="C65" s="23"/>
      <c r="D65" s="503">
        <v>232</v>
      </c>
      <c r="E65" s="266" t="s">
        <v>842</v>
      </c>
      <c r="F65" s="431">
        <v>35</v>
      </c>
      <c r="G65" s="2029">
        <f>D65*F65</f>
        <v>8120</v>
      </c>
      <c r="H65" s="2088" t="s">
        <v>682</v>
      </c>
      <c r="I65" s="461"/>
      <c r="J65" s="2088"/>
      <c r="K65" s="2079">
        <v>12252</v>
      </c>
      <c r="L65" s="2088"/>
      <c r="M65" s="2073">
        <f>$G65</f>
        <v>8120</v>
      </c>
      <c r="N65" s="2088"/>
      <c r="O65" s="2075">
        <v>7145.79</v>
      </c>
      <c r="P65" s="2088"/>
      <c r="Q65" s="2079">
        <v>17625</v>
      </c>
      <c r="R65" s="2088" t="s">
        <v>682</v>
      </c>
      <c r="S65" s="2047"/>
      <c r="T65" s="2088" t="s">
        <v>682</v>
      </c>
      <c r="U65" s="2079">
        <f>3145+23015.59</f>
        <v>26160.59</v>
      </c>
    </row>
    <row r="66" spans="1:21">
      <c r="A66" s="2040"/>
      <c r="B66" s="2097" t="s">
        <v>2952</v>
      </c>
      <c r="C66" s="23"/>
      <c r="D66" s="503">
        <v>23</v>
      </c>
      <c r="E66" s="266" t="s">
        <v>468</v>
      </c>
      <c r="F66" s="431">
        <v>35</v>
      </c>
      <c r="G66" s="2029">
        <f>D66*F66</f>
        <v>805</v>
      </c>
      <c r="H66" s="2088" t="s">
        <v>682</v>
      </c>
      <c r="I66" s="461"/>
      <c r="J66" s="2088" t="s">
        <v>682</v>
      </c>
      <c r="K66" s="461"/>
      <c r="L66" s="2088" t="s">
        <v>682</v>
      </c>
      <c r="M66" s="2047">
        <v>805</v>
      </c>
      <c r="N66" s="2088" t="s">
        <v>682</v>
      </c>
      <c r="O66" s="2075">
        <v>962.94</v>
      </c>
      <c r="P66" s="2088" t="s">
        <v>682</v>
      </c>
      <c r="Q66" s="2047"/>
      <c r="R66" s="2088" t="s">
        <v>682</v>
      </c>
      <c r="S66" s="2047"/>
      <c r="T66" s="2088" t="s">
        <v>682</v>
      </c>
      <c r="U66" s="2079">
        <v>11176.01</v>
      </c>
    </row>
    <row r="67" spans="1:21">
      <c r="A67" s="2040"/>
      <c r="B67" s="2097" t="s">
        <v>2953</v>
      </c>
      <c r="C67" s="23"/>
      <c r="D67" s="503">
        <v>67</v>
      </c>
      <c r="E67" s="266" t="s">
        <v>468</v>
      </c>
      <c r="F67" s="431">
        <f>5360/67</f>
        <v>80</v>
      </c>
      <c r="G67" s="2029">
        <f>D67*F67</f>
        <v>5360</v>
      </c>
      <c r="H67" s="2088" t="s">
        <v>682</v>
      </c>
      <c r="I67" s="461"/>
      <c r="J67" s="2088" t="s">
        <v>682</v>
      </c>
      <c r="K67" s="461"/>
      <c r="L67" s="2088" t="s">
        <v>682</v>
      </c>
      <c r="M67" s="2047">
        <v>5360</v>
      </c>
      <c r="N67" s="2088" t="s">
        <v>682</v>
      </c>
      <c r="O67" s="2075">
        <v>6108.05</v>
      </c>
      <c r="P67" s="2088" t="s">
        <v>682</v>
      </c>
      <c r="Q67" s="2047"/>
      <c r="R67" s="2088" t="s">
        <v>682</v>
      </c>
      <c r="S67" s="2047"/>
      <c r="T67" s="2088" t="s">
        <v>682</v>
      </c>
      <c r="U67" s="2079">
        <v>7143.46</v>
      </c>
    </row>
    <row r="68" spans="1:21">
      <c r="A68" s="2040"/>
      <c r="B68" s="2097"/>
      <c r="C68" s="23"/>
      <c r="D68" s="503"/>
      <c r="E68" s="266"/>
      <c r="F68" s="431"/>
      <c r="G68" s="2029"/>
      <c r="H68" s="2088"/>
      <c r="I68" s="1992"/>
      <c r="J68" s="2088"/>
      <c r="K68" s="2047"/>
      <c r="L68" s="2088"/>
      <c r="M68" s="2047"/>
      <c r="N68" s="2088"/>
      <c r="O68" s="2075"/>
      <c r="P68" s="2088"/>
      <c r="Q68" s="2047"/>
      <c r="R68" s="2088"/>
      <c r="S68" s="2047"/>
      <c r="T68" s="2088"/>
      <c r="U68" s="2047"/>
    </row>
    <row r="69" spans="1:21">
      <c r="A69" s="2040"/>
      <c r="B69" s="2097" t="s">
        <v>2954</v>
      </c>
      <c r="C69" s="23"/>
      <c r="D69" s="503">
        <v>1800</v>
      </c>
      <c r="E69" s="266" t="s">
        <v>529</v>
      </c>
      <c r="F69" s="431">
        <v>10</v>
      </c>
      <c r="G69" s="2029">
        <f>D69*F69</f>
        <v>18000</v>
      </c>
      <c r="H69" s="2088"/>
      <c r="I69" s="2073">
        <f>$G69</f>
        <v>18000</v>
      </c>
      <c r="J69" s="2088"/>
      <c r="K69" s="2073">
        <f>$G69</f>
        <v>18000</v>
      </c>
      <c r="L69" s="2088"/>
      <c r="M69" s="2073">
        <f>$G69</f>
        <v>18000</v>
      </c>
      <c r="N69" s="2088"/>
      <c r="O69" s="2073">
        <f>$G69</f>
        <v>18000</v>
      </c>
      <c r="P69" s="2088"/>
      <c r="Q69" s="2073">
        <f>$G69</f>
        <v>18000</v>
      </c>
      <c r="R69" s="2088"/>
      <c r="S69" s="2073">
        <f>$G69</f>
        <v>18000</v>
      </c>
      <c r="T69" s="2088"/>
      <c r="U69" s="2073">
        <f>$G69</f>
        <v>18000</v>
      </c>
    </row>
    <row r="70" spans="1:21">
      <c r="A70" s="2040"/>
      <c r="B70" s="2097"/>
      <c r="C70" s="23"/>
      <c r="D70" s="503"/>
      <c r="E70" s="266"/>
      <c r="F70" s="431"/>
      <c r="G70" s="2029"/>
      <c r="H70" s="2088"/>
      <c r="I70" s="1992"/>
      <c r="J70" s="2088"/>
      <c r="K70" s="2047"/>
      <c r="L70" s="2088"/>
      <c r="M70" s="2047"/>
      <c r="N70" s="2088"/>
      <c r="O70" s="2075"/>
      <c r="P70" s="2088"/>
      <c r="Q70" s="2047"/>
      <c r="R70" s="2088"/>
      <c r="S70" s="2047"/>
      <c r="T70" s="2088"/>
      <c r="U70" s="2047"/>
    </row>
    <row r="71" spans="1:21">
      <c r="A71" s="2040"/>
      <c r="B71" s="2097" t="s">
        <v>2955</v>
      </c>
      <c r="C71" s="23"/>
      <c r="D71" s="503">
        <v>1289</v>
      </c>
      <c r="E71" s="266" t="s">
        <v>511</v>
      </c>
      <c r="F71" s="431">
        <v>20</v>
      </c>
      <c r="G71" s="2029">
        <f>D71*F71</f>
        <v>25780</v>
      </c>
      <c r="H71" s="2088"/>
      <c r="I71" s="2073">
        <f>$G71</f>
        <v>25780</v>
      </c>
      <c r="J71" s="2088"/>
      <c r="K71" s="2079">
        <v>31300</v>
      </c>
      <c r="L71" s="2088"/>
      <c r="M71" s="2073">
        <f>$G71</f>
        <v>25780</v>
      </c>
      <c r="N71" s="2088"/>
      <c r="O71" s="2075">
        <v>27249.119999999999</v>
      </c>
      <c r="P71" s="2088" t="s">
        <v>682</v>
      </c>
      <c r="Q71" s="2079">
        <v>31018.46</v>
      </c>
      <c r="R71" s="2088"/>
      <c r="S71" s="2073">
        <f>$G71</f>
        <v>25780</v>
      </c>
      <c r="T71" s="2088" t="s">
        <v>682</v>
      </c>
      <c r="U71" s="2047">
        <v>20000</v>
      </c>
    </row>
    <row r="72" spans="1:21">
      <c r="A72" s="2040"/>
      <c r="B72" s="2096"/>
      <c r="C72" s="23"/>
      <c r="D72" s="503"/>
      <c r="E72" s="266"/>
      <c r="F72" s="431"/>
      <c r="G72" s="2029"/>
      <c r="H72" s="2088"/>
      <c r="I72" s="461"/>
      <c r="J72" s="2088"/>
      <c r="K72" s="2047"/>
      <c r="L72" s="2088"/>
      <c r="M72" s="2047"/>
      <c r="N72" s="2088"/>
      <c r="O72" s="2047"/>
      <c r="P72" s="2088"/>
      <c r="Q72" s="2047"/>
      <c r="R72" s="2088"/>
      <c r="S72" s="2047"/>
      <c r="T72" s="2088"/>
      <c r="U72" s="2047"/>
    </row>
    <row r="73" spans="1:21">
      <c r="A73" s="2040"/>
      <c r="B73" s="2097" t="s">
        <v>2956</v>
      </c>
      <c r="C73" s="23"/>
      <c r="D73" s="503">
        <v>6</v>
      </c>
      <c r="E73" s="266" t="s">
        <v>468</v>
      </c>
      <c r="F73" s="431">
        <v>750</v>
      </c>
      <c r="G73" s="2029">
        <f>D73*F73</f>
        <v>4500</v>
      </c>
      <c r="H73" s="2088" t="s">
        <v>682</v>
      </c>
      <c r="I73" s="461"/>
      <c r="J73" s="2088" t="s">
        <v>682</v>
      </c>
      <c r="K73" s="2047"/>
      <c r="L73" s="2088" t="s">
        <v>682</v>
      </c>
      <c r="M73" s="2047">
        <f>516+1036+2036</f>
        <v>3588</v>
      </c>
      <c r="N73" s="2088" t="s">
        <v>682</v>
      </c>
      <c r="O73" s="2047">
        <v>10341.08</v>
      </c>
      <c r="P73" s="2088" t="s">
        <v>682</v>
      </c>
      <c r="Q73" s="2047">
        <v>4545.42</v>
      </c>
      <c r="R73" s="2088"/>
      <c r="S73" s="2073">
        <f t="shared" ref="S73" si="0">$G73</f>
        <v>4500</v>
      </c>
      <c r="T73" s="2088" t="s">
        <v>682</v>
      </c>
      <c r="U73" s="2075">
        <f>664.47+1328.94+2657.88</f>
        <v>4651.29</v>
      </c>
    </row>
    <row r="74" spans="1:21">
      <c r="A74" s="2040"/>
      <c r="B74" s="2096"/>
      <c r="C74" s="23"/>
      <c r="D74" s="503"/>
      <c r="E74" s="266"/>
      <c r="F74" s="431"/>
      <c r="G74" s="2029"/>
      <c r="H74" s="2088"/>
      <c r="I74" s="461"/>
      <c r="J74" s="2088"/>
      <c r="K74" s="2047"/>
      <c r="L74" s="2088"/>
      <c r="M74" s="2047"/>
      <c r="N74" s="2088"/>
      <c r="O74" s="2047"/>
      <c r="P74" s="2088"/>
      <c r="Q74" s="2047"/>
      <c r="R74" s="2088"/>
      <c r="S74" s="2047"/>
      <c r="T74" s="2088"/>
      <c r="U74" s="2047"/>
    </row>
    <row r="75" spans="1:21">
      <c r="A75" s="2040"/>
      <c r="B75" s="2051" t="s">
        <v>2957</v>
      </c>
      <c r="C75" s="415"/>
      <c r="D75" s="450"/>
      <c r="E75" s="417"/>
      <c r="F75" s="431"/>
      <c r="G75" s="2029"/>
      <c r="H75" s="2088"/>
      <c r="I75" s="461"/>
      <c r="J75" s="2020"/>
      <c r="K75" s="2047"/>
      <c r="L75" s="2020"/>
      <c r="M75" s="2047"/>
      <c r="N75" s="2020"/>
      <c r="O75" s="2047"/>
      <c r="P75" s="2020"/>
      <c r="Q75" s="2047"/>
      <c r="R75" s="2020"/>
      <c r="S75" s="2047"/>
      <c r="T75" s="2020"/>
      <c r="U75" s="2047"/>
    </row>
    <row r="76" spans="1:21">
      <c r="A76" s="1097"/>
      <c r="B76" s="2076" t="s">
        <v>2958</v>
      </c>
      <c r="C76" s="1396" t="s">
        <v>2959</v>
      </c>
      <c r="D76" s="450">
        <f>543*0.25/27</f>
        <v>5.0277777777777777</v>
      </c>
      <c r="E76" s="417" t="s">
        <v>842</v>
      </c>
      <c r="F76" s="431">
        <v>500</v>
      </c>
      <c r="G76" s="2029">
        <f t="shared" ref="G76:G91" si="1">D76*F76</f>
        <v>2513.8888888888887</v>
      </c>
      <c r="H76" s="2088" t="s">
        <v>682</v>
      </c>
      <c r="I76" s="461"/>
      <c r="J76" s="2088" t="s">
        <v>682</v>
      </c>
      <c r="K76" s="461"/>
      <c r="L76" s="2020"/>
      <c r="M76" s="2073">
        <f t="shared" ref="M76:S79" si="2">$G76</f>
        <v>2513.8888888888887</v>
      </c>
      <c r="N76" s="2088" t="s">
        <v>682</v>
      </c>
      <c r="O76" s="2129">
        <v>1493.86</v>
      </c>
      <c r="P76" s="2020" t="s">
        <v>682</v>
      </c>
      <c r="Q76" s="2079">
        <v>5136.7</v>
      </c>
      <c r="R76" s="2020"/>
      <c r="S76" s="2073">
        <f t="shared" si="2"/>
        <v>2513.8888888888887</v>
      </c>
      <c r="T76" s="2020" t="s">
        <v>682</v>
      </c>
      <c r="U76" s="2047">
        <v>2153.7199999999998</v>
      </c>
    </row>
    <row r="77" spans="1:21" ht="15" hidden="1" customHeight="1">
      <c r="A77" s="2040"/>
      <c r="B77" s="2076" t="s">
        <v>2960</v>
      </c>
      <c r="C77" s="415"/>
      <c r="D77" s="450">
        <f>D76</f>
        <v>5.0277777777777777</v>
      </c>
      <c r="E77" s="417" t="s">
        <v>511</v>
      </c>
      <c r="F77" s="431"/>
      <c r="G77" s="2029">
        <f t="shared" si="1"/>
        <v>0</v>
      </c>
      <c r="H77" s="2088"/>
      <c r="I77" s="461"/>
      <c r="J77" s="2088"/>
      <c r="K77" s="461"/>
      <c r="L77" s="2020"/>
      <c r="M77" s="2073">
        <f t="shared" si="2"/>
        <v>0</v>
      </c>
      <c r="N77" s="2020"/>
      <c r="O77" s="2130">
        <v>0</v>
      </c>
      <c r="P77" s="2020"/>
      <c r="Q77" s="2047"/>
      <c r="R77" s="2020"/>
      <c r="S77" s="2073">
        <f t="shared" si="2"/>
        <v>0</v>
      </c>
      <c r="T77" s="2020"/>
      <c r="U77" s="2047"/>
    </row>
    <row r="78" spans="1:21">
      <c r="A78" s="2040"/>
      <c r="B78" s="2076" t="s">
        <v>2961</v>
      </c>
      <c r="C78" s="415"/>
      <c r="D78" s="450">
        <v>543</v>
      </c>
      <c r="E78" s="417" t="s">
        <v>511</v>
      </c>
      <c r="F78" s="431">
        <v>0.75</v>
      </c>
      <c r="G78" s="2029">
        <f t="shared" si="1"/>
        <v>407.25</v>
      </c>
      <c r="H78" s="2088" t="s">
        <v>682</v>
      </c>
      <c r="I78" s="461"/>
      <c r="J78" s="2088" t="s">
        <v>682</v>
      </c>
      <c r="K78" s="461"/>
      <c r="L78" s="2020"/>
      <c r="M78" s="2073">
        <f t="shared" si="2"/>
        <v>407.25</v>
      </c>
      <c r="N78" s="2020"/>
      <c r="O78" s="2129" t="s">
        <v>2962</v>
      </c>
      <c r="P78" s="2020" t="s">
        <v>682</v>
      </c>
      <c r="Q78" s="2047"/>
      <c r="R78" s="2020"/>
      <c r="S78" s="2073">
        <f t="shared" si="2"/>
        <v>407.25</v>
      </c>
      <c r="T78" s="2020" t="s">
        <v>682</v>
      </c>
      <c r="U78" s="2047" t="s">
        <v>2962</v>
      </c>
    </row>
    <row r="79" spans="1:21">
      <c r="A79" s="1097"/>
      <c r="B79" s="2076" t="s">
        <v>2963</v>
      </c>
      <c r="C79" s="415"/>
      <c r="D79" s="450">
        <v>195</v>
      </c>
      <c r="E79" s="417" t="s">
        <v>529</v>
      </c>
      <c r="F79" s="431">
        <v>7.5</v>
      </c>
      <c r="G79" s="2029">
        <f t="shared" si="1"/>
        <v>1462.5</v>
      </c>
      <c r="H79" s="2088" t="s">
        <v>682</v>
      </c>
      <c r="I79" s="461"/>
      <c r="J79" s="2088" t="s">
        <v>682</v>
      </c>
      <c r="K79" s="461"/>
      <c r="L79" s="2020"/>
      <c r="M79" s="2073">
        <f t="shared" si="2"/>
        <v>1462.5</v>
      </c>
      <c r="N79" s="2020"/>
      <c r="O79" s="2129" t="s">
        <v>2962</v>
      </c>
      <c r="P79" s="2020" t="s">
        <v>682</v>
      </c>
      <c r="Q79" s="2047"/>
      <c r="R79" s="2020"/>
      <c r="S79" s="2073">
        <f t="shared" si="2"/>
        <v>1462.5</v>
      </c>
      <c r="T79" s="2020" t="s">
        <v>682</v>
      </c>
      <c r="U79" s="2047" t="s">
        <v>2962</v>
      </c>
    </row>
    <row r="80" spans="1:21">
      <c r="A80" s="2040"/>
      <c r="B80" s="2051"/>
      <c r="C80" s="415"/>
      <c r="D80" s="450"/>
      <c r="E80" s="417"/>
      <c r="F80" s="431"/>
      <c r="G80" s="2029">
        <f t="shared" si="1"/>
        <v>0</v>
      </c>
      <c r="H80" s="2088"/>
      <c r="I80" s="461"/>
      <c r="J80" s="2020"/>
      <c r="K80" s="2047"/>
      <c r="L80" s="2020"/>
      <c r="M80" s="2047"/>
      <c r="N80" s="2020"/>
      <c r="O80" s="2129"/>
      <c r="P80" s="2020"/>
      <c r="Q80" s="2047"/>
      <c r="R80" s="2020"/>
      <c r="S80" s="2047"/>
      <c r="T80" s="2020"/>
      <c r="U80" s="2047"/>
    </row>
    <row r="81" spans="1:21">
      <c r="A81" s="1097"/>
      <c r="B81" s="2051" t="s">
        <v>2964</v>
      </c>
      <c r="C81" s="415"/>
      <c r="D81" s="450"/>
      <c r="E81" s="417"/>
      <c r="F81" s="431"/>
      <c r="G81" s="2029">
        <f t="shared" si="1"/>
        <v>0</v>
      </c>
      <c r="H81" s="2088"/>
      <c r="I81" s="461"/>
      <c r="J81" s="2020"/>
      <c r="K81" s="2047"/>
      <c r="L81" s="2020"/>
      <c r="M81" s="2047"/>
      <c r="N81" s="2020"/>
      <c r="O81" s="2129"/>
      <c r="P81" s="2020"/>
      <c r="Q81" s="2047"/>
      <c r="R81" s="2020"/>
      <c r="S81" s="2047"/>
      <c r="T81" s="2020"/>
      <c r="U81" s="2047"/>
    </row>
    <row r="82" spans="1:21">
      <c r="A82" s="2040"/>
      <c r="B82" s="2076" t="s">
        <v>2965</v>
      </c>
      <c r="C82" s="1396" t="s">
        <v>2966</v>
      </c>
      <c r="D82" s="450">
        <f>2380*0.25/27</f>
        <v>22.037037037037038</v>
      </c>
      <c r="E82" s="417" t="s">
        <v>842</v>
      </c>
      <c r="F82" s="431">
        <v>350</v>
      </c>
      <c r="G82" s="2029">
        <f t="shared" si="1"/>
        <v>7712.9629629629635</v>
      </c>
      <c r="H82" s="2088" t="s">
        <v>682</v>
      </c>
      <c r="I82" s="461"/>
      <c r="J82" s="2088" t="s">
        <v>682</v>
      </c>
      <c r="K82" s="2047"/>
      <c r="L82" s="2020"/>
      <c r="M82" s="2073">
        <f>$G82</f>
        <v>7712.9629629629635</v>
      </c>
      <c r="N82" s="2088" t="s">
        <v>682</v>
      </c>
      <c r="O82" s="2129">
        <v>6519.12</v>
      </c>
      <c r="P82" s="2020" t="s">
        <v>682</v>
      </c>
      <c r="Q82" s="2079">
        <v>11526.57</v>
      </c>
      <c r="R82" s="2020"/>
      <c r="S82" s="2073">
        <f>$G82</f>
        <v>7712.9629629629635</v>
      </c>
      <c r="T82" s="2020" t="s">
        <v>682</v>
      </c>
      <c r="U82" s="2047">
        <v>19700.05</v>
      </c>
    </row>
    <row r="83" spans="1:21" ht="15" hidden="1" customHeight="1">
      <c r="A83" s="2040"/>
      <c r="B83" s="2076" t="s">
        <v>2960</v>
      </c>
      <c r="C83" s="415"/>
      <c r="D83" s="450">
        <f>D82</f>
        <v>22.037037037037038</v>
      </c>
      <c r="E83" s="417" t="s">
        <v>511</v>
      </c>
      <c r="F83" s="431"/>
      <c r="G83" s="2029">
        <f t="shared" si="1"/>
        <v>0</v>
      </c>
      <c r="H83" s="2088"/>
      <c r="I83" s="461"/>
      <c r="J83" s="2088"/>
      <c r="K83" s="2047"/>
      <c r="L83" s="2020"/>
      <c r="M83" s="2047"/>
      <c r="N83" s="2020"/>
      <c r="O83" s="2129"/>
      <c r="P83" s="2020"/>
      <c r="Q83" s="2047"/>
      <c r="R83" s="2020"/>
      <c r="S83" s="2047"/>
      <c r="T83" s="2020"/>
      <c r="U83" s="2047"/>
    </row>
    <row r="84" spans="1:21">
      <c r="A84" s="2040"/>
      <c r="B84" s="2076" t="s">
        <v>2961</v>
      </c>
      <c r="C84" s="415"/>
      <c r="D84" s="450">
        <v>2380</v>
      </c>
      <c r="E84" s="417" t="s">
        <v>511</v>
      </c>
      <c r="F84" s="431">
        <v>0.75</v>
      </c>
      <c r="G84" s="2029">
        <f t="shared" si="1"/>
        <v>1785</v>
      </c>
      <c r="H84" s="2088" t="s">
        <v>682</v>
      </c>
      <c r="I84" s="461"/>
      <c r="J84" s="2088" t="s">
        <v>682</v>
      </c>
      <c r="K84" s="2047"/>
      <c r="L84" s="2020"/>
      <c r="M84" s="2073">
        <f>$G84</f>
        <v>1785</v>
      </c>
      <c r="N84" s="2020"/>
      <c r="O84" s="2129" t="s">
        <v>2962</v>
      </c>
      <c r="P84" s="2020" t="s">
        <v>682</v>
      </c>
      <c r="Q84" s="2131" t="s">
        <v>2219</v>
      </c>
      <c r="R84" s="2020"/>
      <c r="S84" s="2073">
        <f>$G84</f>
        <v>1785</v>
      </c>
      <c r="T84" s="2020" t="s">
        <v>682</v>
      </c>
      <c r="U84" s="2047" t="s">
        <v>2962</v>
      </c>
    </row>
    <row r="85" spans="1:21">
      <c r="A85" s="1097"/>
      <c r="B85" s="2076" t="s">
        <v>2963</v>
      </c>
      <c r="C85" s="415"/>
      <c r="D85" s="450">
        <v>1200</v>
      </c>
      <c r="E85" s="417" t="s">
        <v>529</v>
      </c>
      <c r="F85" s="431">
        <v>7.5</v>
      </c>
      <c r="G85" s="2029">
        <f t="shared" si="1"/>
        <v>9000</v>
      </c>
      <c r="H85" s="2088" t="s">
        <v>682</v>
      </c>
      <c r="I85" s="461"/>
      <c r="J85" s="2088" t="s">
        <v>682</v>
      </c>
      <c r="K85" s="2047"/>
      <c r="L85" s="2020"/>
      <c r="M85" s="2073">
        <f>$G85</f>
        <v>9000</v>
      </c>
      <c r="N85" s="2020"/>
      <c r="O85" s="2129" t="s">
        <v>2962</v>
      </c>
      <c r="P85" s="2020" t="s">
        <v>682</v>
      </c>
      <c r="Q85" s="2131" t="s">
        <v>2219</v>
      </c>
      <c r="R85" s="2020"/>
      <c r="S85" s="2073">
        <f>$G85</f>
        <v>9000</v>
      </c>
      <c r="T85" s="2020" t="s">
        <v>682</v>
      </c>
      <c r="U85" s="2047" t="s">
        <v>2962</v>
      </c>
    </row>
    <row r="86" spans="1:21">
      <c r="A86" s="2040"/>
      <c r="B86" s="2051"/>
      <c r="C86" s="415"/>
      <c r="D86" s="450"/>
      <c r="E86" s="417"/>
      <c r="F86" s="431"/>
      <c r="G86" s="2029">
        <f t="shared" si="1"/>
        <v>0</v>
      </c>
      <c r="H86" s="2088"/>
      <c r="I86" s="461"/>
      <c r="J86" s="2088"/>
      <c r="K86" s="2047"/>
      <c r="L86" s="2020"/>
      <c r="M86" s="2047"/>
      <c r="N86" s="2020"/>
      <c r="O86" s="2129"/>
      <c r="P86" s="2020"/>
      <c r="Q86" s="2047"/>
      <c r="R86" s="2020"/>
      <c r="S86" s="2047"/>
      <c r="T86" s="2020"/>
      <c r="U86" s="2047"/>
    </row>
    <row r="87" spans="1:21">
      <c r="A87" s="1097"/>
      <c r="B87" s="2051" t="s">
        <v>2967</v>
      </c>
      <c r="C87" s="415"/>
      <c r="D87" s="450"/>
      <c r="E87" s="417"/>
      <c r="F87" s="431"/>
      <c r="G87" s="2029">
        <f t="shared" si="1"/>
        <v>0</v>
      </c>
      <c r="H87" s="2088"/>
      <c r="I87" s="461"/>
      <c r="J87" s="2088"/>
      <c r="K87" s="2047"/>
      <c r="L87" s="2020"/>
      <c r="M87" s="2047"/>
      <c r="N87" s="2020"/>
      <c r="O87" s="2129"/>
      <c r="P87" s="2020"/>
      <c r="Q87" s="2047"/>
      <c r="R87" s="2020"/>
      <c r="S87" s="2047"/>
      <c r="T87" s="2020"/>
      <c r="U87" s="2047"/>
    </row>
    <row r="88" spans="1:21">
      <c r="A88" s="2040"/>
      <c r="B88" s="2076" t="s">
        <v>2965</v>
      </c>
      <c r="C88" s="1396" t="s">
        <v>2968</v>
      </c>
      <c r="D88" s="450">
        <f>198*0.25/27</f>
        <v>1.8333333333333333</v>
      </c>
      <c r="E88" s="417" t="s">
        <v>842</v>
      </c>
      <c r="F88" s="431">
        <v>350</v>
      </c>
      <c r="G88" s="2029">
        <f t="shared" si="1"/>
        <v>641.66666666666663</v>
      </c>
      <c r="H88" s="2088" t="s">
        <v>682</v>
      </c>
      <c r="I88" s="461"/>
      <c r="J88" s="2088" t="s">
        <v>682</v>
      </c>
      <c r="K88" s="2047"/>
      <c r="L88" s="2020"/>
      <c r="M88" s="2073">
        <f>$G88</f>
        <v>641.66666666666663</v>
      </c>
      <c r="N88" s="2088" t="s">
        <v>682</v>
      </c>
      <c r="O88" s="2129">
        <v>546</v>
      </c>
      <c r="P88" s="2020" t="s">
        <v>682</v>
      </c>
      <c r="Q88" s="2131" t="s">
        <v>2219</v>
      </c>
      <c r="R88" s="2020"/>
      <c r="S88" s="2073">
        <f>$G88</f>
        <v>641.66666666666663</v>
      </c>
      <c r="T88" s="2020" t="s">
        <v>682</v>
      </c>
      <c r="U88" s="2047"/>
    </row>
    <row r="89" spans="1:21" ht="15" hidden="1" customHeight="1">
      <c r="A89" s="2040"/>
      <c r="B89" s="2076" t="s">
        <v>2960</v>
      </c>
      <c r="C89" s="415"/>
      <c r="D89" s="450">
        <f>D88</f>
        <v>1.8333333333333333</v>
      </c>
      <c r="E89" s="417" t="s">
        <v>511</v>
      </c>
      <c r="F89" s="431"/>
      <c r="G89" s="2029">
        <f t="shared" si="1"/>
        <v>0</v>
      </c>
      <c r="H89" s="2088"/>
      <c r="I89" s="461"/>
      <c r="J89" s="2088"/>
      <c r="K89" s="2047"/>
      <c r="L89" s="2020"/>
      <c r="M89" s="2047"/>
      <c r="N89" s="2020"/>
      <c r="O89" s="2129"/>
      <c r="P89" s="2020"/>
      <c r="Q89" s="2132"/>
      <c r="R89" s="2020"/>
      <c r="S89" s="2047"/>
      <c r="T89" s="2020"/>
      <c r="U89" s="2047"/>
    </row>
    <row r="90" spans="1:21">
      <c r="A90" s="2040"/>
      <c r="B90" s="2076" t="s">
        <v>2961</v>
      </c>
      <c r="C90" s="415"/>
      <c r="D90" s="450">
        <v>198</v>
      </c>
      <c r="E90" s="417" t="s">
        <v>511</v>
      </c>
      <c r="F90" s="431">
        <v>0.75</v>
      </c>
      <c r="G90" s="2029">
        <f t="shared" si="1"/>
        <v>148.5</v>
      </c>
      <c r="H90" s="2088" t="s">
        <v>682</v>
      </c>
      <c r="I90" s="461"/>
      <c r="J90" s="2088" t="s">
        <v>682</v>
      </c>
      <c r="K90" s="2047"/>
      <c r="L90" s="2020"/>
      <c r="M90" s="2073">
        <f>$G90</f>
        <v>148.5</v>
      </c>
      <c r="N90" s="2020"/>
      <c r="O90" s="2129" t="s">
        <v>2962</v>
      </c>
      <c r="P90" s="2020" t="s">
        <v>682</v>
      </c>
      <c r="Q90" s="2131" t="s">
        <v>2219</v>
      </c>
      <c r="R90" s="2020"/>
      <c r="S90" s="2073">
        <f>$G90</f>
        <v>148.5</v>
      </c>
      <c r="T90" s="2020" t="s">
        <v>682</v>
      </c>
      <c r="U90" s="2047" t="s">
        <v>2962</v>
      </c>
    </row>
    <row r="91" spans="1:21">
      <c r="A91" s="1097"/>
      <c r="B91" s="2076" t="s">
        <v>2963</v>
      </c>
      <c r="C91" s="415"/>
      <c r="D91" s="450">
        <v>80</v>
      </c>
      <c r="E91" s="417" t="s">
        <v>529</v>
      </c>
      <c r="F91" s="431">
        <v>7.5</v>
      </c>
      <c r="G91" s="2029">
        <f t="shared" si="1"/>
        <v>600</v>
      </c>
      <c r="H91" s="2088" t="s">
        <v>682</v>
      </c>
      <c r="I91" s="461"/>
      <c r="J91" s="2088" t="s">
        <v>682</v>
      </c>
      <c r="K91" s="2047"/>
      <c r="L91" s="2020"/>
      <c r="M91" s="2073">
        <f>$G91</f>
        <v>600</v>
      </c>
      <c r="N91" s="2020"/>
      <c r="O91" s="2129" t="s">
        <v>2962</v>
      </c>
      <c r="P91" s="2020" t="s">
        <v>682</v>
      </c>
      <c r="Q91" s="2131" t="s">
        <v>2219</v>
      </c>
      <c r="R91" s="2020"/>
      <c r="S91" s="2073">
        <f>$G91</f>
        <v>600</v>
      </c>
      <c r="T91" s="2020" t="s">
        <v>682</v>
      </c>
      <c r="U91" s="2047" t="s">
        <v>2962</v>
      </c>
    </row>
    <row r="92" spans="1:21">
      <c r="A92" s="2040"/>
      <c r="B92" s="2076"/>
      <c r="C92" s="23"/>
      <c r="D92" s="345"/>
      <c r="E92" s="266"/>
      <c r="F92" s="431"/>
      <c r="G92" s="2029"/>
      <c r="H92" s="2088"/>
      <c r="I92" s="461"/>
      <c r="J92" s="2020"/>
      <c r="K92" s="2047"/>
      <c r="L92" s="2020"/>
      <c r="M92" s="2047"/>
      <c r="N92" s="2088"/>
      <c r="O92" s="2047"/>
      <c r="P92" s="2020"/>
      <c r="Q92" s="2047"/>
      <c r="R92" s="2088"/>
      <c r="S92" s="2047"/>
      <c r="T92" s="2088"/>
      <c r="U92" s="2047"/>
    </row>
    <row r="93" spans="1:21">
      <c r="A93" s="2040"/>
      <c r="B93" s="2051" t="s">
        <v>2961</v>
      </c>
      <c r="C93" s="23"/>
      <c r="D93" s="795">
        <v>3121</v>
      </c>
      <c r="E93" s="266" t="s">
        <v>511</v>
      </c>
      <c r="F93" s="793">
        <v>1.1455398910605574</v>
      </c>
      <c r="G93" s="2133"/>
      <c r="H93" s="2088"/>
      <c r="I93" s="461"/>
      <c r="J93" s="2020"/>
      <c r="K93" s="2047"/>
      <c r="L93" s="2020"/>
      <c r="M93" s="2129"/>
      <c r="N93" s="2088" t="s">
        <v>682</v>
      </c>
      <c r="O93" s="2129">
        <v>3575.29</v>
      </c>
      <c r="P93" s="2020"/>
      <c r="Q93" s="2047"/>
      <c r="R93" s="2088"/>
      <c r="S93" s="2047"/>
      <c r="T93" s="2088" t="s">
        <v>682</v>
      </c>
      <c r="U93" s="2079">
        <v>661.5</v>
      </c>
    </row>
    <row r="94" spans="1:21">
      <c r="A94" s="2040"/>
      <c r="B94" s="2051" t="s">
        <v>2963</v>
      </c>
      <c r="C94" s="23"/>
      <c r="D94" s="796">
        <v>1475</v>
      </c>
      <c r="E94" s="266" t="s">
        <v>529</v>
      </c>
      <c r="F94" s="793">
        <v>7.1756000000000002</v>
      </c>
      <c r="G94" s="835"/>
      <c r="H94" s="2088"/>
      <c r="I94" s="461"/>
      <c r="J94" s="2020"/>
      <c r="K94" s="2047"/>
      <c r="L94" s="2088"/>
      <c r="M94" s="2129"/>
      <c r="N94" s="2088" t="s">
        <v>682</v>
      </c>
      <c r="O94" s="2129">
        <v>10854.01</v>
      </c>
      <c r="P94" s="2020"/>
      <c r="Q94" s="2047"/>
      <c r="R94" s="2088"/>
      <c r="S94" s="2047"/>
      <c r="T94" s="2088" t="s">
        <v>682</v>
      </c>
      <c r="U94" s="2079">
        <v>9587.9599999999991</v>
      </c>
    </row>
    <row r="95" spans="1:21">
      <c r="A95" s="2040"/>
      <c r="B95" s="2076"/>
      <c r="C95" s="23"/>
      <c r="D95" s="345"/>
      <c r="E95" s="266"/>
      <c r="F95" s="431"/>
      <c r="G95" s="2029"/>
      <c r="H95" s="2088"/>
      <c r="I95" s="461"/>
      <c r="J95" s="2020"/>
      <c r="K95" s="2047"/>
      <c r="L95" s="2020"/>
      <c r="M95" s="2047"/>
      <c r="N95" s="2088"/>
      <c r="O95" s="2047"/>
      <c r="P95" s="2020"/>
      <c r="Q95" s="2047"/>
      <c r="R95" s="2088"/>
      <c r="S95" s="2047"/>
      <c r="T95" s="2088"/>
      <c r="U95" s="2047"/>
    </row>
    <row r="96" spans="1:21">
      <c r="A96" s="2040"/>
      <c r="B96" s="2134"/>
      <c r="C96" s="23"/>
      <c r="D96" s="345"/>
      <c r="E96" s="266"/>
      <c r="F96" s="431"/>
      <c r="G96" s="2029"/>
      <c r="H96" s="2020"/>
      <c r="I96" s="2047"/>
      <c r="J96" s="2020"/>
      <c r="K96" s="2047"/>
      <c r="L96" s="2020"/>
      <c r="M96" s="2047"/>
      <c r="N96" s="2088"/>
      <c r="O96" s="2047"/>
      <c r="P96" s="2020"/>
      <c r="Q96" s="2047"/>
      <c r="R96" s="2088"/>
      <c r="S96" s="2047"/>
      <c r="T96" s="2088"/>
      <c r="U96" s="2047"/>
    </row>
    <row r="97" spans="1:36" ht="15.75" thickBot="1">
      <c r="A97" s="2040"/>
      <c r="B97" s="2097"/>
      <c r="C97" s="23"/>
      <c r="D97" s="503"/>
      <c r="E97" s="266"/>
      <c r="F97" s="431"/>
      <c r="G97" s="830"/>
      <c r="H97" s="2088"/>
      <c r="I97" s="2047"/>
      <c r="J97" s="2088"/>
      <c r="K97" s="2047"/>
      <c r="L97" s="2088"/>
      <c r="M97" s="2047"/>
      <c r="N97" s="2088"/>
      <c r="O97" s="2047"/>
      <c r="P97" s="2088"/>
      <c r="Q97" s="2047"/>
      <c r="R97" s="2088"/>
      <c r="S97" s="2047"/>
      <c r="T97" s="2088"/>
      <c r="U97" s="2047"/>
    </row>
    <row r="98" spans="1:36" ht="15.75" thickTop="1">
      <c r="A98" s="296"/>
      <c r="B98" s="301"/>
      <c r="C98" s="297"/>
      <c r="D98" s="505"/>
      <c r="E98" s="349"/>
      <c r="F98" s="282" t="s">
        <v>753</v>
      </c>
      <c r="G98" s="272"/>
      <c r="H98" s="273"/>
      <c r="I98" s="273">
        <f>SUM(I20:I97)</f>
        <v>459394</v>
      </c>
      <c r="J98" s="273"/>
      <c r="K98" s="273">
        <f>SUM(K20:K97)</f>
        <v>484502</v>
      </c>
      <c r="L98" s="273"/>
      <c r="M98" s="273">
        <f>SUM(M20:M97)</f>
        <v>485155.74851851858</v>
      </c>
      <c r="N98" s="273"/>
      <c r="O98" s="273">
        <f>SUM(O20:O97)</f>
        <v>502977.16</v>
      </c>
      <c r="P98" s="273"/>
      <c r="Q98" s="273">
        <f>SUM(Q20:Q97)</f>
        <v>538595.78999999992</v>
      </c>
      <c r="R98" s="273"/>
      <c r="S98" s="273">
        <f>SUM(S20:S97)</f>
        <v>544302.76851851842</v>
      </c>
      <c r="T98" s="273"/>
      <c r="U98" s="273">
        <f>SUM(U20:U97)</f>
        <v>660321.04999999993</v>
      </c>
    </row>
    <row r="99" spans="1:36">
      <c r="A99" s="1114"/>
      <c r="B99" s="2000"/>
      <c r="C99" s="432"/>
      <c r="D99" s="506"/>
      <c r="E99" s="453"/>
      <c r="F99" s="435" t="s">
        <v>754</v>
      </c>
      <c r="G99" s="436"/>
      <c r="H99" s="2081">
        <v>5.0000000000000001E-3</v>
      </c>
      <c r="I99" s="2002"/>
      <c r="J99" s="2003">
        <v>0</v>
      </c>
      <c r="K99" s="2002"/>
      <c r="L99" s="2003">
        <v>0</v>
      </c>
      <c r="M99" s="2002"/>
      <c r="N99" s="2003">
        <v>0</v>
      </c>
      <c r="O99" s="2002"/>
      <c r="P99" s="2003">
        <v>0</v>
      </c>
      <c r="Q99" s="2002"/>
      <c r="R99" s="2003">
        <v>0</v>
      </c>
      <c r="S99" s="2002"/>
      <c r="T99" s="2003">
        <v>0</v>
      </c>
      <c r="U99" s="2002"/>
    </row>
    <row r="100" spans="1:36">
      <c r="A100" s="1114"/>
      <c r="B100" s="2000"/>
      <c r="C100" s="432"/>
      <c r="D100" s="506"/>
      <c r="E100" s="453"/>
      <c r="F100" s="435" t="s">
        <v>755</v>
      </c>
      <c r="G100" s="436"/>
      <c r="H100" s="2002"/>
      <c r="I100" s="2002">
        <f>I98*H99</f>
        <v>2296.9700000000003</v>
      </c>
      <c r="J100" s="2002"/>
      <c r="K100" s="2002">
        <f>K98*J99</f>
        <v>0</v>
      </c>
      <c r="L100" s="2002"/>
      <c r="M100" s="2002">
        <f>M98*L99</f>
        <v>0</v>
      </c>
      <c r="N100" s="2002"/>
      <c r="O100" s="2002">
        <f>O98*N99</f>
        <v>0</v>
      </c>
      <c r="P100" s="2002"/>
      <c r="Q100" s="2002">
        <f>Q98*P99</f>
        <v>0</v>
      </c>
      <c r="R100" s="2002"/>
      <c r="S100" s="2002">
        <f>S98*R99</f>
        <v>0</v>
      </c>
      <c r="T100" s="2002"/>
      <c r="U100" s="2002">
        <f>U98*T99</f>
        <v>0</v>
      </c>
    </row>
    <row r="101" spans="1:36">
      <c r="A101" s="1114"/>
      <c r="B101" s="2000"/>
      <c r="C101" s="432"/>
      <c r="D101" s="506"/>
      <c r="E101" s="453"/>
      <c r="F101" s="435"/>
      <c r="G101" s="436"/>
      <c r="H101" s="2002"/>
      <c r="I101" s="2002"/>
      <c r="J101" s="2002"/>
      <c r="K101" s="2002"/>
      <c r="L101" s="2002"/>
      <c r="M101" s="2002"/>
      <c r="N101" s="2002"/>
      <c r="O101" s="2002"/>
      <c r="P101" s="2002"/>
      <c r="Q101" s="2002"/>
      <c r="R101" s="2002"/>
      <c r="S101" s="2002"/>
      <c r="T101" s="2002"/>
      <c r="U101" s="2002"/>
    </row>
    <row r="102" spans="1:36">
      <c r="A102" s="1114"/>
      <c r="B102" s="2000"/>
      <c r="C102" s="432"/>
      <c r="D102" s="506"/>
      <c r="E102" s="453"/>
      <c r="F102" s="435" t="s">
        <v>756</v>
      </c>
      <c r="G102" s="436"/>
      <c r="H102" s="2002"/>
      <c r="I102" s="2002">
        <f>SUM(I98:I100)</f>
        <v>461690.97</v>
      </c>
      <c r="J102" s="2002"/>
      <c r="K102" s="2002">
        <f>SUM(K98:K100)</f>
        <v>484502</v>
      </c>
      <c r="L102" s="2002"/>
      <c r="M102" s="2002">
        <f>SUM(M98:M100)</f>
        <v>485155.74851851858</v>
      </c>
      <c r="N102" s="2002"/>
      <c r="O102" s="2002">
        <f>SUM(O98:O100)</f>
        <v>502977.16</v>
      </c>
      <c r="P102" s="2002"/>
      <c r="Q102" s="2002">
        <f>SUM(Q98:Q100)</f>
        <v>538595.78999999992</v>
      </c>
      <c r="R102" s="2002"/>
      <c r="S102" s="2002">
        <f>SUM(S98:S100)</f>
        <v>544302.76851851842</v>
      </c>
      <c r="T102" s="2002"/>
      <c r="U102" s="2002">
        <f>SUM(U98:U100)</f>
        <v>660321.04999999993</v>
      </c>
    </row>
    <row r="103" spans="1:36">
      <c r="A103" s="1114"/>
      <c r="B103" s="2000"/>
      <c r="C103" s="432"/>
      <c r="D103" s="506"/>
      <c r="E103" s="453"/>
      <c r="F103" s="437" t="s">
        <v>757</v>
      </c>
      <c r="G103" s="438"/>
      <c r="H103" s="2004"/>
      <c r="I103" s="2004">
        <f>I102/'Area Calculations'!$G$4</f>
        <v>0.79785811430832798</v>
      </c>
      <c r="J103" s="2004"/>
      <c r="K103" s="2004">
        <f>K102/'Area Calculations'!$G$4</f>
        <v>0.83727834680980118</v>
      </c>
      <c r="L103" s="2004"/>
      <c r="M103" s="2004">
        <f>M102/'Area Calculations'!$G$4</f>
        <v>0.83840810371238284</v>
      </c>
      <c r="N103" s="2004"/>
      <c r="O103" s="2004">
        <f>O102/'Area Calculations'!$G$4</f>
        <v>0.86920566892992979</v>
      </c>
      <c r="P103" s="2004"/>
      <c r="Q103" s="2004">
        <f>Q102/'Area Calculations'!$G$4</f>
        <v>0.93075899098438974</v>
      </c>
      <c r="R103" s="2004"/>
      <c r="S103" s="2004">
        <f>S102/'Area Calculations'!$G$4</f>
        <v>0.94062134354281923</v>
      </c>
      <c r="T103" s="2004"/>
      <c r="U103" s="2004">
        <f>U102/'Area Calculations'!$G$4</f>
        <v>1.1411150358671627</v>
      </c>
    </row>
    <row r="104" spans="1:36">
      <c r="A104" s="1114"/>
      <c r="B104" s="2000"/>
      <c r="C104" s="432"/>
      <c r="D104" s="506"/>
      <c r="E104" s="453"/>
      <c r="F104" s="437" t="s">
        <v>758</v>
      </c>
      <c r="G104" s="438"/>
      <c r="H104" s="2004"/>
      <c r="I104" s="2004">
        <f>I102/'Area Calculations'!$G$9</f>
        <v>4314.8688785046725</v>
      </c>
      <c r="J104" s="2004"/>
      <c r="K104" s="2004">
        <f>K102/'Area Calculations'!$G$9</f>
        <v>4528.0560747663549</v>
      </c>
      <c r="L104" s="2004"/>
      <c r="M104" s="2004">
        <f>M102/'Area Calculations'!$G$9</f>
        <v>4534.165874004847</v>
      </c>
      <c r="N104" s="2004"/>
      <c r="O104" s="2004">
        <f>O102/'Area Calculations'!$G$9</f>
        <v>4700.7211214953268</v>
      </c>
      <c r="P104" s="2004"/>
      <c r="Q104" s="2004">
        <f>Q102/'Area Calculations'!$G$9</f>
        <v>5033.6055140186909</v>
      </c>
      <c r="R104" s="2004"/>
      <c r="S104" s="2004">
        <f>S102/'Area Calculations'!$G$9</f>
        <v>5086.9417618553125</v>
      </c>
      <c r="T104" s="2004"/>
      <c r="U104" s="2004">
        <f>U102/'Area Calculations'!$G$9</f>
        <v>6171.2247663551398</v>
      </c>
    </row>
    <row r="105" spans="1:36" ht="15.75" thickBot="1">
      <c r="A105" s="1114"/>
      <c r="B105" s="2000"/>
      <c r="C105" s="432"/>
      <c r="D105" s="506"/>
      <c r="E105" s="453"/>
      <c r="F105" s="439"/>
      <c r="G105" s="436"/>
      <c r="H105" s="2005"/>
      <c r="I105" s="2005"/>
      <c r="J105" s="2005"/>
      <c r="K105" s="2005"/>
      <c r="L105" s="2005"/>
      <c r="M105" s="2005"/>
      <c r="N105" s="2005"/>
      <c r="O105" s="2005"/>
      <c r="P105" s="2005"/>
      <c r="Q105" s="2005"/>
      <c r="R105" s="2005"/>
      <c r="S105" s="2005"/>
      <c r="T105" s="2005"/>
      <c r="U105" s="2005"/>
    </row>
    <row r="106" spans="1:36" ht="16.5" thickTop="1" thickBot="1">
      <c r="A106" s="2331" t="s">
        <v>759</v>
      </c>
      <c r="B106" s="2332"/>
      <c r="C106" s="298"/>
      <c r="D106" s="507"/>
      <c r="E106" s="350"/>
      <c r="F106" s="12"/>
      <c r="G106" s="26"/>
      <c r="H106" s="20"/>
      <c r="I106" s="20"/>
      <c r="J106" s="20"/>
      <c r="K106" s="20"/>
      <c r="L106" s="24"/>
      <c r="M106" s="20"/>
      <c r="N106" s="20"/>
      <c r="O106" s="20"/>
      <c r="P106" s="20"/>
      <c r="Q106" s="20"/>
      <c r="R106" s="20"/>
      <c r="S106" s="20"/>
      <c r="T106" s="20"/>
      <c r="U106" s="20"/>
    </row>
    <row r="107" spans="1:36" ht="15.75" thickTop="1">
      <c r="A107" s="2030"/>
      <c r="B107" s="2006"/>
      <c r="C107" s="1396"/>
      <c r="D107" s="2071"/>
      <c r="E107" s="2085"/>
      <c r="F107" s="2042"/>
      <c r="G107" s="2031"/>
      <c r="H107" s="2057"/>
      <c r="I107" s="2057"/>
      <c r="J107" s="2057"/>
      <c r="K107" s="2057"/>
      <c r="L107" s="2032"/>
      <c r="M107" s="2057"/>
      <c r="N107" s="2057"/>
      <c r="O107" s="2057"/>
      <c r="P107" s="2057"/>
      <c r="Q107" s="2057"/>
      <c r="R107" s="2057"/>
      <c r="S107" s="2057"/>
      <c r="T107" s="2057"/>
      <c r="U107" s="2057"/>
    </row>
    <row r="108" spans="1:36">
      <c r="A108" s="2030"/>
      <c r="B108" s="2006"/>
      <c r="C108" s="1396"/>
      <c r="D108" s="2071"/>
      <c r="E108" s="2085"/>
      <c r="F108" s="2042"/>
      <c r="G108" s="2031"/>
      <c r="H108" s="2057"/>
      <c r="I108" s="2057"/>
      <c r="J108" s="2057"/>
      <c r="K108" s="2057"/>
      <c r="L108" s="2032"/>
      <c r="M108" s="2057"/>
      <c r="N108" s="2057"/>
      <c r="O108" s="2057"/>
      <c r="P108" s="2057"/>
      <c r="Q108" s="2057"/>
      <c r="R108" s="2057"/>
      <c r="S108" s="2057"/>
      <c r="T108" s="2057"/>
      <c r="U108" s="2057"/>
    </row>
    <row r="109" spans="1:36" ht="15.75" thickBot="1">
      <c r="A109" s="2030"/>
      <c r="B109" s="2006"/>
      <c r="C109" s="1396"/>
      <c r="D109" s="2071"/>
      <c r="E109" s="2085"/>
      <c r="F109" s="2042"/>
      <c r="G109" s="2031"/>
      <c r="H109" s="2057"/>
      <c r="I109" s="2057"/>
      <c r="J109" s="2057"/>
      <c r="K109" s="2057"/>
      <c r="L109" s="2032"/>
      <c r="M109" s="2057"/>
      <c r="N109" s="2057"/>
      <c r="O109" s="2057"/>
      <c r="P109" s="2057"/>
      <c r="Q109" s="2057"/>
      <c r="R109" s="2057"/>
      <c r="S109" s="2057"/>
      <c r="T109" s="2057"/>
      <c r="U109" s="2057"/>
    </row>
    <row r="110" spans="1:36" s="2" customFormat="1" ht="16.5" thickTop="1" thickBot="1">
      <c r="A110" s="2331" t="s">
        <v>760</v>
      </c>
      <c r="B110" s="2332"/>
      <c r="C110" s="298"/>
      <c r="D110" s="507"/>
      <c r="E110" s="350"/>
      <c r="F110" s="12"/>
      <c r="G110" s="26"/>
      <c r="H110" s="20"/>
      <c r="I110" s="20"/>
      <c r="J110" s="20"/>
      <c r="K110" s="20"/>
      <c r="L110" s="24"/>
      <c r="M110" s="20"/>
      <c r="N110" s="20"/>
      <c r="O110" s="20"/>
      <c r="P110" s="20"/>
      <c r="Q110" s="20"/>
      <c r="R110" s="20"/>
      <c r="S110" s="20"/>
      <c r="T110" s="20"/>
      <c r="U110" s="20"/>
      <c r="V110"/>
      <c r="W110"/>
      <c r="X110"/>
      <c r="Y110"/>
      <c r="Z110"/>
      <c r="AA110"/>
      <c r="AB110"/>
      <c r="AC110"/>
      <c r="AD110"/>
      <c r="AE110"/>
      <c r="AF110"/>
      <c r="AG110"/>
      <c r="AH110"/>
      <c r="AI110"/>
      <c r="AJ110"/>
    </row>
    <row r="111" spans="1:36" s="2" customFormat="1" ht="15.75" thickTop="1">
      <c r="A111" s="2030"/>
      <c r="B111" s="2006"/>
      <c r="C111" s="1396"/>
      <c r="D111" s="2071"/>
      <c r="E111" s="2085"/>
      <c r="F111" s="2042"/>
      <c r="G111" s="2031"/>
      <c r="H111" s="2057"/>
      <c r="I111" s="2057"/>
      <c r="J111" s="2057"/>
      <c r="K111" s="2057"/>
      <c r="L111" s="2032"/>
      <c r="M111" s="2057"/>
      <c r="N111" s="2057"/>
      <c r="O111" s="2057"/>
      <c r="P111" s="2057"/>
      <c r="Q111" s="2057"/>
      <c r="R111" s="2057"/>
      <c r="S111" s="2057"/>
      <c r="T111" s="2057"/>
      <c r="U111" s="2057"/>
      <c r="V111"/>
      <c r="W111"/>
      <c r="X111"/>
      <c r="Y111"/>
      <c r="Z111"/>
      <c r="AA111"/>
      <c r="AB111"/>
      <c r="AC111"/>
      <c r="AD111"/>
      <c r="AE111"/>
      <c r="AF111"/>
      <c r="AG111"/>
      <c r="AH111"/>
      <c r="AI111"/>
      <c r="AJ111"/>
    </row>
    <row r="112" spans="1:36" s="2" customFormat="1">
      <c r="A112" s="2030"/>
      <c r="B112" s="2006"/>
      <c r="C112" s="1396"/>
      <c r="D112" s="2071"/>
      <c r="E112" s="2085"/>
      <c r="F112" s="2042"/>
      <c r="G112" s="2031"/>
      <c r="H112" s="2057"/>
      <c r="I112" s="2057"/>
      <c r="J112" s="2057"/>
      <c r="K112" s="2057"/>
      <c r="L112" s="2032"/>
      <c r="M112" s="2057"/>
      <c r="N112" s="2057"/>
      <c r="O112" s="2057"/>
      <c r="P112" s="2057"/>
      <c r="Q112" s="2057"/>
      <c r="R112" s="2057"/>
      <c r="S112" s="2057"/>
      <c r="T112" s="2057"/>
      <c r="U112" s="2057"/>
      <c r="V112"/>
      <c r="W112"/>
      <c r="X112"/>
      <c r="Y112"/>
      <c r="Z112"/>
      <c r="AA112"/>
      <c r="AB112"/>
      <c r="AC112"/>
      <c r="AD112"/>
      <c r="AE112"/>
      <c r="AF112"/>
      <c r="AG112"/>
      <c r="AH112"/>
      <c r="AI112"/>
      <c r="AJ112"/>
    </row>
    <row r="113" spans="1:36" ht="15.75" thickBot="1">
      <c r="A113" s="2030"/>
      <c r="B113" s="2006"/>
      <c r="C113" s="1396"/>
      <c r="D113" s="2071"/>
      <c r="E113" s="2085"/>
      <c r="F113" s="2042"/>
      <c r="G113" s="2031"/>
      <c r="H113" s="2057"/>
      <c r="I113" s="2057"/>
      <c r="J113" s="2057"/>
      <c r="K113" s="2057"/>
      <c r="L113" s="2032"/>
      <c r="M113" s="2057"/>
      <c r="N113" s="2057"/>
      <c r="O113" s="2057"/>
      <c r="P113" s="2057"/>
      <c r="Q113" s="2057"/>
      <c r="R113" s="2057"/>
      <c r="S113" s="2057"/>
      <c r="T113" s="2057"/>
      <c r="U113" s="2057"/>
    </row>
    <row r="114" spans="1:36" s="2" customFormat="1" ht="16.5" thickTop="1" thickBot="1">
      <c r="A114" s="2331" t="s">
        <v>761</v>
      </c>
      <c r="B114" s="2332"/>
      <c r="C114" s="298"/>
      <c r="D114" s="507"/>
      <c r="E114" s="350"/>
      <c r="F114" s="12"/>
      <c r="G114" s="26"/>
      <c r="H114" s="20"/>
      <c r="I114" s="20"/>
      <c r="J114" s="20"/>
      <c r="K114" s="20"/>
      <c r="L114" s="24"/>
      <c r="M114" s="20"/>
      <c r="N114" s="20"/>
      <c r="O114" s="20"/>
      <c r="P114" s="20"/>
      <c r="Q114" s="20"/>
      <c r="R114" s="20"/>
      <c r="S114" s="20"/>
      <c r="T114" s="20"/>
      <c r="U114" s="20"/>
      <c r="V114"/>
      <c r="W114"/>
      <c r="X114"/>
      <c r="Y114"/>
      <c r="Z114"/>
      <c r="AA114"/>
      <c r="AB114"/>
      <c r="AC114"/>
      <c r="AD114"/>
      <c r="AE114"/>
      <c r="AF114"/>
      <c r="AG114"/>
      <c r="AH114"/>
      <c r="AI114"/>
      <c r="AJ114"/>
    </row>
    <row r="115" spans="1:36" s="2" customFormat="1" ht="15.75" thickTop="1">
      <c r="A115" s="2030"/>
      <c r="B115" s="2006"/>
      <c r="C115" s="1396"/>
      <c r="D115" s="2071"/>
      <c r="E115" s="2085"/>
      <c r="F115" s="2042"/>
      <c r="G115" s="2031"/>
      <c r="H115" s="2057"/>
      <c r="I115" s="2057"/>
      <c r="J115" s="2057"/>
      <c r="K115" s="2057"/>
      <c r="L115" s="2032"/>
      <c r="M115" s="2057"/>
      <c r="N115" s="2057"/>
      <c r="O115" s="2057"/>
      <c r="P115" s="2057"/>
      <c r="Q115" s="2057"/>
      <c r="R115" s="2057"/>
      <c r="S115" s="2057"/>
      <c r="T115" s="2057"/>
      <c r="U115" s="2057"/>
      <c r="V115"/>
      <c r="W115"/>
      <c r="X115"/>
      <c r="Y115"/>
      <c r="Z115"/>
      <c r="AA115"/>
      <c r="AB115"/>
      <c r="AC115"/>
      <c r="AD115"/>
      <c r="AE115"/>
      <c r="AF115"/>
      <c r="AG115"/>
      <c r="AH115"/>
      <c r="AI115"/>
      <c r="AJ115"/>
    </row>
    <row r="116" spans="1:36" s="2" customFormat="1">
      <c r="A116" s="1124"/>
      <c r="B116" s="2006"/>
      <c r="C116" s="415"/>
      <c r="D116" s="499"/>
      <c r="E116" s="417"/>
      <c r="F116" s="422"/>
      <c r="G116" s="831"/>
      <c r="H116" s="2007"/>
      <c r="I116" s="2007"/>
      <c r="J116" s="2007"/>
      <c r="K116" s="2007"/>
      <c r="L116" s="440"/>
      <c r="M116" s="2007"/>
      <c r="N116" s="2007"/>
      <c r="O116" s="2007"/>
      <c r="P116" s="2007"/>
      <c r="Q116" s="2007"/>
      <c r="R116" s="2007"/>
      <c r="S116" s="2007"/>
      <c r="T116" s="2007"/>
      <c r="U116" s="2007"/>
      <c r="V116"/>
      <c r="W116"/>
      <c r="X116"/>
      <c r="Y116"/>
      <c r="Z116"/>
      <c r="AA116"/>
      <c r="AB116"/>
      <c r="AC116"/>
      <c r="AD116"/>
      <c r="AE116"/>
      <c r="AF116"/>
      <c r="AG116"/>
      <c r="AH116"/>
      <c r="AI116"/>
      <c r="AJ116"/>
    </row>
    <row r="117" spans="1:36" s="2" customFormat="1" ht="15.75" thickBot="1">
      <c r="A117" s="1126"/>
      <c r="B117" s="2008"/>
      <c r="C117" s="415"/>
      <c r="D117" s="499"/>
      <c r="E117" s="417"/>
      <c r="F117" s="422"/>
      <c r="G117" s="831"/>
      <c r="H117" s="2009"/>
      <c r="I117" s="2009"/>
      <c r="J117" s="2009"/>
      <c r="K117" s="2009"/>
      <c r="L117" s="441"/>
      <c r="M117" s="2009"/>
      <c r="N117" s="2009"/>
      <c r="O117" s="2009"/>
      <c r="P117" s="2009"/>
      <c r="Q117" s="2009"/>
      <c r="R117" s="2009"/>
      <c r="S117" s="2009"/>
      <c r="T117" s="2009"/>
      <c r="U117" s="2009"/>
    </row>
    <row r="118" spans="1:36" s="2" customFormat="1" ht="16.5" thickTop="1" thickBot="1">
      <c r="A118" s="2331" t="s">
        <v>762</v>
      </c>
      <c r="B118" s="2332"/>
      <c r="C118" s="298"/>
      <c r="D118" s="507"/>
      <c r="E118" s="350"/>
      <c r="F118" s="12"/>
      <c r="G118" s="26"/>
      <c r="H118" s="20"/>
      <c r="I118" s="20"/>
      <c r="J118" s="20"/>
      <c r="K118" s="20"/>
      <c r="L118" s="24"/>
      <c r="M118" s="20"/>
      <c r="N118" s="20"/>
      <c r="O118" s="20"/>
      <c r="P118" s="20"/>
      <c r="Q118" s="20"/>
      <c r="R118" s="20"/>
      <c r="S118" s="20"/>
      <c r="T118" s="20"/>
      <c r="U118" s="20"/>
      <c r="V118"/>
      <c r="W118"/>
      <c r="X118"/>
      <c r="Y118"/>
      <c r="Z118"/>
      <c r="AA118"/>
      <c r="AB118"/>
      <c r="AC118"/>
      <c r="AD118"/>
      <c r="AE118"/>
      <c r="AF118"/>
      <c r="AG118"/>
      <c r="AH118"/>
      <c r="AI118"/>
      <c r="AJ118"/>
    </row>
    <row r="119" spans="1:36" ht="15.75" thickTop="1">
      <c r="A119" s="2034"/>
      <c r="B119" s="2059"/>
      <c r="C119" s="1396"/>
      <c r="D119" s="2071"/>
      <c r="E119" s="2085"/>
      <c r="F119" s="2042"/>
      <c r="G119" s="2031"/>
      <c r="H119" s="2057"/>
      <c r="I119" s="2057"/>
      <c r="J119" s="2057"/>
      <c r="K119" s="2057"/>
      <c r="L119" s="2032"/>
      <c r="M119" s="2057"/>
      <c r="N119" s="2057"/>
      <c r="O119" s="2057"/>
      <c r="P119" s="2057"/>
      <c r="Q119" s="2057"/>
      <c r="R119" s="2057"/>
      <c r="S119" s="2057"/>
      <c r="T119" s="2057"/>
      <c r="U119" s="2057"/>
      <c r="V119" s="2"/>
      <c r="W119" s="2"/>
      <c r="X119" s="2"/>
      <c r="Y119" s="2"/>
      <c r="Z119" s="2"/>
      <c r="AA119" s="2"/>
      <c r="AB119" s="2"/>
      <c r="AC119" s="2"/>
      <c r="AD119" s="2"/>
      <c r="AE119" s="2"/>
      <c r="AF119" s="2"/>
      <c r="AG119" s="2"/>
      <c r="AH119" s="2"/>
      <c r="AI119" s="2"/>
      <c r="AJ119" s="2"/>
    </row>
    <row r="120" spans="1:36">
      <c r="A120" s="1126"/>
      <c r="B120" s="2008"/>
      <c r="C120" s="415"/>
      <c r="D120" s="499"/>
      <c r="E120" s="417"/>
      <c r="F120" s="422"/>
      <c r="G120" s="831"/>
      <c r="H120" s="2010"/>
      <c r="I120" s="2010"/>
      <c r="J120" s="2010"/>
      <c r="K120" s="2010"/>
      <c r="L120" s="442"/>
      <c r="M120" s="2010"/>
      <c r="N120" s="2010"/>
      <c r="O120" s="2010"/>
      <c r="P120" s="2010"/>
      <c r="Q120" s="2010"/>
      <c r="R120" s="2010"/>
      <c r="S120" s="2010"/>
      <c r="T120" s="2010"/>
      <c r="U120" s="2010"/>
      <c r="V120" s="2"/>
      <c r="W120" s="2"/>
      <c r="X120" s="2"/>
      <c r="Y120" s="2"/>
      <c r="Z120" s="2"/>
      <c r="AA120" s="2"/>
      <c r="AB120" s="2"/>
      <c r="AC120" s="2"/>
      <c r="AD120" s="2"/>
      <c r="AE120" s="2"/>
      <c r="AF120" s="2"/>
      <c r="AG120" s="2"/>
      <c r="AH120" s="2"/>
      <c r="AI120" s="2"/>
      <c r="AJ120" s="2"/>
    </row>
    <row r="121" spans="1:36" ht="15.75" thickBot="1">
      <c r="A121" s="1126"/>
      <c r="B121" s="2008"/>
      <c r="C121" s="415"/>
      <c r="D121" s="499"/>
      <c r="E121" s="417"/>
      <c r="F121" s="422"/>
      <c r="G121" s="831"/>
      <c r="H121" s="2010"/>
      <c r="I121" s="2010"/>
      <c r="J121" s="2010"/>
      <c r="K121" s="2010"/>
      <c r="L121" s="442"/>
      <c r="M121" s="2010"/>
      <c r="N121" s="2010"/>
      <c r="O121" s="2010"/>
      <c r="P121" s="2010"/>
      <c r="Q121" s="2010"/>
      <c r="R121" s="2010"/>
      <c r="S121" s="2010"/>
      <c r="T121" s="2010"/>
      <c r="U121" s="2010"/>
      <c r="V121" s="2"/>
      <c r="W121" s="2"/>
      <c r="X121" s="2"/>
      <c r="Y121" s="2"/>
      <c r="Z121" s="2"/>
      <c r="AA121" s="2"/>
      <c r="AB121" s="2"/>
      <c r="AC121" s="2"/>
      <c r="AD121" s="2"/>
      <c r="AE121" s="2"/>
      <c r="AF121" s="2"/>
      <c r="AG121" s="2"/>
      <c r="AH121" s="2"/>
      <c r="AI121" s="2"/>
      <c r="AJ121" s="2"/>
    </row>
    <row r="122" spans="1:36" ht="16.5" thickTop="1" thickBot="1">
      <c r="A122" s="2331" t="s">
        <v>763</v>
      </c>
      <c r="B122" s="2332"/>
      <c r="C122" s="298"/>
      <c r="D122" s="507"/>
      <c r="E122" s="350"/>
      <c r="F122" s="12"/>
      <c r="G122" s="26"/>
      <c r="H122" s="20"/>
      <c r="I122" s="20"/>
      <c r="J122" s="20"/>
      <c r="K122" s="20"/>
      <c r="L122" s="24"/>
      <c r="M122" s="20"/>
      <c r="N122" s="20"/>
      <c r="O122" s="20"/>
      <c r="P122" s="20"/>
      <c r="Q122" s="20"/>
      <c r="R122" s="20"/>
      <c r="S122" s="20"/>
      <c r="T122" s="20"/>
      <c r="U122" s="20"/>
    </row>
    <row r="123" spans="1:36" ht="15.75" thickTop="1">
      <c r="A123" s="1124"/>
      <c r="B123" s="2006" t="s">
        <v>764</v>
      </c>
      <c r="C123" s="415"/>
      <c r="D123" s="499"/>
      <c r="E123" s="417"/>
      <c r="F123" s="422"/>
      <c r="G123" s="831"/>
      <c r="H123" s="2010"/>
      <c r="I123" s="2010"/>
      <c r="J123" s="2010"/>
      <c r="K123" s="2010"/>
      <c r="L123" s="442"/>
      <c r="M123" s="2010"/>
      <c r="N123" s="2010"/>
      <c r="O123" s="2010"/>
      <c r="P123" s="2010"/>
      <c r="Q123" s="2010"/>
      <c r="R123" s="2010"/>
      <c r="S123" s="2010"/>
      <c r="T123" s="2010"/>
      <c r="U123" s="2010"/>
    </row>
    <row r="124" spans="1:36">
      <c r="A124" s="1124"/>
      <c r="B124" s="2006" t="s">
        <v>765</v>
      </c>
      <c r="C124" s="415"/>
      <c r="D124" s="499"/>
      <c r="E124" s="417"/>
      <c r="F124" s="422"/>
      <c r="G124" s="831"/>
      <c r="H124" s="2010"/>
      <c r="I124" s="2010"/>
      <c r="J124" s="2010"/>
      <c r="K124" s="2010"/>
      <c r="L124" s="442"/>
      <c r="M124" s="2010"/>
      <c r="N124" s="2010"/>
      <c r="O124" s="2010"/>
      <c r="P124" s="2010"/>
      <c r="Q124" s="2010"/>
      <c r="R124" s="2010"/>
      <c r="S124" s="2010"/>
      <c r="T124" s="2010"/>
      <c r="U124" s="2010"/>
    </row>
    <row r="125" spans="1:36">
      <c r="A125" s="1124"/>
      <c r="B125" s="2006" t="s">
        <v>766</v>
      </c>
      <c r="C125" s="415"/>
      <c r="D125" s="499"/>
      <c r="E125" s="417"/>
      <c r="F125" s="422"/>
      <c r="G125" s="831"/>
      <c r="H125" s="2010"/>
      <c r="I125" s="2010"/>
      <c r="J125" s="2010"/>
      <c r="K125" s="2010"/>
      <c r="L125" s="442"/>
      <c r="M125" s="2010"/>
      <c r="N125" s="2010"/>
      <c r="O125" s="2010"/>
      <c r="P125" s="2010"/>
      <c r="Q125" s="2010"/>
      <c r="R125" s="2010"/>
      <c r="S125" s="2010"/>
      <c r="T125" s="2010"/>
      <c r="U125" s="2010"/>
    </row>
    <row r="126" spans="1:36">
      <c r="A126" s="1124"/>
      <c r="B126" s="2006" t="s">
        <v>767</v>
      </c>
      <c r="C126" s="415"/>
      <c r="D126" s="499"/>
      <c r="E126" s="417"/>
      <c r="F126" s="422"/>
      <c r="G126" s="831"/>
      <c r="H126" s="2010"/>
      <c r="I126" s="2010"/>
      <c r="J126" s="2010"/>
      <c r="K126" s="2010"/>
      <c r="L126" s="442"/>
      <c r="M126" s="2010"/>
      <c r="N126" s="2010"/>
      <c r="O126" s="2010"/>
      <c r="P126" s="2010"/>
      <c r="Q126" s="2010"/>
      <c r="R126" s="2010"/>
      <c r="S126" s="2010"/>
      <c r="T126" s="2010"/>
      <c r="U126" s="2010"/>
    </row>
    <row r="127" spans="1:36" ht="15.75" thickBot="1">
      <c r="A127" s="443"/>
      <c r="B127" s="421"/>
      <c r="C127" s="23"/>
      <c r="D127" s="500"/>
      <c r="E127" s="266"/>
      <c r="F127" s="86"/>
      <c r="G127" s="27"/>
      <c r="H127" s="444"/>
      <c r="I127" s="444"/>
      <c r="J127" s="444"/>
      <c r="K127" s="444"/>
      <c r="L127" s="25"/>
      <c r="M127" s="444"/>
      <c r="N127" s="444"/>
      <c r="O127" s="444"/>
      <c r="P127" s="444"/>
      <c r="Q127" s="444"/>
      <c r="R127" s="444"/>
      <c r="S127" s="444"/>
      <c r="T127" s="444"/>
      <c r="U127" s="444"/>
    </row>
    <row r="128" spans="1:36" ht="16.5" thickTop="1" thickBot="1">
      <c r="A128" s="72" t="s">
        <v>768</v>
      </c>
      <c r="B128" s="73"/>
      <c r="C128" s="298"/>
      <c r="D128" s="507"/>
      <c r="E128" s="350"/>
      <c r="F128" s="12"/>
      <c r="G128" s="26"/>
      <c r="H128" s="20"/>
      <c r="I128" s="20"/>
      <c r="J128" s="20"/>
      <c r="K128" s="20"/>
      <c r="L128" s="24"/>
      <c r="M128" s="20"/>
      <c r="N128" s="20"/>
      <c r="O128" s="20"/>
      <c r="P128" s="20"/>
      <c r="Q128" s="20"/>
      <c r="R128" s="20"/>
      <c r="S128" s="20"/>
      <c r="T128" s="20"/>
      <c r="U128" s="20"/>
    </row>
    <row r="129" spans="1:22" ht="15.75" thickTop="1">
      <c r="A129" s="2030"/>
      <c r="B129" s="2060" t="s">
        <v>769</v>
      </c>
      <c r="C129" s="1396"/>
      <c r="D129" s="2071"/>
      <c r="E129" s="2085"/>
      <c r="F129" s="2042"/>
      <c r="G129" s="2031"/>
      <c r="H129" s="2062"/>
      <c r="I129" s="2062"/>
      <c r="J129" s="2062"/>
      <c r="K129" s="2062"/>
      <c r="L129" s="2037"/>
      <c r="M129" s="2062"/>
      <c r="N129" s="2062"/>
      <c r="O129" s="2062"/>
      <c r="P129" s="2062"/>
      <c r="Q129" s="2062"/>
      <c r="R129" s="2062"/>
      <c r="S129" s="2062"/>
      <c r="T129" s="2062"/>
      <c r="U129" s="2062"/>
    </row>
    <row r="130" spans="1:22">
      <c r="A130" s="1124"/>
      <c r="B130" s="2006" t="s">
        <v>770</v>
      </c>
      <c r="C130" s="415"/>
      <c r="D130" s="499"/>
      <c r="E130" s="417"/>
      <c r="F130" s="422"/>
      <c r="G130" s="831"/>
      <c r="H130" s="2011"/>
      <c r="I130" s="2011"/>
      <c r="J130" s="2011"/>
      <c r="K130" s="2011"/>
      <c r="L130" s="445"/>
      <c r="M130" s="2011"/>
      <c r="N130" s="2011"/>
      <c r="O130" s="2011"/>
      <c r="P130" s="2011"/>
      <c r="Q130" s="2011"/>
      <c r="R130" s="2011"/>
      <c r="S130" s="2011"/>
      <c r="T130" s="2011"/>
      <c r="U130" s="2011"/>
    </row>
    <row r="131" spans="1:22" ht="15.75" thickBot="1">
      <c r="A131" s="1183"/>
      <c r="B131" s="1184" t="s">
        <v>771</v>
      </c>
      <c r="C131" s="1185"/>
      <c r="D131" s="2082"/>
      <c r="E131" s="1230"/>
      <c r="F131" s="1186"/>
      <c r="G131" s="1187"/>
      <c r="H131" s="1189"/>
      <c r="I131" s="1189"/>
      <c r="J131" s="1189"/>
      <c r="K131" s="1189"/>
      <c r="L131" s="1188"/>
      <c r="M131" s="1189"/>
      <c r="N131" s="1189"/>
      <c r="O131" s="1189"/>
      <c r="P131" s="1189"/>
      <c r="Q131" s="1189"/>
      <c r="R131" s="1189"/>
      <c r="S131" s="1189"/>
      <c r="T131" s="1189"/>
      <c r="U131" s="1189"/>
    </row>
    <row r="132" spans="1:22" ht="16.5" thickTop="1" thickBot="1">
      <c r="F132" s="2"/>
      <c r="G132" s="2"/>
      <c r="H132" s="2"/>
      <c r="I132" s="2"/>
      <c r="J132" s="2"/>
      <c r="K132" s="2"/>
      <c r="L132" s="2"/>
      <c r="M132" s="2"/>
      <c r="N132" s="2"/>
      <c r="O132" s="2"/>
      <c r="P132" s="2"/>
      <c r="Q132" s="2"/>
      <c r="R132" s="2"/>
      <c r="S132" s="2"/>
      <c r="T132" s="2"/>
      <c r="U132" s="2"/>
    </row>
    <row r="133" spans="1:22" ht="16.5" thickTop="1" thickBot="1">
      <c r="A133" s="37" t="s">
        <v>772</v>
      </c>
      <c r="B133" s="39"/>
      <c r="F133" s="2"/>
      <c r="G133" s="520" t="s">
        <v>905</v>
      </c>
      <c r="I133" s="270">
        <v>415614</v>
      </c>
      <c r="K133" s="270">
        <v>422950</v>
      </c>
      <c r="L133" s="2"/>
      <c r="M133" s="270">
        <v>368983.98</v>
      </c>
      <c r="O133" s="270">
        <v>554727.16</v>
      </c>
      <c r="Q133" s="270">
        <v>455289.06</v>
      </c>
      <c r="S133" s="270">
        <v>471751</v>
      </c>
      <c r="U133" s="270">
        <v>587591.53</v>
      </c>
      <c r="V133" s="36"/>
    </row>
    <row r="134" spans="1:22" ht="15.75" thickTop="1">
      <c r="A134" s="38" t="s">
        <v>693</v>
      </c>
      <c r="B134" s="2012" t="str">
        <f>H5</f>
        <v>Verdego Landscape</v>
      </c>
      <c r="F134" s="2"/>
      <c r="G134" s="521" t="s">
        <v>906</v>
      </c>
      <c r="I134" s="519">
        <f>I65+I66+I67+I69+I71</f>
        <v>43780</v>
      </c>
      <c r="K134" s="519">
        <f>K69</f>
        <v>18000</v>
      </c>
      <c r="L134" s="2"/>
      <c r="M134" s="519">
        <f>M61+M65+M69+M71+M76+M78+M79+M82+M84+M85+M88+M90+M91</f>
        <v>116171.76851851853</v>
      </c>
      <c r="O134" s="519">
        <f>O69</f>
        <v>18000</v>
      </c>
      <c r="Q134" s="519">
        <f>Q69</f>
        <v>18000</v>
      </c>
      <c r="S134" s="519">
        <f>S69+S71+S73+S76+S78+S79+S82+S84+S85+S88+S90+S91</f>
        <v>72551.768518518526</v>
      </c>
      <c r="U134" s="519">
        <f>U69</f>
        <v>18000</v>
      </c>
      <c r="V134" s="36"/>
    </row>
    <row r="135" spans="1:22">
      <c r="A135" s="1142" t="s">
        <v>702</v>
      </c>
      <c r="B135" s="2012" t="str">
        <f>H6</f>
        <v>David Simmons</v>
      </c>
      <c r="F135" s="2"/>
      <c r="G135" s="522" t="s">
        <v>907</v>
      </c>
      <c r="I135" s="278"/>
      <c r="K135" s="278">
        <f>K71+K65</f>
        <v>43552</v>
      </c>
      <c r="L135" s="2"/>
      <c r="M135" s="278"/>
      <c r="O135" s="278"/>
      <c r="Q135" s="278">
        <f>Q65+Q71+Q76+Q82</f>
        <v>65306.729999999996</v>
      </c>
      <c r="S135" s="278"/>
      <c r="U135" s="278">
        <f>U65+U66+U67+U93+U94</f>
        <v>54729.52</v>
      </c>
      <c r="V135" s="36"/>
    </row>
    <row r="136" spans="1:22">
      <c r="A136" s="2013" t="s">
        <v>708</v>
      </c>
      <c r="B136" s="2014" t="str">
        <f>H7</f>
        <v>(386) 585-0591</v>
      </c>
      <c r="F136" s="2"/>
      <c r="G136" s="520" t="s">
        <v>908</v>
      </c>
      <c r="I136" s="2126"/>
      <c r="K136" s="2126"/>
      <c r="L136" s="2"/>
      <c r="M136" s="2126"/>
      <c r="O136" s="2126">
        <v>-69750</v>
      </c>
      <c r="Q136" s="2126"/>
      <c r="S136" s="2126"/>
      <c r="U136" s="2126"/>
      <c r="V136" s="36"/>
    </row>
    <row r="137" spans="1:22">
      <c r="A137" s="2013" t="s">
        <v>713</v>
      </c>
      <c r="B137" s="2022" t="str">
        <f>H8</f>
        <v>dsimmons@verdego.com</v>
      </c>
      <c r="F137" s="2"/>
      <c r="G137" s="520" t="s">
        <v>2791</v>
      </c>
      <c r="I137" s="270">
        <f>SUM(I133:I136)</f>
        <v>459394</v>
      </c>
      <c r="K137" s="270">
        <f>SUM(K133:K136)</f>
        <v>484502</v>
      </c>
      <c r="L137" s="2"/>
      <c r="M137" s="270">
        <f>SUM(M132:M136)</f>
        <v>485155.74851851852</v>
      </c>
      <c r="O137" s="270">
        <f>SUM(O133:O136)</f>
        <v>502977.16000000003</v>
      </c>
      <c r="Q137" s="270">
        <f>SUM(Q132:Q136)</f>
        <v>538595.79</v>
      </c>
      <c r="S137" s="270">
        <f>SUM(S132:S136)</f>
        <v>544302.76851851854</v>
      </c>
      <c r="U137" s="270">
        <f>SUM(U132:U136)</f>
        <v>660321.05000000005</v>
      </c>
      <c r="V137" s="36"/>
    </row>
    <row r="138" spans="1:22" ht="15.75" thickBot="1">
      <c r="A138" s="1194" t="s">
        <v>69</v>
      </c>
      <c r="B138" s="1231">
        <f>I102</f>
        <v>461690.97</v>
      </c>
      <c r="F138" s="2"/>
      <c r="G138" s="520" t="s">
        <v>910</v>
      </c>
      <c r="I138" s="270">
        <f>I102</f>
        <v>461690.97</v>
      </c>
      <c r="K138" s="270">
        <f>K102</f>
        <v>484502</v>
      </c>
      <c r="L138" s="2"/>
      <c r="M138" s="270">
        <f>M102</f>
        <v>485155.74851851858</v>
      </c>
      <c r="O138" s="270">
        <f>O102</f>
        <v>502977.16</v>
      </c>
      <c r="Q138" s="270">
        <f>Q102</f>
        <v>538595.78999999992</v>
      </c>
      <c r="S138" s="270">
        <f>S102</f>
        <v>544302.76851851842</v>
      </c>
      <c r="U138" s="270">
        <f>U102</f>
        <v>660321.04999999993</v>
      </c>
      <c r="V138" s="36"/>
    </row>
    <row r="139" spans="1:22" ht="15.75" thickTop="1">
      <c r="G139" s="523" t="s">
        <v>911</v>
      </c>
      <c r="I139" s="270">
        <f>I137-I138</f>
        <v>-2296.9699999999721</v>
      </c>
      <c r="K139" s="270">
        <f>K137-K138</f>
        <v>0</v>
      </c>
      <c r="M139" s="270">
        <f>M137-M138</f>
        <v>0</v>
      </c>
      <c r="O139" s="270">
        <f>O137-O138</f>
        <v>0</v>
      </c>
      <c r="Q139" s="270">
        <f>Q137-Q138</f>
        <v>0</v>
      </c>
      <c r="S139" s="270">
        <f>S137-S138</f>
        <v>0</v>
      </c>
      <c r="U139" s="270">
        <f>U137-U138</f>
        <v>0</v>
      </c>
      <c r="V139" s="36"/>
    </row>
    <row r="140" spans="1:22">
      <c r="V140" s="36"/>
    </row>
  </sheetData>
  <mergeCells count="47">
    <mergeCell ref="H9:I9"/>
    <mergeCell ref="H4:I4"/>
    <mergeCell ref="H5:I5"/>
    <mergeCell ref="H6:I6"/>
    <mergeCell ref="H7:I7"/>
    <mergeCell ref="H8:I8"/>
    <mergeCell ref="A106:B106"/>
    <mergeCell ref="A110:B110"/>
    <mergeCell ref="A114:B114"/>
    <mergeCell ref="A118:B118"/>
    <mergeCell ref="A122:B122"/>
    <mergeCell ref="J7:K7"/>
    <mergeCell ref="J8:K8"/>
    <mergeCell ref="J9:K9"/>
    <mergeCell ref="N8:O8"/>
    <mergeCell ref="N9:O9"/>
    <mergeCell ref="L9:M9"/>
    <mergeCell ref="T4:U4"/>
    <mergeCell ref="N4:O4"/>
    <mergeCell ref="P4:Q4"/>
    <mergeCell ref="L6:M6"/>
    <mergeCell ref="T6:U6"/>
    <mergeCell ref="R5:S5"/>
    <mergeCell ref="R6:S6"/>
    <mergeCell ref="T5:U5"/>
    <mergeCell ref="P5:Q5"/>
    <mergeCell ref="P6:Q6"/>
    <mergeCell ref="R4:S4"/>
    <mergeCell ref="J5:K5"/>
    <mergeCell ref="J6:K6"/>
    <mergeCell ref="N5:O5"/>
    <mergeCell ref="N6:O6"/>
    <mergeCell ref="J4:K4"/>
    <mergeCell ref="L5:M5"/>
    <mergeCell ref="L4:M4"/>
    <mergeCell ref="T9:U9"/>
    <mergeCell ref="L7:M7"/>
    <mergeCell ref="T7:U7"/>
    <mergeCell ref="L8:M8"/>
    <mergeCell ref="T8:U8"/>
    <mergeCell ref="N7:O7"/>
    <mergeCell ref="R7:S7"/>
    <mergeCell ref="R8:S8"/>
    <mergeCell ref="R9:S9"/>
    <mergeCell ref="P7:Q7"/>
    <mergeCell ref="P8:Q8"/>
    <mergeCell ref="P9:Q9"/>
  </mergeCells>
  <phoneticPr fontId="14" type="noConversion"/>
  <conditionalFormatting sqref="H11:H19">
    <cfRule type="cellIs" dxfId="23" priority="1" operator="equal">
      <formula>"X"</formula>
    </cfRule>
    <cfRule type="cellIs" dxfId="22" priority="2" operator="equal">
      <formula>"I"</formula>
    </cfRule>
  </conditionalFormatting>
  <conditionalFormatting sqref="H21:H97">
    <cfRule type="cellIs" dxfId="21" priority="9" operator="equal">
      <formula>"X"</formula>
    </cfRule>
    <cfRule type="cellIs" dxfId="20" priority="10" operator="equal">
      <formula>"I"</formula>
    </cfRule>
  </conditionalFormatting>
  <conditionalFormatting sqref="J11:J19 L11:L19 N11:N19 P11:P19 R11:R19 T11:T19 N21:N97 P21:P97 R21:R97 T21:T97 L95:L97">
    <cfRule type="cellIs" dxfId="19" priority="25" operator="equal">
      <formula>"X"</formula>
    </cfRule>
    <cfRule type="cellIs" dxfId="18" priority="26" operator="equal">
      <formula>"I"</formula>
    </cfRule>
  </conditionalFormatting>
  <conditionalFormatting sqref="J21:J97">
    <cfRule type="cellIs" dxfId="17" priority="3" operator="equal">
      <formula>"X"</formula>
    </cfRule>
    <cfRule type="cellIs" dxfId="16" priority="4" operator="equal">
      <formula>"I"</formula>
    </cfRule>
  </conditionalFormatting>
  <conditionalFormatting sqref="L21:L92">
    <cfRule type="cellIs" dxfId="15" priority="11" operator="equal">
      <formula>"X"</formula>
    </cfRule>
    <cfRule type="cellIs" dxfId="14" priority="12" operator="equal">
      <formula>"I"</formula>
    </cfRule>
  </conditionalFormatting>
  <hyperlinks>
    <hyperlink ref="B4" location="'Cost Summary'!A1" display="BACK TO SUMMARY SHEET" xr:uid="{35498684-39AB-400C-B141-294CC3AD8B85}"/>
    <hyperlink ref="L8" r:id="rId1" xr:uid="{2C921D6C-93FF-4452-B497-25FBDE4BD4A6}"/>
    <hyperlink ref="T8" r:id="rId2" xr:uid="{60F8D843-3346-42AC-8222-019AD60A284A}"/>
    <hyperlink ref="N8" r:id="rId3" xr:uid="{56EB2018-A0D4-4317-8F75-3B20E79D744D}"/>
    <hyperlink ref="R8" r:id="rId4" xr:uid="{DA6353F6-A7C8-4437-9AEB-6258DCA6D53B}"/>
    <hyperlink ref="J8" r:id="rId5" xr:uid="{F62CE71B-3F80-438B-B51A-5E83D48A468B}"/>
    <hyperlink ref="P8" r:id="rId6" xr:uid="{BB3C0F26-4352-4ECF-BC67-3564108D33CC}"/>
    <hyperlink ref="H8" r:id="rId7" xr:uid="{845C92F4-3633-4287-B9F1-3BABDE4B0528}"/>
  </hyperlinks>
  <pageMargins left="0.7" right="0.7" top="0.75" bottom="0.75" header="0.3" footer="0.3"/>
  <pageSetup orientation="portrait" horizontalDpi="300" verticalDpi="300" r:id="rId8"/>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7095-97FE-4E41-80D3-DD36C0A44ED1}">
  <dimension ref="A1:AO92"/>
  <sheetViews>
    <sheetView zoomScale="90" zoomScaleNormal="90" workbookViewId="0">
      <pane xSplit="2" ySplit="10" topLeftCell="E31" activePane="bottomRight" state="frozen"/>
      <selection pane="topRight" activeCell="C1" sqref="C1"/>
      <selection pane="bottomLeft" activeCell="A10" sqref="A10"/>
      <selection pane="bottomRight" activeCell="H52" sqref="H52:S52"/>
    </sheetView>
  </sheetViews>
  <sheetFormatPr defaultRowHeight="15"/>
  <cols>
    <col min="1" max="1" width="11" customWidth="1"/>
    <col min="2" max="2" width="70.7109375" style="1" customWidth="1"/>
    <col min="3" max="4" width="12.7109375" style="2" customWidth="1"/>
    <col min="5" max="5" width="7.7109375" style="2" customWidth="1"/>
    <col min="6" max="6" width="12.7109375" style="281" customWidth="1"/>
    <col min="7" max="7" width="15.7109375" style="270" customWidth="1"/>
    <col min="8" max="8" width="7.7109375" style="270" customWidth="1"/>
    <col min="9" max="9" width="15.7109375" style="270" customWidth="1"/>
    <col min="10" max="10" width="7.7109375" style="270" customWidth="1"/>
    <col min="11" max="11" width="15.7109375" style="270" customWidth="1"/>
    <col min="12" max="12" width="7.7109375" style="270" customWidth="1"/>
    <col min="13" max="13" width="15.7109375" style="270" customWidth="1"/>
    <col min="14" max="14" width="7.7109375" style="270" customWidth="1"/>
    <col min="15" max="15" width="15.7109375" style="270" customWidth="1"/>
    <col min="16" max="16" width="7.7109375" style="270" customWidth="1"/>
    <col min="17" max="17" width="15.7109375" style="270" customWidth="1"/>
    <col min="18" max="18" width="7.7109375" style="270" customWidth="1"/>
    <col min="19" max="19" width="15.7109375" style="270" customWidth="1"/>
  </cols>
  <sheetData>
    <row r="1" spans="1:24">
      <c r="D1" s="260"/>
      <c r="E1" s="68"/>
      <c r="F1" s="275"/>
      <c r="G1" s="269" t="s">
        <v>679</v>
      </c>
      <c r="X1" s="261"/>
    </row>
    <row r="2" spans="1:24">
      <c r="D2" s="260"/>
      <c r="E2" s="68"/>
      <c r="F2" s="276" t="s">
        <v>680</v>
      </c>
      <c r="G2" s="269" t="s">
        <v>681</v>
      </c>
      <c r="X2" s="261"/>
    </row>
    <row r="3" spans="1:24" ht="15.75" thickBot="1">
      <c r="D3" s="260"/>
      <c r="E3" s="68"/>
      <c r="F3" s="277" t="s">
        <v>682</v>
      </c>
      <c r="G3" s="269" t="s">
        <v>683</v>
      </c>
      <c r="X3" s="261"/>
    </row>
    <row r="4" spans="1:24" ht="15.75" thickBot="1">
      <c r="B4" s="262" t="s">
        <v>684</v>
      </c>
      <c r="D4" s="260"/>
      <c r="E4" s="68"/>
      <c r="F4" s="278"/>
      <c r="G4" s="270" t="s">
        <v>685</v>
      </c>
      <c r="H4" s="2319" t="s">
        <v>686</v>
      </c>
      <c r="I4" s="2320"/>
      <c r="J4" s="2319" t="s">
        <v>687</v>
      </c>
      <c r="K4" s="2320"/>
      <c r="L4" s="2319" t="s">
        <v>688</v>
      </c>
      <c r="M4" s="2320"/>
      <c r="N4" s="2319" t="s">
        <v>689</v>
      </c>
      <c r="O4" s="2320"/>
      <c r="P4" s="2319" t="s">
        <v>773</v>
      </c>
      <c r="Q4" s="2320"/>
      <c r="R4" s="2319" t="s">
        <v>774</v>
      </c>
      <c r="S4" s="2320"/>
      <c r="X4" s="261"/>
    </row>
    <row r="5" spans="1:24" ht="15.75" thickTop="1">
      <c r="A5" s="292" t="s">
        <v>692</v>
      </c>
      <c r="B5" s="299" t="str">
        <f>'Area Calculations'!B4</f>
        <v>ERAU Residential Hall &amp; Garage Building</v>
      </c>
      <c r="C5" s="294"/>
      <c r="D5" s="263"/>
      <c r="E5" s="264"/>
      <c r="F5" s="279"/>
      <c r="G5" s="271" t="s">
        <v>693</v>
      </c>
      <c r="H5" s="2321"/>
      <c r="I5" s="2322"/>
      <c r="J5" s="2321"/>
      <c r="K5" s="2322"/>
      <c r="L5" s="2321"/>
      <c r="M5" s="2322"/>
      <c r="N5" s="2321"/>
      <c r="O5" s="2322"/>
      <c r="P5" s="2333"/>
      <c r="Q5" s="2334"/>
      <c r="R5" s="2333"/>
      <c r="S5" s="2334"/>
      <c r="X5" s="261"/>
    </row>
    <row r="6" spans="1:24">
      <c r="A6" s="1082" t="s">
        <v>700</v>
      </c>
      <c r="B6" s="2016" t="s">
        <v>2969</v>
      </c>
      <c r="C6" s="415"/>
      <c r="D6" s="416"/>
      <c r="E6" s="417"/>
      <c r="F6" s="418"/>
      <c r="G6" s="419" t="s">
        <v>702</v>
      </c>
      <c r="H6" s="2325"/>
      <c r="I6" s="2326"/>
      <c r="J6" s="2325"/>
      <c r="K6" s="2326"/>
      <c r="L6" s="2325"/>
      <c r="M6" s="2326"/>
      <c r="N6" s="2325"/>
      <c r="O6" s="2326"/>
      <c r="P6" s="2313"/>
      <c r="Q6" s="2314"/>
      <c r="R6" s="2313"/>
      <c r="S6" s="2314"/>
      <c r="X6" s="261"/>
    </row>
    <row r="7" spans="1:24">
      <c r="A7" s="1082" t="s">
        <v>706</v>
      </c>
      <c r="B7" s="2017" t="s">
        <v>2970</v>
      </c>
      <c r="C7" s="415"/>
      <c r="D7" s="416"/>
      <c r="E7" s="417"/>
      <c r="F7" s="418"/>
      <c r="G7" s="829" t="s">
        <v>708</v>
      </c>
      <c r="H7" s="2325"/>
      <c r="I7" s="2326"/>
      <c r="J7" s="2325"/>
      <c r="K7" s="2326"/>
      <c r="L7" s="2325"/>
      <c r="M7" s="2326"/>
      <c r="N7" s="2325"/>
      <c r="O7" s="2326"/>
      <c r="P7" s="2313"/>
      <c r="Q7" s="2314"/>
      <c r="R7" s="2313"/>
      <c r="S7" s="2314"/>
      <c r="X7" s="261"/>
    </row>
    <row r="8" spans="1:24">
      <c r="A8" s="1082" t="s">
        <v>712</v>
      </c>
      <c r="B8" s="2018"/>
      <c r="C8" s="415"/>
      <c r="D8" s="416"/>
      <c r="E8" s="417"/>
      <c r="F8" s="418"/>
      <c r="G8" s="829" t="s">
        <v>713</v>
      </c>
      <c r="H8" s="2329"/>
      <c r="I8" s="2328"/>
      <c r="J8" s="2329"/>
      <c r="K8" s="2328"/>
      <c r="L8" s="2329"/>
      <c r="M8" s="2328"/>
      <c r="N8" s="2329"/>
      <c r="O8" s="2328"/>
      <c r="P8" s="2315"/>
      <c r="Q8" s="2316"/>
      <c r="R8" s="2315"/>
      <c r="S8" s="2316"/>
      <c r="X8" s="261"/>
    </row>
    <row r="9" spans="1:24" ht="15.75" thickBot="1">
      <c r="A9" s="420"/>
      <c r="B9" s="421"/>
      <c r="C9" s="23"/>
      <c r="D9" s="265"/>
      <c r="E9" s="266"/>
      <c r="F9" s="283"/>
      <c r="G9" s="284" t="s">
        <v>717</v>
      </c>
      <c r="H9" s="2317">
        <f>I55</f>
        <v>0</v>
      </c>
      <c r="I9" s="2318"/>
      <c r="J9" s="2317">
        <f>K55</f>
        <v>0</v>
      </c>
      <c r="K9" s="2318"/>
      <c r="L9" s="2317">
        <f>M55</f>
        <v>0</v>
      </c>
      <c r="M9" s="2318"/>
      <c r="N9" s="2330">
        <f>O55</f>
        <v>0</v>
      </c>
      <c r="O9" s="2330"/>
      <c r="P9" s="2317">
        <f>Q55</f>
        <v>0</v>
      </c>
      <c r="Q9" s="2318"/>
      <c r="R9" s="2317">
        <f>S55</f>
        <v>0</v>
      </c>
      <c r="S9" s="2318"/>
      <c r="X9" s="261"/>
    </row>
    <row r="10" spans="1:24" s="267" customFormat="1" ht="32.1" customHeight="1" thickBot="1">
      <c r="A10" s="293"/>
      <c r="B10" s="300"/>
      <c r="C10" s="295" t="s">
        <v>718</v>
      </c>
      <c r="D10" s="287" t="s">
        <v>719</v>
      </c>
      <c r="E10" s="286" t="s">
        <v>720</v>
      </c>
      <c r="F10" s="288" t="s">
        <v>721</v>
      </c>
      <c r="G10" s="289" t="s">
        <v>722</v>
      </c>
      <c r="H10" s="290" t="s">
        <v>723</v>
      </c>
      <c r="I10" s="290" t="s">
        <v>724</v>
      </c>
      <c r="J10" s="290" t="s">
        <v>723</v>
      </c>
      <c r="K10" s="290" t="s">
        <v>724</v>
      </c>
      <c r="L10" s="290" t="s">
        <v>723</v>
      </c>
      <c r="M10" s="290" t="s">
        <v>724</v>
      </c>
      <c r="N10" s="290" t="s">
        <v>723</v>
      </c>
      <c r="O10" s="290" t="s">
        <v>724</v>
      </c>
      <c r="P10" s="290" t="s">
        <v>723</v>
      </c>
      <c r="Q10" s="290" t="s">
        <v>724</v>
      </c>
      <c r="R10" s="290" t="s">
        <v>723</v>
      </c>
      <c r="S10" s="291" t="s">
        <v>724</v>
      </c>
      <c r="X10" s="268"/>
    </row>
    <row r="11" spans="1:24" ht="15.75">
      <c r="A11" s="2040"/>
      <c r="B11" s="2064" t="s">
        <v>725</v>
      </c>
      <c r="C11" s="2135"/>
      <c r="D11" s="2042"/>
      <c r="E11" s="2042"/>
      <c r="F11" s="2043"/>
      <c r="G11" s="2044"/>
      <c r="H11" s="2068"/>
      <c r="I11" s="2046"/>
      <c r="J11" s="2068"/>
      <c r="K11" s="285"/>
      <c r="L11" s="2068"/>
      <c r="M11" s="2047"/>
      <c r="N11" s="2068"/>
      <c r="O11" s="2047"/>
      <c r="P11" s="2068"/>
      <c r="Q11" s="2047"/>
      <c r="R11" s="2068"/>
      <c r="S11" s="2047"/>
    </row>
    <row r="12" spans="1:24">
      <c r="A12" s="2040"/>
      <c r="B12" s="2019" t="s">
        <v>726</v>
      </c>
      <c r="C12" s="446"/>
      <c r="D12" s="422"/>
      <c r="E12" s="422"/>
      <c r="F12" s="418"/>
      <c r="G12" s="423"/>
      <c r="H12" s="2020"/>
      <c r="I12" s="2046"/>
      <c r="J12" s="2020"/>
      <c r="K12" s="2047"/>
      <c r="L12" s="2020"/>
      <c r="M12" s="2047"/>
      <c r="N12" s="2020"/>
      <c r="O12" s="2047"/>
      <c r="P12" s="2020"/>
      <c r="Q12" s="2047"/>
      <c r="R12" s="2020"/>
      <c r="S12" s="2047"/>
    </row>
    <row r="13" spans="1:24">
      <c r="A13" s="1097"/>
      <c r="B13" s="2019" t="s">
        <v>728</v>
      </c>
      <c r="C13" s="446"/>
      <c r="D13" s="422"/>
      <c r="E13" s="422"/>
      <c r="F13" s="418"/>
      <c r="G13" s="423"/>
      <c r="H13" s="2020"/>
      <c r="I13" s="2046"/>
      <c r="J13" s="2020"/>
      <c r="K13" s="2047"/>
      <c r="L13" s="2020"/>
      <c r="M13" s="2047"/>
      <c r="N13" s="2020"/>
      <c r="O13" s="2047"/>
      <c r="P13" s="2020"/>
      <c r="Q13" s="2047"/>
      <c r="R13" s="2020"/>
      <c r="S13" s="2047"/>
    </row>
    <row r="14" spans="1:24">
      <c r="A14" s="2040"/>
      <c r="B14" s="2021" t="s">
        <v>729</v>
      </c>
      <c r="C14" s="446"/>
      <c r="D14" s="422"/>
      <c r="E14" s="422"/>
      <c r="F14" s="418"/>
      <c r="G14" s="423"/>
      <c r="H14" s="2020"/>
      <c r="I14" s="2046"/>
      <c r="J14" s="2020"/>
      <c r="K14" s="2047"/>
      <c r="L14" s="2020"/>
      <c r="M14" s="2047"/>
      <c r="N14" s="2020"/>
      <c r="O14" s="2047"/>
      <c r="P14" s="2020"/>
      <c r="Q14" s="2047"/>
      <c r="R14" s="2020"/>
      <c r="S14" s="2047"/>
    </row>
    <row r="15" spans="1:24">
      <c r="A15" s="1097"/>
      <c r="B15" s="2021" t="s">
        <v>731</v>
      </c>
      <c r="C15" s="446"/>
      <c r="D15" s="422"/>
      <c r="E15" s="422"/>
      <c r="F15" s="418"/>
      <c r="G15" s="423"/>
      <c r="H15" s="2020"/>
      <c r="I15" s="2046"/>
      <c r="J15" s="2020"/>
      <c r="K15" s="2046"/>
      <c r="L15" s="2020"/>
      <c r="M15" s="2046"/>
      <c r="N15" s="2020"/>
      <c r="O15" s="2046"/>
      <c r="P15" s="2020"/>
      <c r="Q15" s="2046"/>
      <c r="R15" s="2020"/>
      <c r="S15" s="2046"/>
    </row>
    <row r="16" spans="1:24">
      <c r="A16" s="2040"/>
      <c r="B16" s="2021" t="s">
        <v>732</v>
      </c>
      <c r="C16" s="446"/>
      <c r="D16" s="422"/>
      <c r="E16" s="422"/>
      <c r="F16" s="418"/>
      <c r="G16" s="423"/>
      <c r="H16" s="2020"/>
      <c r="I16" s="2046"/>
      <c r="J16" s="2020"/>
      <c r="K16" s="2047"/>
      <c r="L16" s="2020"/>
      <c r="M16" s="2047"/>
      <c r="N16" s="2020"/>
      <c r="O16" s="2047"/>
      <c r="P16" s="2020"/>
      <c r="Q16" s="2047"/>
      <c r="R16" s="2020"/>
      <c r="S16" s="2047"/>
    </row>
    <row r="17" spans="1:41">
      <c r="A17" s="1097"/>
      <c r="B17" s="2021" t="s">
        <v>733</v>
      </c>
      <c r="C17" s="446"/>
      <c r="D17" s="422"/>
      <c r="E17" s="422"/>
      <c r="F17" s="418"/>
      <c r="G17" s="423"/>
      <c r="H17" s="2020"/>
      <c r="I17" s="2046"/>
      <c r="J17" s="2020"/>
      <c r="K17" s="2047"/>
      <c r="L17" s="2020"/>
      <c r="M17" s="2047"/>
      <c r="N17" s="2020"/>
      <c r="O17" s="2047"/>
      <c r="P17" s="2020"/>
      <c r="Q17" s="2047"/>
      <c r="R17" s="2020"/>
      <c r="S17" s="2047"/>
    </row>
    <row r="18" spans="1:41">
      <c r="A18" s="2040"/>
      <c r="B18" s="1988" t="s">
        <v>736</v>
      </c>
      <c r="C18" s="446"/>
      <c r="D18" s="422"/>
      <c r="E18" s="422"/>
      <c r="F18" s="418"/>
      <c r="G18" s="423"/>
      <c r="H18" s="2020"/>
      <c r="I18" s="2046"/>
      <c r="J18" s="2020"/>
      <c r="K18" s="2047"/>
      <c r="L18" s="2020"/>
      <c r="M18" s="2047"/>
      <c r="N18" s="2020"/>
      <c r="O18" s="2047"/>
      <c r="P18" s="2020"/>
      <c r="Q18" s="2047"/>
      <c r="R18" s="2020"/>
      <c r="S18" s="2047"/>
    </row>
    <row r="19" spans="1:41">
      <c r="A19" s="1097"/>
      <c r="B19" s="2136" t="s">
        <v>737</v>
      </c>
      <c r="C19" s="447"/>
      <c r="D19" s="425"/>
      <c r="E19" s="425"/>
      <c r="F19" s="426"/>
      <c r="G19" s="427"/>
      <c r="H19" s="1989"/>
      <c r="I19" s="2024"/>
      <c r="J19" s="1989"/>
      <c r="K19" s="2025"/>
      <c r="L19" s="1989"/>
      <c r="M19" s="2025"/>
      <c r="N19" s="1989"/>
      <c r="O19" s="2025"/>
      <c r="P19" s="1989"/>
      <c r="Q19" s="2025"/>
      <c r="R19" s="1989"/>
      <c r="S19" s="2025"/>
    </row>
    <row r="20" spans="1:41">
      <c r="A20" s="2040"/>
      <c r="B20" s="1104"/>
      <c r="C20" s="70"/>
      <c r="D20" s="86"/>
      <c r="E20" s="86"/>
      <c r="F20" s="280"/>
      <c r="G20" s="274"/>
      <c r="H20" s="2020"/>
      <c r="I20" s="428"/>
      <c r="J20" s="2020"/>
      <c r="K20" s="428"/>
      <c r="L20" s="2020"/>
      <c r="M20" s="428"/>
      <c r="N20" s="2020"/>
      <c r="O20" s="428"/>
      <c r="P20" s="2020"/>
      <c r="Q20" s="428"/>
      <c r="R20" s="2020"/>
      <c r="S20" s="428"/>
    </row>
    <row r="21" spans="1:41" s="69" customFormat="1">
      <c r="A21" s="1097"/>
      <c r="B21" s="2006"/>
      <c r="C21" s="415"/>
      <c r="D21" s="422"/>
      <c r="E21" s="422"/>
      <c r="F21" s="429"/>
      <c r="G21" s="423"/>
      <c r="H21" s="2020"/>
      <c r="I21" s="1107"/>
      <c r="J21" s="2020"/>
      <c r="K21" s="1992"/>
      <c r="L21" s="2020"/>
      <c r="M21" s="1992"/>
      <c r="N21" s="2020"/>
      <c r="O21" s="1107"/>
      <c r="P21" s="2020"/>
      <c r="Q21" s="1107"/>
      <c r="R21" s="2020"/>
      <c r="S21" s="1992"/>
      <c r="T21"/>
      <c r="U21"/>
      <c r="V21"/>
      <c r="W21"/>
      <c r="X21"/>
      <c r="Y21"/>
      <c r="Z21"/>
      <c r="AA21"/>
      <c r="AB21"/>
      <c r="AC21"/>
      <c r="AD21"/>
      <c r="AE21"/>
      <c r="AF21"/>
      <c r="AG21"/>
      <c r="AH21"/>
      <c r="AI21"/>
      <c r="AJ21"/>
      <c r="AK21"/>
      <c r="AL21"/>
      <c r="AM21"/>
      <c r="AN21"/>
      <c r="AO21"/>
    </row>
    <row r="22" spans="1:41">
      <c r="A22" s="2040"/>
      <c r="B22" s="2051"/>
      <c r="C22" s="2137"/>
      <c r="D22" s="2138"/>
      <c r="E22" s="2042"/>
      <c r="F22" s="2139"/>
      <c r="G22" s="2140"/>
      <c r="H22" s="2020"/>
      <c r="I22" s="2047"/>
      <c r="J22" s="2020"/>
      <c r="K22" s="2047"/>
      <c r="L22" s="2020"/>
      <c r="M22" s="2047"/>
      <c r="N22" s="2020"/>
      <c r="O22" s="2047"/>
      <c r="P22" s="2020"/>
      <c r="Q22" s="2047"/>
      <c r="R22" s="2020"/>
      <c r="S22" s="2047"/>
    </row>
    <row r="23" spans="1:41">
      <c r="A23" s="1097"/>
      <c r="B23" s="2051"/>
      <c r="C23" s="415"/>
      <c r="D23" s="430"/>
      <c r="E23" s="422"/>
      <c r="F23" s="431"/>
      <c r="G23" s="2140"/>
      <c r="H23" s="2020"/>
      <c r="I23" s="2047"/>
      <c r="J23" s="2020"/>
      <c r="K23" s="2047"/>
      <c r="L23" s="2020"/>
      <c r="M23" s="2047"/>
      <c r="N23" s="2020"/>
      <c r="O23" s="2047"/>
      <c r="P23" s="2020"/>
      <c r="Q23" s="2047"/>
      <c r="R23" s="2020"/>
      <c r="S23" s="2047"/>
    </row>
    <row r="24" spans="1:41">
      <c r="A24" s="2040"/>
      <c r="B24" s="2051"/>
      <c r="C24" s="415"/>
      <c r="D24" s="430"/>
      <c r="E24" s="422"/>
      <c r="F24" s="431"/>
      <c r="G24" s="2140"/>
      <c r="H24" s="2020"/>
      <c r="I24" s="2047"/>
      <c r="J24" s="2020"/>
      <c r="K24" s="2047"/>
      <c r="L24" s="2020"/>
      <c r="M24" s="2047"/>
      <c r="N24" s="2020"/>
      <c r="O24" s="2047"/>
      <c r="P24" s="2020"/>
      <c r="Q24" s="2047"/>
      <c r="R24" s="2020"/>
      <c r="S24" s="2047"/>
    </row>
    <row r="25" spans="1:41">
      <c r="A25" s="1097"/>
      <c r="B25" s="2051"/>
      <c r="C25" s="415"/>
      <c r="D25" s="430"/>
      <c r="E25" s="422"/>
      <c r="F25" s="431"/>
      <c r="G25" s="2140"/>
      <c r="H25" s="2020"/>
      <c r="I25" s="2047"/>
      <c r="J25" s="2020"/>
      <c r="K25" s="2047"/>
      <c r="L25" s="2020"/>
      <c r="M25" s="2047"/>
      <c r="N25" s="2020"/>
      <c r="O25" s="2047"/>
      <c r="P25" s="2020"/>
      <c r="Q25" s="2047"/>
      <c r="R25" s="2020"/>
      <c r="S25" s="2047"/>
    </row>
    <row r="26" spans="1:41">
      <c r="A26" s="2040"/>
      <c r="B26" s="2051"/>
      <c r="C26" s="415"/>
      <c r="D26" s="430"/>
      <c r="E26" s="422"/>
      <c r="F26" s="431"/>
      <c r="G26" s="2140"/>
      <c r="H26" s="2020"/>
      <c r="I26" s="2047"/>
      <c r="J26" s="2020"/>
      <c r="K26" s="2047"/>
      <c r="L26" s="2020"/>
      <c r="M26" s="2047"/>
      <c r="N26" s="2020"/>
      <c r="O26" s="2047"/>
      <c r="P26" s="2020"/>
      <c r="Q26" s="2047"/>
      <c r="R26" s="2020"/>
      <c r="S26" s="2047"/>
    </row>
    <row r="27" spans="1:41">
      <c r="A27" s="1097"/>
      <c r="B27" s="2051"/>
      <c r="C27" s="415"/>
      <c r="D27" s="430"/>
      <c r="E27" s="422"/>
      <c r="F27" s="431"/>
      <c r="G27" s="2140"/>
      <c r="H27" s="2020"/>
      <c r="I27" s="2047"/>
      <c r="J27" s="2020"/>
      <c r="K27" s="2047"/>
      <c r="L27" s="2020"/>
      <c r="M27" s="2047"/>
      <c r="N27" s="2020"/>
      <c r="O27" s="2047"/>
      <c r="P27" s="2020"/>
      <c r="Q27" s="2047"/>
      <c r="R27" s="2020"/>
      <c r="S27" s="2047"/>
    </row>
    <row r="28" spans="1:41">
      <c r="A28" s="2040"/>
      <c r="B28" s="2051"/>
      <c r="C28" s="415"/>
      <c r="D28" s="430"/>
      <c r="E28" s="422"/>
      <c r="F28" s="431"/>
      <c r="G28" s="2140"/>
      <c r="H28" s="2020"/>
      <c r="I28" s="2047"/>
      <c r="J28" s="2020"/>
      <c r="K28" s="2047"/>
      <c r="L28" s="2020"/>
      <c r="M28" s="2047"/>
      <c r="N28" s="2020"/>
      <c r="O28" s="2047"/>
      <c r="P28" s="2020"/>
      <c r="Q28" s="2047"/>
      <c r="R28" s="2020"/>
      <c r="S28" s="2047"/>
    </row>
    <row r="29" spans="1:41">
      <c r="A29" s="1097"/>
      <c r="B29" s="2051"/>
      <c r="C29" s="415"/>
      <c r="D29" s="430"/>
      <c r="E29" s="422"/>
      <c r="F29" s="431"/>
      <c r="G29" s="2140"/>
      <c r="H29" s="2020"/>
      <c r="I29" s="2047"/>
      <c r="J29" s="2020"/>
      <c r="K29" s="2047"/>
      <c r="L29" s="2020"/>
      <c r="M29" s="2047"/>
      <c r="N29" s="2020"/>
      <c r="O29" s="2047"/>
      <c r="P29" s="2020"/>
      <c r="Q29" s="2047"/>
      <c r="R29" s="2020"/>
      <c r="S29" s="2047"/>
    </row>
    <row r="30" spans="1:41">
      <c r="A30" s="2040"/>
      <c r="B30" s="2051"/>
      <c r="C30" s="415"/>
      <c r="D30" s="430"/>
      <c r="E30" s="422"/>
      <c r="F30" s="431"/>
      <c r="G30" s="2140"/>
      <c r="H30" s="2020"/>
      <c r="I30" s="2047"/>
      <c r="J30" s="2020"/>
      <c r="K30" s="2047"/>
      <c r="L30" s="2020"/>
      <c r="M30" s="2047"/>
      <c r="N30" s="2020"/>
      <c r="O30" s="2047"/>
      <c r="P30" s="2020"/>
      <c r="Q30" s="2047"/>
      <c r="R30" s="2020"/>
      <c r="S30" s="2047"/>
    </row>
    <row r="31" spans="1:41">
      <c r="A31" s="1097"/>
      <c r="B31" s="2051"/>
      <c r="C31" s="415"/>
      <c r="D31" s="430"/>
      <c r="E31" s="422"/>
      <c r="F31" s="431"/>
      <c r="G31" s="2140"/>
      <c r="H31" s="2020"/>
      <c r="I31" s="2047"/>
      <c r="J31" s="2020"/>
      <c r="K31" s="2047"/>
      <c r="L31" s="2020"/>
      <c r="M31" s="2047"/>
      <c r="N31" s="2020"/>
      <c r="O31" s="2047"/>
      <c r="P31" s="2020"/>
      <c r="Q31" s="2047"/>
      <c r="R31" s="2020"/>
      <c r="S31" s="2047"/>
    </row>
    <row r="32" spans="1:41">
      <c r="A32" s="2040"/>
      <c r="B32" s="1999"/>
      <c r="C32" s="23"/>
      <c r="D32" s="430"/>
      <c r="E32" s="422"/>
      <c r="F32" s="431"/>
      <c r="G32" s="2140"/>
      <c r="H32" s="2020"/>
      <c r="I32" s="2047"/>
      <c r="J32" s="2020"/>
      <c r="K32" s="2047"/>
      <c r="L32" s="2020"/>
      <c r="M32" s="2047"/>
      <c r="N32" s="2020"/>
      <c r="O32" s="2047"/>
      <c r="P32" s="2020"/>
      <c r="Q32" s="2047"/>
      <c r="R32" s="2020"/>
      <c r="S32" s="2047"/>
    </row>
    <row r="33" spans="1:19">
      <c r="A33" s="1097"/>
      <c r="B33" s="1999"/>
      <c r="C33" s="23"/>
      <c r="D33" s="87"/>
      <c r="E33" s="86"/>
      <c r="F33" s="431"/>
      <c r="G33" s="2140"/>
      <c r="H33" s="2020"/>
      <c r="I33" s="2047"/>
      <c r="J33" s="2020"/>
      <c r="K33" s="2047"/>
      <c r="L33" s="2020"/>
      <c r="M33" s="2047"/>
      <c r="N33" s="2020"/>
      <c r="O33" s="2047"/>
      <c r="P33" s="2020"/>
      <c r="Q33" s="2047"/>
      <c r="R33" s="2020"/>
      <c r="S33" s="2047"/>
    </row>
    <row r="34" spans="1:19">
      <c r="A34" s="2040"/>
      <c r="B34" s="1999"/>
      <c r="C34" s="23"/>
      <c r="D34" s="87"/>
      <c r="E34" s="86"/>
      <c r="F34" s="431"/>
      <c r="G34" s="2140"/>
      <c r="H34" s="2020"/>
      <c r="I34" s="2047"/>
      <c r="J34" s="2020"/>
      <c r="K34" s="2047"/>
      <c r="L34" s="2020"/>
      <c r="M34" s="2047"/>
      <c r="N34" s="2020"/>
      <c r="O34" s="2047"/>
      <c r="P34" s="2020"/>
      <c r="Q34" s="2047"/>
      <c r="R34" s="2020"/>
      <c r="S34" s="2047"/>
    </row>
    <row r="35" spans="1:19">
      <c r="A35" s="2040"/>
      <c r="B35" s="1999"/>
      <c r="C35" s="23"/>
      <c r="D35" s="87"/>
      <c r="E35" s="86"/>
      <c r="F35" s="431"/>
      <c r="G35" s="2140"/>
      <c r="H35" s="2020"/>
      <c r="I35" s="2047"/>
      <c r="J35" s="2020"/>
      <c r="K35" s="2047"/>
      <c r="L35" s="2020"/>
      <c r="M35" s="2047"/>
      <c r="N35" s="2020"/>
      <c r="O35" s="2047"/>
      <c r="P35" s="2020"/>
      <c r="Q35" s="2047"/>
      <c r="R35" s="2020"/>
      <c r="S35" s="2047"/>
    </row>
    <row r="36" spans="1:19">
      <c r="A36" s="2040"/>
      <c r="B36" s="1999"/>
      <c r="C36" s="23"/>
      <c r="D36" s="87"/>
      <c r="E36" s="86"/>
      <c r="F36" s="431"/>
      <c r="G36" s="2140"/>
      <c r="H36" s="2020"/>
      <c r="I36" s="2047"/>
      <c r="J36" s="2020"/>
      <c r="K36" s="2047"/>
      <c r="L36" s="2020"/>
      <c r="M36" s="2047"/>
      <c r="N36" s="2020"/>
      <c r="O36" s="2047"/>
      <c r="P36" s="2020"/>
      <c r="Q36" s="2047"/>
      <c r="R36" s="2020"/>
      <c r="S36" s="2047"/>
    </row>
    <row r="37" spans="1:19">
      <c r="A37" s="2040"/>
      <c r="B37" s="1999"/>
      <c r="C37" s="23"/>
      <c r="D37" s="87"/>
      <c r="E37" s="86"/>
      <c r="F37" s="431"/>
      <c r="G37" s="2140"/>
      <c r="H37" s="2020"/>
      <c r="I37" s="2047"/>
      <c r="J37" s="2020"/>
      <c r="K37" s="2047"/>
      <c r="L37" s="2020"/>
      <c r="M37" s="2047"/>
      <c r="N37" s="2020"/>
      <c r="O37" s="2047"/>
      <c r="P37" s="2020"/>
      <c r="Q37" s="2047"/>
      <c r="R37" s="2020"/>
      <c r="S37" s="2047"/>
    </row>
    <row r="38" spans="1:19">
      <c r="A38" s="2040"/>
      <c r="B38" s="1999"/>
      <c r="C38" s="23"/>
      <c r="D38" s="87"/>
      <c r="E38" s="86"/>
      <c r="F38" s="431"/>
      <c r="G38" s="2140"/>
      <c r="H38" s="2020"/>
      <c r="I38" s="2047"/>
      <c r="J38" s="2020"/>
      <c r="K38" s="2047"/>
      <c r="L38" s="2020"/>
      <c r="M38" s="2047"/>
      <c r="N38" s="2020"/>
      <c r="O38" s="2047"/>
      <c r="P38" s="2020"/>
      <c r="Q38" s="2047"/>
      <c r="R38" s="2020"/>
      <c r="S38" s="2047"/>
    </row>
    <row r="39" spans="1:19">
      <c r="A39" s="2040"/>
      <c r="B39" s="1999"/>
      <c r="C39" s="23"/>
      <c r="D39" s="87"/>
      <c r="E39" s="86"/>
      <c r="F39" s="431"/>
      <c r="G39" s="2140"/>
      <c r="H39" s="2020"/>
      <c r="I39" s="2047"/>
      <c r="J39" s="2020"/>
      <c r="K39" s="2047"/>
      <c r="L39" s="2020"/>
      <c r="M39" s="2047"/>
      <c r="N39" s="2020"/>
      <c r="O39" s="2047"/>
      <c r="P39" s="2020"/>
      <c r="Q39" s="2047"/>
      <c r="R39" s="2020"/>
      <c r="S39" s="2047"/>
    </row>
    <row r="40" spans="1:19">
      <c r="A40" s="2040"/>
      <c r="B40" s="1999"/>
      <c r="C40" s="23"/>
      <c r="D40" s="87"/>
      <c r="E40" s="86"/>
      <c r="F40" s="431"/>
      <c r="G40" s="2140"/>
      <c r="H40" s="2020"/>
      <c r="I40" s="2047"/>
      <c r="J40" s="2020"/>
      <c r="K40" s="2047"/>
      <c r="L40" s="2020"/>
      <c r="M40" s="2047"/>
      <c r="N40" s="2020"/>
      <c r="O40" s="2047"/>
      <c r="P40" s="2020"/>
      <c r="Q40" s="2047"/>
      <c r="R40" s="2020"/>
      <c r="S40" s="2047"/>
    </row>
    <row r="41" spans="1:19">
      <c r="A41" s="2040"/>
      <c r="B41" s="1999"/>
      <c r="C41" s="23"/>
      <c r="D41" s="87"/>
      <c r="E41" s="86"/>
      <c r="F41" s="431"/>
      <c r="G41" s="2140"/>
      <c r="H41" s="2020"/>
      <c r="I41" s="2047"/>
      <c r="J41" s="2020"/>
      <c r="K41" s="2047"/>
      <c r="L41" s="2020"/>
      <c r="M41" s="2047"/>
      <c r="N41" s="2020"/>
      <c r="O41" s="2047"/>
      <c r="P41" s="2020"/>
      <c r="Q41" s="2047"/>
      <c r="R41" s="2020"/>
      <c r="S41" s="2047"/>
    </row>
    <row r="42" spans="1:19">
      <c r="A42" s="2040"/>
      <c r="B42" s="1999"/>
      <c r="C42" s="23"/>
      <c r="D42" s="87"/>
      <c r="E42" s="86"/>
      <c r="F42" s="431"/>
      <c r="G42" s="2140"/>
      <c r="H42" s="2020"/>
      <c r="I42" s="2047"/>
      <c r="J42" s="2020"/>
      <c r="K42" s="2047"/>
      <c r="L42" s="2020"/>
      <c r="M42" s="2047"/>
      <c r="N42" s="2020"/>
      <c r="O42" s="2047"/>
      <c r="P42" s="2020"/>
      <c r="Q42" s="2047"/>
      <c r="R42" s="2020"/>
      <c r="S42" s="2047"/>
    </row>
    <row r="43" spans="1:19">
      <c r="A43" s="2040"/>
      <c r="B43" s="1999"/>
      <c r="C43" s="23"/>
      <c r="D43" s="87"/>
      <c r="E43" s="86"/>
      <c r="F43" s="431"/>
      <c r="G43" s="2140"/>
      <c r="H43" s="2020"/>
      <c r="I43" s="2047"/>
      <c r="J43" s="2020"/>
      <c r="K43" s="2047"/>
      <c r="L43" s="2020"/>
      <c r="M43" s="2047"/>
      <c r="N43" s="2020"/>
      <c r="O43" s="2047"/>
      <c r="P43" s="2020"/>
      <c r="Q43" s="2047"/>
      <c r="R43" s="2020"/>
      <c r="S43" s="2047"/>
    </row>
    <row r="44" spans="1:19">
      <c r="A44" s="2040"/>
      <c r="B44" s="1999"/>
      <c r="C44" s="23"/>
      <c r="D44" s="87"/>
      <c r="E44" s="86"/>
      <c r="F44" s="431"/>
      <c r="G44" s="2140"/>
      <c r="H44" s="2020"/>
      <c r="I44" s="2047"/>
      <c r="J44" s="2020"/>
      <c r="K44" s="2047"/>
      <c r="L44" s="2020"/>
      <c r="M44" s="2047"/>
      <c r="N44" s="2020"/>
      <c r="O44" s="2047"/>
      <c r="P44" s="2020"/>
      <c r="Q44" s="2047"/>
      <c r="R44" s="2020"/>
      <c r="S44" s="2047"/>
    </row>
    <row r="45" spans="1:19">
      <c r="A45" s="2040"/>
      <c r="B45" s="1999"/>
      <c r="C45" s="23"/>
      <c r="D45" s="87"/>
      <c r="E45" s="86"/>
      <c r="F45" s="431"/>
      <c r="G45" s="2140"/>
      <c r="H45" s="2020"/>
      <c r="I45" s="2047"/>
      <c r="J45" s="2020"/>
      <c r="K45" s="2047"/>
      <c r="L45" s="2020"/>
      <c r="M45" s="2047"/>
      <c r="N45" s="2020"/>
      <c r="O45" s="2047"/>
      <c r="P45" s="2020"/>
      <c r="Q45" s="2047"/>
      <c r="R45" s="2020"/>
      <c r="S45" s="2047"/>
    </row>
    <row r="46" spans="1:19">
      <c r="A46" s="2040"/>
      <c r="B46" s="1999"/>
      <c r="C46" s="23"/>
      <c r="D46" s="87"/>
      <c r="E46" s="86"/>
      <c r="F46" s="431"/>
      <c r="G46" s="2140"/>
      <c r="H46" s="2020"/>
      <c r="I46" s="2047"/>
      <c r="J46" s="2020"/>
      <c r="K46" s="2047"/>
      <c r="L46" s="2020"/>
      <c r="M46" s="2047"/>
      <c r="N46" s="2020"/>
      <c r="O46" s="2047"/>
      <c r="P46" s="2020"/>
      <c r="Q46" s="2047"/>
      <c r="R46" s="2020"/>
      <c r="S46" s="2047"/>
    </row>
    <row r="47" spans="1:19">
      <c r="A47" s="2040"/>
      <c r="B47" s="1999"/>
      <c r="C47" s="23"/>
      <c r="D47" s="87"/>
      <c r="E47" s="86"/>
      <c r="F47" s="431"/>
      <c r="G47" s="2140"/>
      <c r="H47" s="2020"/>
      <c r="I47" s="2047"/>
      <c r="J47" s="2020"/>
      <c r="K47" s="2047"/>
      <c r="L47" s="2020"/>
      <c r="M47" s="2047"/>
      <c r="N47" s="2020"/>
      <c r="O47" s="2047"/>
      <c r="P47" s="2020"/>
      <c r="Q47" s="2047"/>
      <c r="R47" s="2020"/>
      <c r="S47" s="2047"/>
    </row>
    <row r="48" spans="1:19">
      <c r="A48" s="2040"/>
      <c r="B48" s="1999"/>
      <c r="C48" s="23"/>
      <c r="D48" s="87"/>
      <c r="E48" s="86"/>
      <c r="F48" s="431"/>
      <c r="G48" s="2140"/>
      <c r="H48" s="2020"/>
      <c r="I48" s="2047"/>
      <c r="J48" s="2020"/>
      <c r="K48" s="2047"/>
      <c r="L48" s="2020"/>
      <c r="M48" s="2047"/>
      <c r="N48" s="2020"/>
      <c r="O48" s="2047"/>
      <c r="P48" s="2020"/>
      <c r="Q48" s="2047"/>
      <c r="R48" s="2020"/>
      <c r="S48" s="2047"/>
    </row>
    <row r="49" spans="1:34">
      <c r="A49" s="2040"/>
      <c r="B49" s="1999"/>
      <c r="C49" s="23"/>
      <c r="D49" s="87"/>
      <c r="E49" s="86"/>
      <c r="F49" s="431"/>
      <c r="G49" s="830"/>
      <c r="H49" s="2020"/>
      <c r="I49" s="2047"/>
      <c r="J49" s="2020"/>
      <c r="K49" s="2047"/>
      <c r="L49" s="2020"/>
      <c r="M49" s="2047"/>
      <c r="N49" s="2020"/>
      <c r="O49" s="2047"/>
      <c r="P49" s="2020"/>
      <c r="Q49" s="2047"/>
      <c r="R49" s="2020"/>
      <c r="S49" s="2047"/>
    </row>
    <row r="50" spans="1:34" ht="15.75" thickBot="1">
      <c r="A50" s="2040"/>
      <c r="B50" s="1999"/>
      <c r="C50" s="23"/>
      <c r="D50" s="87"/>
      <c r="E50" s="86"/>
      <c r="F50" s="431"/>
      <c r="G50" s="830"/>
      <c r="H50" s="2020"/>
      <c r="I50" s="2047"/>
      <c r="J50" s="2020"/>
      <c r="K50" s="2047"/>
      <c r="L50" s="2020"/>
      <c r="M50" s="2047"/>
      <c r="N50" s="2020"/>
      <c r="O50" s="2047"/>
      <c r="P50" s="2020"/>
      <c r="Q50" s="2047"/>
      <c r="R50" s="2020"/>
      <c r="S50" s="2047"/>
    </row>
    <row r="51" spans="1:34" ht="15.75" thickTop="1">
      <c r="A51" s="296"/>
      <c r="B51" s="301"/>
      <c r="C51" s="297"/>
      <c r="D51" s="15"/>
      <c r="E51" s="16"/>
      <c r="F51" s="282" t="s">
        <v>753</v>
      </c>
      <c r="G51" s="272"/>
      <c r="H51" s="273"/>
      <c r="I51" s="273">
        <f>SUM(I21:I50)</f>
        <v>0</v>
      </c>
      <c r="J51" s="273"/>
      <c r="K51" s="273">
        <f>SUM(K21:K50)</f>
        <v>0</v>
      </c>
      <c r="L51" s="273"/>
      <c r="M51" s="273">
        <f>SUM(M21:M50)</f>
        <v>0</v>
      </c>
      <c r="N51" s="273"/>
      <c r="O51" s="273">
        <f>SUM(O21:O50)</f>
        <v>0</v>
      </c>
      <c r="P51" s="273"/>
      <c r="Q51" s="273">
        <f>SUM(Q21:Q50)</f>
        <v>0</v>
      </c>
      <c r="R51" s="273"/>
      <c r="S51" s="273">
        <f>SUM(S21:S50)</f>
        <v>0</v>
      </c>
    </row>
    <row r="52" spans="1:34">
      <c r="A52" s="1114"/>
      <c r="B52" s="2000"/>
      <c r="C52" s="432"/>
      <c r="D52" s="433"/>
      <c r="E52" s="434"/>
      <c r="F52" s="435" t="s">
        <v>754</v>
      </c>
      <c r="G52" s="436"/>
      <c r="H52" s="2003">
        <v>0</v>
      </c>
      <c r="I52" s="2002"/>
      <c r="J52" s="2003">
        <v>0</v>
      </c>
      <c r="K52" s="2002"/>
      <c r="L52" s="2003">
        <v>0</v>
      </c>
      <c r="M52" s="2002"/>
      <c r="N52" s="2003">
        <v>0</v>
      </c>
      <c r="O52" s="2002"/>
      <c r="P52" s="2003">
        <v>0</v>
      </c>
      <c r="Q52" s="2002"/>
      <c r="R52" s="2003">
        <v>0</v>
      </c>
      <c r="S52" s="2002"/>
    </row>
    <row r="53" spans="1:34">
      <c r="A53" s="1114"/>
      <c r="B53" s="2000"/>
      <c r="C53" s="432"/>
      <c r="D53" s="433"/>
      <c r="E53" s="434"/>
      <c r="F53" s="435" t="s">
        <v>755</v>
      </c>
      <c r="G53" s="436"/>
      <c r="H53" s="2002"/>
      <c r="I53" s="2002">
        <f>I51*H52</f>
        <v>0</v>
      </c>
      <c r="J53" s="2002"/>
      <c r="K53" s="2002">
        <f>K51*J52</f>
        <v>0</v>
      </c>
      <c r="L53" s="2002"/>
      <c r="M53" s="2002">
        <f>M51*L52</f>
        <v>0</v>
      </c>
      <c r="N53" s="2002"/>
      <c r="O53" s="2002">
        <f>O51*N52</f>
        <v>0</v>
      </c>
      <c r="P53" s="2002"/>
      <c r="Q53" s="2002">
        <f>Q51*P52</f>
        <v>0</v>
      </c>
      <c r="R53" s="2002"/>
      <c r="S53" s="2002">
        <f>S51*R52</f>
        <v>0</v>
      </c>
    </row>
    <row r="54" spans="1:34">
      <c r="A54" s="1114"/>
      <c r="B54" s="2000"/>
      <c r="C54" s="432"/>
      <c r="D54" s="433"/>
      <c r="E54" s="434"/>
      <c r="F54" s="435"/>
      <c r="G54" s="436"/>
      <c r="H54" s="2002"/>
      <c r="I54" s="2002"/>
      <c r="J54" s="2002"/>
      <c r="K54" s="2002"/>
      <c r="L54" s="2002"/>
      <c r="M54" s="2002"/>
      <c r="N54" s="2002"/>
      <c r="O54" s="2002"/>
      <c r="P54" s="2002"/>
      <c r="Q54" s="2002"/>
      <c r="R54" s="2002"/>
      <c r="S54" s="2002"/>
    </row>
    <row r="55" spans="1:34">
      <c r="A55" s="1114"/>
      <c r="B55" s="2000"/>
      <c r="C55" s="432"/>
      <c r="D55" s="433"/>
      <c r="E55" s="434"/>
      <c r="F55" s="435" t="s">
        <v>756</v>
      </c>
      <c r="G55" s="436"/>
      <c r="H55" s="2002"/>
      <c r="I55" s="2002">
        <f>SUM(I51:I53)</f>
        <v>0</v>
      </c>
      <c r="J55" s="2002"/>
      <c r="K55" s="2002">
        <f>SUM(K51:K53)</f>
        <v>0</v>
      </c>
      <c r="L55" s="2002"/>
      <c r="M55" s="2002">
        <f>SUM(M51:M53)</f>
        <v>0</v>
      </c>
      <c r="N55" s="2002"/>
      <c r="O55" s="2002">
        <f>SUM(O51:O53)</f>
        <v>0</v>
      </c>
      <c r="P55" s="2002"/>
      <c r="Q55" s="2002">
        <f>SUM(Q51:Q53)</f>
        <v>0</v>
      </c>
      <c r="R55" s="2002"/>
      <c r="S55" s="2002">
        <f>SUM(S51:S53)</f>
        <v>0</v>
      </c>
    </row>
    <row r="56" spans="1:34">
      <c r="A56" s="1114"/>
      <c r="B56" s="2000"/>
      <c r="C56" s="432"/>
      <c r="D56" s="433"/>
      <c r="E56" s="434"/>
      <c r="F56" s="437" t="s">
        <v>757</v>
      </c>
      <c r="G56" s="438"/>
      <c r="H56" s="2004"/>
      <c r="I56" s="2004">
        <f>I55/'Area Calculations'!$G$4</f>
        <v>0</v>
      </c>
      <c r="J56" s="2004"/>
      <c r="K56" s="2004">
        <f>K55/'Area Calculations'!$G$4</f>
        <v>0</v>
      </c>
      <c r="L56" s="2004"/>
      <c r="M56" s="2004">
        <f>M55/'Area Calculations'!$G$4</f>
        <v>0</v>
      </c>
      <c r="N56" s="2004"/>
      <c r="O56" s="2004">
        <f>O55/'Area Calculations'!$G$4</f>
        <v>0</v>
      </c>
      <c r="P56" s="2004"/>
      <c r="Q56" s="2004">
        <f>Q55/'Area Calculations'!$G$4</f>
        <v>0</v>
      </c>
      <c r="R56" s="2004"/>
      <c r="S56" s="2004">
        <f>S55/'Area Calculations'!$G$4</f>
        <v>0</v>
      </c>
    </row>
    <row r="57" spans="1:34">
      <c r="A57" s="1114"/>
      <c r="B57" s="2000"/>
      <c r="C57" s="432"/>
      <c r="D57" s="433"/>
      <c r="E57" s="434"/>
      <c r="F57" s="437" t="s">
        <v>758</v>
      </c>
      <c r="G57" s="438"/>
      <c r="H57" s="2004"/>
      <c r="I57" s="2004">
        <f>I55/'Area Calculations'!$G$9</f>
        <v>0</v>
      </c>
      <c r="J57" s="2004"/>
      <c r="K57" s="2004">
        <f>K55/'Area Calculations'!$G$9</f>
        <v>0</v>
      </c>
      <c r="L57" s="2004"/>
      <c r="M57" s="2004">
        <f>M55/'Area Calculations'!$G$9</f>
        <v>0</v>
      </c>
      <c r="N57" s="2004"/>
      <c r="O57" s="2004">
        <f>O55/'Area Calculations'!$G$9</f>
        <v>0</v>
      </c>
      <c r="P57" s="2004"/>
      <c r="Q57" s="2004">
        <f>Q55/'Area Calculations'!$G$9</f>
        <v>0</v>
      </c>
      <c r="R57" s="2004"/>
      <c r="S57" s="2004">
        <f>S55/'Area Calculations'!$G$9</f>
        <v>0</v>
      </c>
    </row>
    <row r="58" spans="1:34" ht="15.75" thickBot="1">
      <c r="A58" s="1114"/>
      <c r="B58" s="2000"/>
      <c r="C58" s="432"/>
      <c r="D58" s="433"/>
      <c r="E58" s="434"/>
      <c r="F58" s="439"/>
      <c r="G58" s="436"/>
      <c r="H58" s="2005"/>
      <c r="I58" s="2005"/>
      <c r="J58" s="2005"/>
      <c r="K58" s="2005"/>
      <c r="L58" s="2005"/>
      <c r="M58" s="2005"/>
      <c r="N58" s="2005"/>
      <c r="O58" s="2005"/>
      <c r="P58" s="2005"/>
      <c r="Q58" s="2005"/>
      <c r="R58" s="2005"/>
      <c r="S58" s="2005"/>
    </row>
    <row r="59" spans="1:34" ht="16.5" thickTop="1" thickBot="1">
      <c r="A59" s="2331" t="s">
        <v>759</v>
      </c>
      <c r="B59" s="2332"/>
      <c r="C59" s="298"/>
      <c r="D59" s="12"/>
      <c r="E59" s="12"/>
      <c r="F59" s="12"/>
      <c r="G59" s="26"/>
      <c r="H59" s="24"/>
      <c r="I59" s="20"/>
      <c r="J59" s="20"/>
      <c r="K59" s="20"/>
      <c r="L59" s="20"/>
      <c r="M59" s="20"/>
      <c r="N59" s="20"/>
      <c r="O59" s="20"/>
      <c r="P59" s="20"/>
      <c r="Q59" s="20"/>
      <c r="R59" s="20"/>
      <c r="S59" s="20"/>
    </row>
    <row r="60" spans="1:34" ht="15.75" thickTop="1">
      <c r="A60" s="2141"/>
      <c r="B60" s="2006"/>
      <c r="C60" s="2137"/>
      <c r="D60" s="2042"/>
      <c r="E60" s="2042"/>
      <c r="F60" s="2042"/>
      <c r="G60" s="2142"/>
      <c r="H60" s="2143"/>
      <c r="I60" s="2144"/>
      <c r="J60" s="2144"/>
      <c r="K60" s="2144"/>
      <c r="L60" s="2144"/>
      <c r="M60" s="2144"/>
      <c r="N60" s="2144"/>
      <c r="O60" s="2144"/>
      <c r="P60" s="2144"/>
      <c r="Q60" s="2144"/>
      <c r="R60" s="2144"/>
      <c r="S60" s="2144"/>
    </row>
    <row r="61" spans="1:34">
      <c r="A61" s="2141"/>
      <c r="B61" s="2006"/>
      <c r="C61" s="2137"/>
      <c r="D61" s="2042"/>
      <c r="E61" s="2042"/>
      <c r="F61" s="2042"/>
      <c r="G61" s="2142"/>
      <c r="H61" s="2143"/>
      <c r="I61" s="2144"/>
      <c r="J61" s="2144"/>
      <c r="K61" s="2144"/>
      <c r="L61" s="2144"/>
      <c r="M61" s="2144"/>
      <c r="N61" s="2144"/>
      <c r="O61" s="2144"/>
      <c r="P61" s="2144"/>
      <c r="Q61" s="2144"/>
      <c r="R61" s="2144"/>
      <c r="S61" s="2144"/>
    </row>
    <row r="62" spans="1:34" ht="15.75" thickBot="1">
      <c r="A62" s="2141"/>
      <c r="B62" s="2006"/>
      <c r="C62" s="2137"/>
      <c r="D62" s="2042"/>
      <c r="E62" s="2042"/>
      <c r="F62" s="2042"/>
      <c r="G62" s="2142"/>
      <c r="H62" s="2143"/>
      <c r="I62" s="2144"/>
      <c r="J62" s="2144"/>
      <c r="K62" s="2144"/>
      <c r="L62" s="2144"/>
      <c r="M62" s="2144"/>
      <c r="N62" s="2144"/>
      <c r="O62" s="2144"/>
      <c r="P62" s="2144"/>
      <c r="Q62" s="2144"/>
      <c r="R62" s="2144"/>
      <c r="S62" s="2144"/>
    </row>
    <row r="63" spans="1:34" s="2" customFormat="1" ht="16.5" thickTop="1" thickBot="1">
      <c r="A63" s="2331" t="s">
        <v>760</v>
      </c>
      <c r="B63" s="2332"/>
      <c r="C63" s="298"/>
      <c r="D63" s="12"/>
      <c r="E63" s="12"/>
      <c r="F63" s="12"/>
      <c r="G63" s="26"/>
      <c r="H63" s="24"/>
      <c r="I63" s="20"/>
      <c r="J63" s="20"/>
      <c r="K63" s="20"/>
      <c r="L63" s="20"/>
      <c r="M63" s="20"/>
      <c r="N63" s="20"/>
      <c r="O63" s="20"/>
      <c r="P63" s="20"/>
      <c r="Q63" s="20"/>
      <c r="R63" s="20"/>
      <c r="S63" s="20"/>
      <c r="T63"/>
      <c r="U63"/>
      <c r="V63"/>
      <c r="W63"/>
      <c r="X63"/>
      <c r="Y63"/>
      <c r="Z63"/>
      <c r="AA63"/>
      <c r="AB63"/>
      <c r="AC63"/>
      <c r="AD63"/>
      <c r="AE63"/>
      <c r="AF63"/>
      <c r="AG63"/>
      <c r="AH63"/>
    </row>
    <row r="64" spans="1:34" s="2" customFormat="1" ht="15.75" thickTop="1">
      <c r="A64" s="2141"/>
      <c r="B64" s="2006"/>
      <c r="C64" s="2137"/>
      <c r="D64" s="2042"/>
      <c r="E64" s="2042"/>
      <c r="F64" s="2042"/>
      <c r="G64" s="2142"/>
      <c r="H64" s="2143"/>
      <c r="I64" s="2144"/>
      <c r="J64" s="2144"/>
      <c r="K64" s="2144"/>
      <c r="L64" s="2144"/>
      <c r="M64" s="2144"/>
      <c r="N64" s="2144"/>
      <c r="O64" s="2144"/>
      <c r="P64" s="2144"/>
      <c r="Q64" s="2144"/>
      <c r="R64" s="2144"/>
      <c r="S64" s="2144"/>
      <c r="T64"/>
      <c r="U64"/>
      <c r="V64"/>
      <c r="W64"/>
      <c r="X64"/>
      <c r="Y64"/>
      <c r="Z64"/>
      <c r="AA64"/>
      <c r="AB64"/>
      <c r="AC64"/>
      <c r="AD64"/>
      <c r="AE64"/>
      <c r="AF64"/>
      <c r="AG64"/>
      <c r="AH64"/>
    </row>
    <row r="65" spans="1:34" s="2" customFormat="1">
      <c r="A65" s="2141"/>
      <c r="B65" s="2006"/>
      <c r="C65" s="2137"/>
      <c r="D65" s="2042"/>
      <c r="E65" s="2042"/>
      <c r="F65" s="2042"/>
      <c r="G65" s="2142"/>
      <c r="H65" s="2143"/>
      <c r="I65" s="2144"/>
      <c r="J65" s="2144"/>
      <c r="K65" s="2144"/>
      <c r="L65" s="2144"/>
      <c r="M65" s="2144"/>
      <c r="N65" s="2144"/>
      <c r="O65" s="2144"/>
      <c r="P65" s="2144"/>
      <c r="Q65" s="2144"/>
      <c r="R65" s="2144"/>
      <c r="S65" s="2144"/>
      <c r="T65"/>
      <c r="U65"/>
      <c r="V65"/>
      <c r="W65"/>
      <c r="X65"/>
      <c r="Y65"/>
      <c r="Z65"/>
      <c r="AA65"/>
      <c r="AB65"/>
      <c r="AC65"/>
      <c r="AD65"/>
      <c r="AE65"/>
      <c r="AF65"/>
      <c r="AG65"/>
      <c r="AH65"/>
    </row>
    <row r="66" spans="1:34" ht="15.75" thickBot="1">
      <c r="A66" s="2141"/>
      <c r="B66" s="2006"/>
      <c r="C66" s="2137"/>
      <c r="D66" s="2042"/>
      <c r="E66" s="2042"/>
      <c r="F66" s="2042"/>
      <c r="G66" s="2142"/>
      <c r="H66" s="2143"/>
      <c r="I66" s="2144"/>
      <c r="J66" s="2144"/>
      <c r="K66" s="2144"/>
      <c r="L66" s="2144"/>
      <c r="M66" s="2144"/>
      <c r="N66" s="2144"/>
      <c r="O66" s="2144"/>
      <c r="P66" s="2144"/>
      <c r="Q66" s="2144"/>
      <c r="R66" s="2144"/>
      <c r="S66" s="2144"/>
    </row>
    <row r="67" spans="1:34" s="2" customFormat="1" ht="16.5" thickTop="1" thickBot="1">
      <c r="A67" s="2331" t="s">
        <v>761</v>
      </c>
      <c r="B67" s="2332"/>
      <c r="C67" s="298"/>
      <c r="D67" s="12"/>
      <c r="E67" s="12"/>
      <c r="F67" s="12"/>
      <c r="G67" s="26"/>
      <c r="H67" s="24"/>
      <c r="I67" s="20"/>
      <c r="J67" s="20"/>
      <c r="K67" s="20"/>
      <c r="L67" s="20"/>
      <c r="M67" s="20"/>
      <c r="N67" s="20"/>
      <c r="O67" s="20"/>
      <c r="P67" s="20"/>
      <c r="Q67" s="20"/>
      <c r="R67" s="20"/>
      <c r="S67" s="20"/>
      <c r="T67"/>
      <c r="U67"/>
      <c r="V67"/>
      <c r="W67"/>
      <c r="X67"/>
      <c r="Y67"/>
      <c r="Z67"/>
      <c r="AA67"/>
      <c r="AB67"/>
      <c r="AC67"/>
      <c r="AD67"/>
      <c r="AE67"/>
      <c r="AF67"/>
      <c r="AG67"/>
      <c r="AH67"/>
    </row>
    <row r="68" spans="1:34" s="2" customFormat="1" ht="15.75" thickTop="1">
      <c r="A68" s="2141"/>
      <c r="B68" s="2006"/>
      <c r="C68" s="2137"/>
      <c r="D68" s="2042"/>
      <c r="E68" s="2042"/>
      <c r="F68" s="2042"/>
      <c r="G68" s="2142"/>
      <c r="H68" s="2143"/>
      <c r="I68" s="2144"/>
      <c r="J68" s="2144"/>
      <c r="K68" s="2144"/>
      <c r="L68" s="2144"/>
      <c r="M68" s="2144"/>
      <c r="N68" s="2144"/>
      <c r="O68" s="2144"/>
      <c r="P68" s="2144"/>
      <c r="Q68" s="2144"/>
      <c r="R68" s="2144"/>
      <c r="S68" s="2144"/>
      <c r="T68"/>
      <c r="U68"/>
      <c r="V68"/>
      <c r="W68"/>
      <c r="X68"/>
      <c r="Y68"/>
      <c r="Z68"/>
      <c r="AA68"/>
      <c r="AB68"/>
      <c r="AC68"/>
      <c r="AD68"/>
      <c r="AE68"/>
      <c r="AF68"/>
      <c r="AG68"/>
      <c r="AH68"/>
    </row>
    <row r="69" spans="1:34" s="2" customFormat="1">
      <c r="A69" s="1124"/>
      <c r="B69" s="2006"/>
      <c r="C69" s="415"/>
      <c r="D69" s="422"/>
      <c r="E69" s="422"/>
      <c r="F69" s="422"/>
      <c r="G69" s="831"/>
      <c r="H69" s="440"/>
      <c r="I69" s="2007"/>
      <c r="J69" s="2007"/>
      <c r="K69" s="2007"/>
      <c r="L69" s="2007"/>
      <c r="M69" s="2007"/>
      <c r="N69" s="2007"/>
      <c r="O69" s="2007"/>
      <c r="P69" s="2007"/>
      <c r="Q69" s="2007"/>
      <c r="R69" s="2007"/>
      <c r="S69" s="2007"/>
      <c r="T69"/>
      <c r="U69"/>
      <c r="V69"/>
      <c r="W69"/>
      <c r="X69"/>
      <c r="Y69"/>
      <c r="Z69"/>
      <c r="AA69"/>
      <c r="AB69"/>
      <c r="AC69"/>
      <c r="AD69"/>
      <c r="AE69"/>
      <c r="AF69"/>
      <c r="AG69"/>
      <c r="AH69"/>
    </row>
    <row r="70" spans="1:34" s="2" customFormat="1" ht="15.75" thickBot="1">
      <c r="A70" s="1126"/>
      <c r="B70" s="2008"/>
      <c r="C70" s="415"/>
      <c r="D70" s="422"/>
      <c r="E70" s="422"/>
      <c r="F70" s="422"/>
      <c r="G70" s="831"/>
      <c r="H70" s="441"/>
      <c r="I70" s="2009"/>
      <c r="J70" s="2009"/>
      <c r="K70" s="2009"/>
      <c r="L70" s="2009"/>
      <c r="M70" s="2009"/>
      <c r="N70" s="2009"/>
      <c r="O70" s="2009"/>
      <c r="P70" s="2009"/>
      <c r="Q70" s="2009"/>
      <c r="R70" s="2009"/>
      <c r="S70" s="2009"/>
    </row>
    <row r="71" spans="1:34" s="2" customFormat="1" ht="16.5" thickTop="1" thickBot="1">
      <c r="A71" s="2331" t="s">
        <v>762</v>
      </c>
      <c r="B71" s="2332"/>
      <c r="C71" s="298"/>
      <c r="D71" s="12"/>
      <c r="E71" s="12"/>
      <c r="F71" s="12"/>
      <c r="G71" s="26"/>
      <c r="H71" s="24"/>
      <c r="I71" s="20"/>
      <c r="J71" s="20"/>
      <c r="K71" s="20"/>
      <c r="L71" s="20"/>
      <c r="M71" s="20"/>
      <c r="N71" s="20"/>
      <c r="O71" s="20"/>
      <c r="P71" s="20"/>
      <c r="Q71" s="20"/>
      <c r="R71" s="20"/>
      <c r="S71" s="20"/>
      <c r="T71"/>
      <c r="U71"/>
      <c r="V71"/>
      <c r="W71"/>
      <c r="X71"/>
      <c r="Y71"/>
      <c r="Z71"/>
      <c r="AA71"/>
      <c r="AB71"/>
      <c r="AC71"/>
      <c r="AD71"/>
      <c r="AE71"/>
      <c r="AF71"/>
      <c r="AG71"/>
      <c r="AH71"/>
    </row>
    <row r="72" spans="1:34" ht="15.75" thickTop="1">
      <c r="A72" s="2145"/>
      <c r="B72" s="2146"/>
      <c r="C72" s="2137"/>
      <c r="D72" s="2042"/>
      <c r="E72" s="2042"/>
      <c r="F72" s="2042"/>
      <c r="G72" s="2142"/>
      <c r="H72" s="2143"/>
      <c r="I72" s="2144"/>
      <c r="J72" s="2144"/>
      <c r="K72" s="2144"/>
      <c r="L72" s="2144"/>
      <c r="M72" s="2144"/>
      <c r="N72" s="2144"/>
      <c r="O72" s="2144"/>
      <c r="P72" s="2144"/>
      <c r="Q72" s="2144"/>
      <c r="R72" s="2144"/>
      <c r="S72" s="2144"/>
      <c r="T72" s="2"/>
      <c r="U72" s="2"/>
      <c r="V72" s="2"/>
      <c r="W72" s="2"/>
      <c r="X72" s="2"/>
      <c r="Y72" s="2"/>
      <c r="Z72" s="2"/>
      <c r="AA72" s="2"/>
      <c r="AB72" s="2"/>
      <c r="AC72" s="2"/>
      <c r="AD72" s="2"/>
      <c r="AE72" s="2"/>
      <c r="AF72" s="2"/>
      <c r="AG72" s="2"/>
      <c r="AH72" s="2"/>
    </row>
    <row r="73" spans="1:34">
      <c r="A73" s="1126"/>
      <c r="B73" s="2008"/>
      <c r="C73" s="415"/>
      <c r="D73" s="422"/>
      <c r="E73" s="422"/>
      <c r="F73" s="422"/>
      <c r="G73" s="831"/>
      <c r="H73" s="442"/>
      <c r="I73" s="2010"/>
      <c r="J73" s="2010"/>
      <c r="K73" s="2010"/>
      <c r="L73" s="2010"/>
      <c r="M73" s="2010"/>
      <c r="N73" s="2010"/>
      <c r="O73" s="2010"/>
      <c r="P73" s="2010"/>
      <c r="Q73" s="2010"/>
      <c r="R73" s="2010"/>
      <c r="S73" s="2010"/>
      <c r="T73" s="2"/>
      <c r="U73" s="2"/>
      <c r="V73" s="2"/>
      <c r="W73" s="2"/>
      <c r="X73" s="2"/>
      <c r="Y73" s="2"/>
      <c r="Z73" s="2"/>
      <c r="AA73" s="2"/>
      <c r="AB73" s="2"/>
      <c r="AC73" s="2"/>
      <c r="AD73" s="2"/>
      <c r="AE73" s="2"/>
      <c r="AF73" s="2"/>
      <c r="AG73" s="2"/>
      <c r="AH73" s="2"/>
    </row>
    <row r="74" spans="1:34" ht="15.75" thickBot="1">
      <c r="A74" s="1126"/>
      <c r="B74" s="2008"/>
      <c r="C74" s="415"/>
      <c r="D74" s="422"/>
      <c r="E74" s="422"/>
      <c r="F74" s="422"/>
      <c r="G74" s="831"/>
      <c r="H74" s="442"/>
      <c r="I74" s="2010"/>
      <c r="J74" s="2010"/>
      <c r="K74" s="2010"/>
      <c r="L74" s="2010"/>
      <c r="M74" s="2010"/>
      <c r="N74" s="2010"/>
      <c r="O74" s="2010"/>
      <c r="P74" s="2010"/>
      <c r="Q74" s="2010"/>
      <c r="R74" s="2010"/>
      <c r="S74" s="2010"/>
      <c r="T74" s="2"/>
      <c r="U74" s="2"/>
      <c r="V74" s="2"/>
      <c r="W74" s="2"/>
      <c r="X74" s="2"/>
      <c r="Y74" s="2"/>
      <c r="Z74" s="2"/>
      <c r="AA74" s="2"/>
      <c r="AB74" s="2"/>
      <c r="AC74" s="2"/>
      <c r="AD74" s="2"/>
      <c r="AE74" s="2"/>
      <c r="AF74" s="2"/>
      <c r="AG74" s="2"/>
      <c r="AH74" s="2"/>
    </row>
    <row r="75" spans="1:34" ht="16.5" thickTop="1" thickBot="1">
      <c r="A75" s="2331" t="s">
        <v>763</v>
      </c>
      <c r="B75" s="2332"/>
      <c r="C75" s="298"/>
      <c r="D75" s="12"/>
      <c r="E75" s="12"/>
      <c r="F75" s="12"/>
      <c r="G75" s="26"/>
      <c r="H75" s="24"/>
      <c r="I75" s="20"/>
      <c r="J75" s="20"/>
      <c r="K75" s="20"/>
      <c r="L75" s="20"/>
      <c r="M75" s="20"/>
      <c r="N75" s="20"/>
      <c r="O75" s="20"/>
      <c r="P75" s="20"/>
      <c r="Q75" s="20"/>
      <c r="R75" s="20"/>
      <c r="S75" s="20"/>
    </row>
    <row r="76" spans="1:34" ht="15.75" thickTop="1">
      <c r="A76" s="1124"/>
      <c r="B76" s="2006" t="s">
        <v>764</v>
      </c>
      <c r="C76" s="415"/>
      <c r="D76" s="422"/>
      <c r="E76" s="422"/>
      <c r="F76" s="422"/>
      <c r="G76" s="831"/>
      <c r="H76" s="442"/>
      <c r="I76" s="2010"/>
      <c r="J76" s="2010"/>
      <c r="K76" s="2010"/>
      <c r="L76" s="2010"/>
      <c r="M76" s="2010"/>
      <c r="N76" s="2010"/>
      <c r="O76" s="2010"/>
      <c r="P76" s="2010"/>
      <c r="Q76" s="2010"/>
      <c r="R76" s="2010"/>
      <c r="S76" s="2010"/>
    </row>
    <row r="77" spans="1:34">
      <c r="A77" s="1124"/>
      <c r="B77" s="2006" t="s">
        <v>765</v>
      </c>
      <c r="C77" s="415"/>
      <c r="D77" s="422"/>
      <c r="E77" s="422"/>
      <c r="F77" s="422"/>
      <c r="G77" s="831"/>
      <c r="H77" s="442"/>
      <c r="I77" s="2010"/>
      <c r="J77" s="2010"/>
      <c r="K77" s="2010"/>
      <c r="L77" s="2010"/>
      <c r="M77" s="2010"/>
      <c r="N77" s="2010"/>
      <c r="O77" s="2010"/>
      <c r="P77" s="2010"/>
      <c r="Q77" s="2010"/>
      <c r="R77" s="2010"/>
      <c r="S77" s="2010"/>
    </row>
    <row r="78" spans="1:34">
      <c r="A78" s="1124"/>
      <c r="B78" s="2006" t="s">
        <v>766</v>
      </c>
      <c r="C78" s="415"/>
      <c r="D78" s="422"/>
      <c r="E78" s="422"/>
      <c r="F78" s="422"/>
      <c r="G78" s="831"/>
      <c r="H78" s="442"/>
      <c r="I78" s="2010"/>
      <c r="J78" s="2010"/>
      <c r="K78" s="2010"/>
      <c r="L78" s="2010"/>
      <c r="M78" s="2010"/>
      <c r="N78" s="2010"/>
      <c r="O78" s="2010"/>
      <c r="P78" s="2010"/>
      <c r="Q78" s="2010"/>
      <c r="R78" s="2010"/>
      <c r="S78" s="2010"/>
    </row>
    <row r="79" spans="1:34">
      <c r="A79" s="1124"/>
      <c r="B79" s="2006" t="s">
        <v>767</v>
      </c>
      <c r="C79" s="415"/>
      <c r="D79" s="422"/>
      <c r="E79" s="422"/>
      <c r="F79" s="422"/>
      <c r="G79" s="831"/>
      <c r="H79" s="442"/>
      <c r="I79" s="2010"/>
      <c r="J79" s="2010"/>
      <c r="K79" s="2010"/>
      <c r="L79" s="2010"/>
      <c r="M79" s="2010"/>
      <c r="N79" s="2010"/>
      <c r="O79" s="2010"/>
      <c r="P79" s="2010"/>
      <c r="Q79" s="2010"/>
      <c r="R79" s="2010"/>
      <c r="S79" s="2010"/>
    </row>
    <row r="80" spans="1:34" ht="15.75" thickBot="1">
      <c r="A80" s="443"/>
      <c r="B80" s="421"/>
      <c r="C80" s="23"/>
      <c r="D80" s="86"/>
      <c r="E80" s="86"/>
      <c r="F80" s="86"/>
      <c r="G80" s="27"/>
      <c r="H80" s="25"/>
      <c r="I80" s="444"/>
      <c r="J80" s="444"/>
      <c r="K80" s="444"/>
      <c r="L80" s="444"/>
      <c r="M80" s="444"/>
      <c r="N80" s="444"/>
      <c r="O80" s="444"/>
      <c r="P80" s="444"/>
      <c r="Q80" s="444"/>
      <c r="R80" s="444"/>
      <c r="S80" s="444"/>
    </row>
    <row r="81" spans="1:19" ht="16.5" thickTop="1" thickBot="1">
      <c r="A81" s="72" t="s">
        <v>768</v>
      </c>
      <c r="B81" s="73"/>
      <c r="C81" s="298"/>
      <c r="D81" s="12"/>
      <c r="E81" s="12"/>
      <c r="F81" s="12"/>
      <c r="G81" s="26"/>
      <c r="H81" s="24"/>
      <c r="I81" s="20"/>
      <c r="J81" s="20"/>
      <c r="K81" s="20"/>
      <c r="L81" s="20"/>
      <c r="M81" s="20"/>
      <c r="N81" s="20"/>
      <c r="O81" s="20"/>
      <c r="P81" s="20"/>
      <c r="Q81" s="20"/>
      <c r="R81" s="20"/>
      <c r="S81" s="20"/>
    </row>
    <row r="82" spans="1:19" ht="15.75" thickTop="1">
      <c r="A82" s="2141"/>
      <c r="B82" s="2147" t="s">
        <v>769</v>
      </c>
      <c r="C82" s="2137"/>
      <c r="D82" s="2042"/>
      <c r="E82" s="2042"/>
      <c r="F82" s="2042"/>
      <c r="G82" s="2142"/>
      <c r="H82" s="2148"/>
      <c r="I82" s="2149"/>
      <c r="J82" s="2149"/>
      <c r="K82" s="2149"/>
      <c r="L82" s="2149"/>
      <c r="M82" s="2149"/>
      <c r="N82" s="2149"/>
      <c r="O82" s="2149"/>
      <c r="P82" s="2149"/>
      <c r="Q82" s="2149"/>
      <c r="R82" s="2149"/>
      <c r="S82" s="2149"/>
    </row>
    <row r="83" spans="1:19">
      <c r="A83" s="1124"/>
      <c r="B83" s="2006" t="s">
        <v>770</v>
      </c>
      <c r="C83" s="415"/>
      <c r="D83" s="422"/>
      <c r="E83" s="422"/>
      <c r="F83" s="422"/>
      <c r="G83" s="831"/>
      <c r="H83" s="445"/>
      <c r="I83" s="2011"/>
      <c r="J83" s="2011"/>
      <c r="K83" s="2011"/>
      <c r="L83" s="2011"/>
      <c r="M83" s="2011"/>
      <c r="N83" s="2011"/>
      <c r="O83" s="2011"/>
      <c r="P83" s="2011"/>
      <c r="Q83" s="2011"/>
      <c r="R83" s="2011"/>
      <c r="S83" s="2011"/>
    </row>
    <row r="84" spans="1:19" ht="15.75" thickBot="1">
      <c r="A84" s="1183"/>
      <c r="B84" s="1184" t="s">
        <v>771</v>
      </c>
      <c r="C84" s="1185"/>
      <c r="D84" s="1186"/>
      <c r="E84" s="1186"/>
      <c r="F84" s="1186"/>
      <c r="G84" s="1187"/>
      <c r="H84" s="1188"/>
      <c r="I84" s="1189"/>
      <c r="J84" s="1189"/>
      <c r="K84" s="1189"/>
      <c r="L84" s="1189"/>
      <c r="M84" s="1189"/>
      <c r="N84" s="1189"/>
      <c r="O84" s="1189"/>
      <c r="P84" s="1189"/>
      <c r="Q84" s="1189"/>
      <c r="R84" s="1189"/>
      <c r="S84" s="1189"/>
    </row>
    <row r="85" spans="1:19" ht="16.5" thickTop="1" thickBot="1">
      <c r="F85" s="2"/>
      <c r="G85" s="2"/>
      <c r="H85" s="2"/>
      <c r="I85" s="2"/>
      <c r="J85" s="2"/>
      <c r="K85" s="2"/>
      <c r="L85" s="2"/>
      <c r="M85" s="2"/>
      <c r="N85" s="2"/>
      <c r="O85" s="2"/>
      <c r="P85" s="2"/>
      <c r="Q85" s="2"/>
      <c r="R85" s="2"/>
      <c r="S85" s="2"/>
    </row>
    <row r="86" spans="1:19" ht="16.5" thickTop="1" thickBot="1">
      <c r="A86" s="37" t="s">
        <v>772</v>
      </c>
      <c r="B86" s="39"/>
      <c r="F86" s="2"/>
      <c r="G86" s="2"/>
      <c r="H86" s="2"/>
      <c r="I86" s="2"/>
      <c r="J86" s="2"/>
      <c r="K86" s="2"/>
      <c r="L86" s="2"/>
      <c r="M86" s="2"/>
      <c r="N86" s="2"/>
      <c r="O86" s="2"/>
      <c r="P86" s="2"/>
      <c r="Q86" s="2"/>
      <c r="R86" s="2"/>
      <c r="S86" s="2"/>
    </row>
    <row r="87" spans="1:19" ht="15.75" thickTop="1">
      <c r="A87" s="38" t="s">
        <v>693</v>
      </c>
      <c r="B87" s="2039"/>
      <c r="F87" s="2"/>
      <c r="G87" s="2"/>
      <c r="H87" s="2"/>
      <c r="I87" s="2"/>
      <c r="J87" s="2"/>
      <c r="K87" s="2"/>
      <c r="L87" s="2"/>
      <c r="M87" s="2"/>
      <c r="N87" s="2"/>
      <c r="O87" s="2"/>
      <c r="P87" s="2"/>
      <c r="Q87" s="2"/>
      <c r="R87" s="2"/>
      <c r="S87" s="2"/>
    </row>
    <row r="88" spans="1:19">
      <c r="A88" s="1142" t="s">
        <v>702</v>
      </c>
      <c r="B88" s="2039"/>
      <c r="F88" s="2"/>
      <c r="G88" s="2"/>
      <c r="H88" s="2"/>
      <c r="I88" s="2"/>
      <c r="J88" s="2"/>
      <c r="K88" s="2"/>
      <c r="L88" s="2"/>
      <c r="M88" s="2"/>
      <c r="N88" s="2"/>
      <c r="O88" s="2"/>
      <c r="P88" s="2"/>
      <c r="Q88" s="2"/>
      <c r="R88" s="2"/>
      <c r="S88" s="2"/>
    </row>
    <row r="89" spans="1:19">
      <c r="A89" s="2013" t="s">
        <v>708</v>
      </c>
      <c r="B89" s="2014"/>
      <c r="F89" s="2"/>
      <c r="G89" s="2"/>
      <c r="H89" s="2"/>
      <c r="I89" s="2"/>
      <c r="J89" s="2"/>
      <c r="K89" s="2"/>
      <c r="L89" s="2"/>
      <c r="M89" s="2"/>
      <c r="N89" s="2"/>
      <c r="O89" s="2"/>
      <c r="P89" s="2"/>
      <c r="Q89" s="2"/>
      <c r="R89" s="2"/>
      <c r="S89" s="2"/>
    </row>
    <row r="90" spans="1:19">
      <c r="A90" s="2013" t="s">
        <v>713</v>
      </c>
      <c r="B90" s="2015"/>
      <c r="F90" s="2"/>
      <c r="G90" s="2"/>
      <c r="H90" s="2"/>
      <c r="I90" s="2"/>
      <c r="J90" s="2"/>
      <c r="K90" s="2"/>
      <c r="L90" s="2"/>
      <c r="M90" s="2"/>
      <c r="N90" s="2"/>
      <c r="O90" s="2"/>
      <c r="P90" s="2"/>
      <c r="Q90" s="2"/>
      <c r="R90" s="2"/>
      <c r="S90" s="2"/>
    </row>
    <row r="91" spans="1:19" ht="15.75" thickBot="1">
      <c r="A91" s="1194" t="s">
        <v>69</v>
      </c>
      <c r="B91" s="1195"/>
      <c r="F91" s="2"/>
      <c r="G91" s="2"/>
      <c r="H91" s="2"/>
      <c r="I91" s="2"/>
      <c r="J91" s="2"/>
      <c r="K91" s="2"/>
      <c r="L91" s="2"/>
      <c r="M91" s="2"/>
      <c r="N91" s="2"/>
      <c r="O91" s="2"/>
      <c r="P91" s="2"/>
      <c r="Q91" s="2"/>
      <c r="R91" s="2"/>
      <c r="S91" s="2"/>
    </row>
    <row r="92" spans="1:19" ht="15.75" thickTop="1"/>
  </sheetData>
  <mergeCells count="41">
    <mergeCell ref="N9:O9"/>
    <mergeCell ref="P9:Q9"/>
    <mergeCell ref="R9:S9"/>
    <mergeCell ref="N5:O5"/>
    <mergeCell ref="N6:O6"/>
    <mergeCell ref="N7:O7"/>
    <mergeCell ref="N8:O8"/>
    <mergeCell ref="P5:Q5"/>
    <mergeCell ref="P6:Q6"/>
    <mergeCell ref="P7:Q7"/>
    <mergeCell ref="P8:Q8"/>
    <mergeCell ref="R5:S5"/>
    <mergeCell ref="R6:S6"/>
    <mergeCell ref="R7:S7"/>
    <mergeCell ref="R8:S8"/>
    <mergeCell ref="A59:B59"/>
    <mergeCell ref="A63:B63"/>
    <mergeCell ref="A67:B67"/>
    <mergeCell ref="A71:B71"/>
    <mergeCell ref="A75:B75"/>
    <mergeCell ref="H9:I9"/>
    <mergeCell ref="J9:K9"/>
    <mergeCell ref="L9:M9"/>
    <mergeCell ref="H7:I7"/>
    <mergeCell ref="J7:K7"/>
    <mergeCell ref="L7:M7"/>
    <mergeCell ref="H8:I8"/>
    <mergeCell ref="J8:K8"/>
    <mergeCell ref="L8:M8"/>
    <mergeCell ref="H5:I5"/>
    <mergeCell ref="J5:K5"/>
    <mergeCell ref="L5:M5"/>
    <mergeCell ref="H6:I6"/>
    <mergeCell ref="J6:K6"/>
    <mergeCell ref="L6:M6"/>
    <mergeCell ref="R4:S4"/>
    <mergeCell ref="H4:I4"/>
    <mergeCell ref="J4:K4"/>
    <mergeCell ref="L4:M4"/>
    <mergeCell ref="N4:O4"/>
    <mergeCell ref="P4:Q4"/>
  </mergeCells>
  <conditionalFormatting sqref="H11:H18 J11:J18 L11:L18 N11:N18 P11:P18 R11:R18">
    <cfRule type="cellIs" dxfId="13" priority="13" operator="equal">
      <formula>"X"</formula>
    </cfRule>
    <cfRule type="cellIs" dxfId="12" priority="14" operator="equal">
      <formula>"I"</formula>
    </cfRule>
  </conditionalFormatting>
  <conditionalFormatting sqref="H20:H50">
    <cfRule type="cellIs" dxfId="11" priority="1" operator="equal">
      <formula>"X"</formula>
    </cfRule>
    <cfRule type="cellIs" dxfId="10" priority="2" operator="equal">
      <formula>"I"</formula>
    </cfRule>
  </conditionalFormatting>
  <conditionalFormatting sqref="J20:J50">
    <cfRule type="cellIs" dxfId="9" priority="3" operator="equal">
      <formula>"X"</formula>
    </cfRule>
    <cfRule type="cellIs" dxfId="8" priority="4" operator="equal">
      <formula>"I"</formula>
    </cfRule>
  </conditionalFormatting>
  <conditionalFormatting sqref="L20:L50">
    <cfRule type="cellIs" dxfId="7" priority="5" operator="equal">
      <formula>"X"</formula>
    </cfRule>
    <cfRule type="cellIs" dxfId="6" priority="6" operator="equal">
      <formula>"I"</formula>
    </cfRule>
  </conditionalFormatting>
  <conditionalFormatting sqref="N20:N50">
    <cfRule type="cellIs" dxfId="5" priority="7" operator="equal">
      <formula>"X"</formula>
    </cfRule>
    <cfRule type="cellIs" dxfId="4" priority="8" operator="equal">
      <formula>"I"</formula>
    </cfRule>
  </conditionalFormatting>
  <conditionalFormatting sqref="P20:P50">
    <cfRule type="cellIs" dxfId="3" priority="9" operator="equal">
      <formula>"X"</formula>
    </cfRule>
    <cfRule type="cellIs" dxfId="2" priority="10" operator="equal">
      <formula>"I"</formula>
    </cfRule>
  </conditionalFormatting>
  <conditionalFormatting sqref="R20:R50">
    <cfRule type="cellIs" dxfId="1" priority="11" operator="equal">
      <formula>"X"</formula>
    </cfRule>
    <cfRule type="cellIs" dxfId="0" priority="12" operator="equal">
      <formula>"I"</formula>
    </cfRule>
  </conditionalFormatting>
  <hyperlinks>
    <hyperlink ref="B4" location="'Cost Summary'!A1" display="BACK TO SUMMARY SHEET" xr:uid="{E1500767-1754-45BD-AC48-DC0ABD6062CE}"/>
  </hyperlink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0717-7ED9-4DF9-8627-C95B6C913AF4}">
  <dimension ref="A1:AH118"/>
  <sheetViews>
    <sheetView zoomScale="85" zoomScaleNormal="85" workbookViewId="0">
      <pane xSplit="2" ySplit="9" topLeftCell="C56" activePane="bottomRight" state="frozen"/>
      <selection pane="topRight" activeCell="C1" sqref="C1"/>
      <selection pane="bottomLeft" activeCell="A10" sqref="A10"/>
      <selection pane="bottomRight" activeCell="I74" sqref="I74:I75"/>
    </sheetView>
  </sheetViews>
  <sheetFormatPr defaultRowHeight="15"/>
  <cols>
    <col min="1" max="1" width="11" customWidth="1"/>
    <col min="2" max="2" width="70.7109375" style="1" customWidth="1"/>
    <col min="3" max="3" width="10.85546875" style="2" bestFit="1" customWidth="1"/>
    <col min="4" max="5" width="7.5703125" style="2" customWidth="1"/>
    <col min="6" max="6" width="16.5703125" style="2" bestFit="1"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64"/>
      <c r="G1" s="62" t="s">
        <v>679</v>
      </c>
    </row>
    <row r="2" spans="1:19" ht="15.75" thickBot="1">
      <c r="E2" s="43"/>
      <c r="F2" s="61"/>
      <c r="G2" s="62" t="s">
        <v>681</v>
      </c>
      <c r="H2" s="2364"/>
      <c r="I2" s="2364"/>
      <c r="J2" s="2364"/>
      <c r="K2" s="2364"/>
      <c r="L2" s="2364"/>
      <c r="M2" s="2364"/>
      <c r="N2" s="2364"/>
      <c r="O2" s="2364"/>
      <c r="P2" s="2364"/>
      <c r="Q2" s="2364"/>
      <c r="R2" s="2364"/>
      <c r="S2" s="2364"/>
    </row>
    <row r="3" spans="1:19" ht="21" thickBot="1">
      <c r="B3" s="74" t="s">
        <v>684</v>
      </c>
      <c r="F3" s="63"/>
      <c r="G3" s="62" t="s">
        <v>683</v>
      </c>
      <c r="H3" s="2319" t="s">
        <v>686</v>
      </c>
      <c r="I3" s="2320"/>
      <c r="J3" s="2319" t="s">
        <v>687</v>
      </c>
      <c r="K3" s="2320"/>
      <c r="L3" s="2319" t="s">
        <v>688</v>
      </c>
      <c r="M3" s="2320"/>
      <c r="N3" s="2319" t="s">
        <v>689</v>
      </c>
      <c r="O3" s="2320"/>
      <c r="P3" s="2319" t="s">
        <v>773</v>
      </c>
      <c r="Q3" s="2320"/>
      <c r="R3" s="2319" t="s">
        <v>774</v>
      </c>
      <c r="S3" s="2320"/>
    </row>
    <row r="4" spans="1:19" ht="15.75" thickTop="1">
      <c r="A4" s="3" t="s">
        <v>692</v>
      </c>
      <c r="B4" s="4" t="str">
        <f>'Area Calculations'!B4</f>
        <v>ERAU Residential Hall &amp; Garage Building</v>
      </c>
      <c r="C4" s="5"/>
      <c r="D4" s="5"/>
      <c r="E4" s="5"/>
      <c r="F4" s="5"/>
      <c r="G4" s="6" t="s">
        <v>693</v>
      </c>
      <c r="H4" s="2362"/>
      <c r="I4" s="2363"/>
      <c r="J4" s="2362"/>
      <c r="K4" s="2363"/>
      <c r="L4" s="2362"/>
      <c r="M4" s="2363"/>
      <c r="N4" s="2362"/>
      <c r="O4" s="2363"/>
      <c r="P4" s="2362"/>
      <c r="Q4" s="2363"/>
      <c r="R4" s="2362"/>
      <c r="S4" s="2363"/>
    </row>
    <row r="5" spans="1:19">
      <c r="A5" s="2150" t="s">
        <v>700</v>
      </c>
      <c r="B5" s="481" t="s">
        <v>2971</v>
      </c>
      <c r="C5" s="422"/>
      <c r="D5" s="422"/>
      <c r="E5" s="422"/>
      <c r="F5" s="422"/>
      <c r="G5" s="466" t="s">
        <v>702</v>
      </c>
      <c r="H5" s="2420"/>
      <c r="I5" s="2360"/>
      <c r="J5" s="2420"/>
      <c r="K5" s="2360"/>
      <c r="L5" s="2420"/>
      <c r="M5" s="2360"/>
      <c r="N5" s="2420"/>
      <c r="O5" s="2360"/>
      <c r="P5" s="2420"/>
      <c r="Q5" s="2360"/>
      <c r="R5" s="2420"/>
      <c r="S5" s="2360"/>
    </row>
    <row r="6" spans="1:19">
      <c r="A6" s="2150" t="s">
        <v>706</v>
      </c>
      <c r="B6" s="482" t="s">
        <v>2972</v>
      </c>
      <c r="C6" s="422"/>
      <c r="D6" s="422"/>
      <c r="E6" s="422"/>
      <c r="F6" s="422"/>
      <c r="G6" s="832" t="s">
        <v>708</v>
      </c>
      <c r="H6" s="2419"/>
      <c r="I6" s="2358"/>
      <c r="J6" s="2419"/>
      <c r="K6" s="2358"/>
      <c r="L6" s="2419"/>
      <c r="M6" s="2358"/>
      <c r="N6" s="2419"/>
      <c r="O6" s="2358"/>
      <c r="P6" s="2419"/>
      <c r="Q6" s="2358"/>
      <c r="R6" s="2419"/>
      <c r="S6" s="2358"/>
    </row>
    <row r="7" spans="1:19">
      <c r="A7" s="2150" t="s">
        <v>712</v>
      </c>
      <c r="B7" s="483"/>
      <c r="C7" s="422"/>
      <c r="D7" s="422"/>
      <c r="E7" s="422"/>
      <c r="F7" s="422"/>
      <c r="G7" s="832" t="s">
        <v>713</v>
      </c>
      <c r="H7" s="2423"/>
      <c r="I7" s="2356"/>
      <c r="J7" s="2423"/>
      <c r="K7" s="2356"/>
      <c r="L7" s="2423"/>
      <c r="M7" s="2356"/>
      <c r="N7" s="2423"/>
      <c r="O7" s="2356"/>
      <c r="P7" s="2423"/>
      <c r="Q7" s="2356"/>
      <c r="R7" s="2423"/>
      <c r="S7" s="2356"/>
    </row>
    <row r="8" spans="1:19" ht="15.75" thickBot="1">
      <c r="A8" s="467" t="s">
        <v>717</v>
      </c>
      <c r="B8" s="340"/>
      <c r="C8" s="86"/>
      <c r="D8" s="86"/>
      <c r="E8" s="86"/>
      <c r="F8" s="86"/>
      <c r="G8" s="467" t="s">
        <v>717</v>
      </c>
      <c r="H8" s="2421">
        <f>I73</f>
        <v>0</v>
      </c>
      <c r="I8" s="2422"/>
      <c r="J8" s="2421">
        <f>K73</f>
        <v>0</v>
      </c>
      <c r="K8" s="2422"/>
      <c r="L8" s="2421">
        <f>M73</f>
        <v>0</v>
      </c>
      <c r="M8" s="2422"/>
      <c r="N8" s="2421">
        <f>O73</f>
        <v>0</v>
      </c>
      <c r="O8" s="2422"/>
      <c r="P8" s="2421">
        <f>Q73</f>
        <v>0</v>
      </c>
      <c r="Q8" s="2422"/>
      <c r="R8" s="2421">
        <f>S73</f>
        <v>0</v>
      </c>
      <c r="S8" s="2422"/>
    </row>
    <row r="9" spans="1:19" ht="31.5" thickTop="1" thickBot="1">
      <c r="A9" s="7" t="s">
        <v>1452</v>
      </c>
      <c r="B9" s="8"/>
      <c r="C9" s="9" t="s">
        <v>718</v>
      </c>
      <c r="D9" s="9" t="s">
        <v>719</v>
      </c>
      <c r="E9" s="9" t="s">
        <v>720</v>
      </c>
      <c r="F9" s="9" t="s">
        <v>721</v>
      </c>
      <c r="G9" s="10" t="s">
        <v>722</v>
      </c>
      <c r="H9" s="11" t="s">
        <v>723</v>
      </c>
      <c r="I9" s="11" t="s">
        <v>724</v>
      </c>
      <c r="J9" s="11" t="s">
        <v>723</v>
      </c>
      <c r="K9" s="11" t="s">
        <v>724</v>
      </c>
      <c r="L9" s="11" t="s">
        <v>723</v>
      </c>
      <c r="M9" s="11" t="s">
        <v>724</v>
      </c>
      <c r="N9" s="11" t="s">
        <v>723</v>
      </c>
      <c r="O9" s="11" t="s">
        <v>724</v>
      </c>
      <c r="P9" s="11" t="s">
        <v>723</v>
      </c>
      <c r="Q9" s="11" t="s">
        <v>724</v>
      </c>
      <c r="R9" s="11" t="s">
        <v>723</v>
      </c>
      <c r="S9" s="11" t="s">
        <v>724</v>
      </c>
    </row>
    <row r="10" spans="1:19" ht="15.75" hidden="1" thickTop="1">
      <c r="A10" s="2151"/>
      <c r="B10" s="2152" t="s">
        <v>1453</v>
      </c>
      <c r="C10" s="422"/>
      <c r="D10" s="422"/>
      <c r="E10" s="422"/>
      <c r="F10" s="422"/>
      <c r="G10" s="468"/>
      <c r="H10" s="2153"/>
      <c r="I10" s="2153"/>
      <c r="J10" s="2153"/>
      <c r="K10" s="2153"/>
      <c r="L10" s="2153"/>
      <c r="M10" s="2153"/>
      <c r="N10" s="2153"/>
      <c r="O10" s="2153"/>
      <c r="P10" s="2153"/>
      <c r="Q10" s="2153"/>
      <c r="R10" s="2153"/>
      <c r="S10" s="2153"/>
    </row>
    <row r="11" spans="1:19" ht="15.75" hidden="1" thickTop="1">
      <c r="A11" s="2151"/>
      <c r="B11" s="481" t="e">
        <f>'Area Calculations'!#REF!</f>
        <v>#REF!</v>
      </c>
      <c r="C11" s="484" t="s">
        <v>1035</v>
      </c>
      <c r="D11" s="422"/>
      <c r="E11" s="422"/>
      <c r="F11" s="422"/>
      <c r="G11" s="468"/>
      <c r="H11" s="2153"/>
      <c r="I11" s="2153"/>
      <c r="J11" s="2153"/>
      <c r="K11" s="2153"/>
      <c r="L11" s="2153"/>
      <c r="M11" s="2153"/>
      <c r="N11" s="2153"/>
      <c r="O11" s="2153"/>
      <c r="P11" s="2153"/>
      <c r="Q11" s="2153"/>
      <c r="R11" s="2153"/>
      <c r="S11" s="2153"/>
    </row>
    <row r="12" spans="1:19" ht="15.75" hidden="1" thickTop="1">
      <c r="A12" s="2151"/>
      <c r="B12" s="481" t="e">
        <f>'Area Calculations'!#REF!</f>
        <v>#REF!</v>
      </c>
      <c r="C12" s="484" t="s">
        <v>1035</v>
      </c>
      <c r="D12" s="422"/>
      <c r="E12" s="422"/>
      <c r="F12" s="422"/>
      <c r="G12" s="468"/>
      <c r="H12" s="2153"/>
      <c r="I12" s="2153"/>
      <c r="J12" s="2153"/>
      <c r="K12" s="2153"/>
      <c r="L12" s="2153"/>
      <c r="M12" s="2153"/>
      <c r="N12" s="2153"/>
      <c r="O12" s="2153"/>
      <c r="P12" s="2153"/>
      <c r="Q12" s="2153"/>
      <c r="R12" s="2153"/>
      <c r="S12" s="2153"/>
    </row>
    <row r="13" spans="1:19" ht="15.75" hidden="1" thickTop="1">
      <c r="A13" s="2151"/>
      <c r="B13" s="481" t="e">
        <f>'Area Calculations'!#REF!</f>
        <v>#REF!</v>
      </c>
      <c r="C13" s="484" t="s">
        <v>1035</v>
      </c>
      <c r="D13" s="422"/>
      <c r="E13" s="422"/>
      <c r="F13" s="422"/>
      <c r="G13" s="468"/>
      <c r="H13" s="2153"/>
      <c r="I13" s="2153"/>
      <c r="J13" s="2153"/>
      <c r="K13" s="2153"/>
      <c r="L13" s="2153"/>
      <c r="M13" s="2153"/>
      <c r="N13" s="2153"/>
      <c r="O13" s="2153"/>
      <c r="P13" s="2153"/>
      <c r="Q13" s="2153"/>
      <c r="R13" s="2153"/>
      <c r="S13" s="2153"/>
    </row>
    <row r="14" spans="1:19" ht="15.75" hidden="1" thickTop="1">
      <c r="A14" s="2151"/>
      <c r="B14" s="481" t="e">
        <f>'Area Calculations'!#REF!</f>
        <v>#REF!</v>
      </c>
      <c r="C14" s="484" t="s">
        <v>1035</v>
      </c>
      <c r="D14" s="422"/>
      <c r="E14" s="422"/>
      <c r="F14" s="422"/>
      <c r="G14" s="468"/>
      <c r="H14" s="2153"/>
      <c r="I14" s="2153"/>
      <c r="J14" s="2153"/>
      <c r="K14" s="2153"/>
      <c r="L14" s="2153"/>
      <c r="M14" s="2153"/>
      <c r="N14" s="2153"/>
      <c r="O14" s="2153"/>
      <c r="P14" s="2153"/>
      <c r="Q14" s="2153"/>
      <c r="R14" s="2153"/>
      <c r="S14" s="2153"/>
    </row>
    <row r="15" spans="1:19" ht="15.75" hidden="1" thickTop="1">
      <c r="A15" s="2151"/>
      <c r="B15" s="481" t="e">
        <f>'Area Calculations'!#REF!</f>
        <v>#REF!</v>
      </c>
      <c r="C15" s="484" t="s">
        <v>1035</v>
      </c>
      <c r="D15" s="422"/>
      <c r="E15" s="422"/>
      <c r="F15" s="422"/>
      <c r="G15" s="468"/>
      <c r="H15" s="2153"/>
      <c r="I15" s="2153"/>
      <c r="J15" s="2153"/>
      <c r="K15" s="2153"/>
      <c r="L15" s="2153"/>
      <c r="M15" s="2153"/>
      <c r="N15" s="2153"/>
      <c r="O15" s="2153"/>
      <c r="P15" s="2153"/>
      <c r="Q15" s="2153"/>
      <c r="R15" s="2153"/>
      <c r="S15" s="2153"/>
    </row>
    <row r="16" spans="1:19" ht="15.75" hidden="1" thickTop="1">
      <c r="A16" s="2151"/>
      <c r="B16" s="481" t="e">
        <f>'Area Calculations'!#REF!</f>
        <v>#REF!</v>
      </c>
      <c r="C16" s="484" t="s">
        <v>1035</v>
      </c>
      <c r="D16" s="422"/>
      <c r="E16" s="422"/>
      <c r="F16" s="422"/>
      <c r="G16" s="468"/>
      <c r="H16" s="2153"/>
      <c r="I16" s="2153"/>
      <c r="J16" s="2153"/>
      <c r="K16" s="2153"/>
      <c r="L16" s="2153"/>
      <c r="M16" s="2153"/>
      <c r="N16" s="2153"/>
      <c r="O16" s="2153"/>
      <c r="P16" s="2153"/>
      <c r="Q16" s="2153"/>
      <c r="R16" s="2153"/>
      <c r="S16" s="2153"/>
    </row>
    <row r="17" spans="1:19" ht="15.75" hidden="1" thickTop="1">
      <c r="A17" s="2151"/>
      <c r="B17" s="481" t="e">
        <f>'Area Calculations'!#REF!</f>
        <v>#REF!</v>
      </c>
      <c r="C17" s="484" t="s">
        <v>1035</v>
      </c>
      <c r="D17" s="422"/>
      <c r="E17" s="422"/>
      <c r="F17" s="422"/>
      <c r="G17" s="468"/>
      <c r="H17" s="2153"/>
      <c r="I17" s="2153"/>
      <c r="J17" s="2153"/>
      <c r="K17" s="2153"/>
      <c r="L17" s="2153"/>
      <c r="M17" s="2153"/>
      <c r="N17" s="2153"/>
      <c r="O17" s="2153"/>
      <c r="P17" s="2153"/>
      <c r="Q17" s="2153"/>
      <c r="R17" s="2153"/>
      <c r="S17" s="2153"/>
    </row>
    <row r="18" spans="1:19" ht="15.75" hidden="1" thickTop="1">
      <c r="A18" s="2151"/>
      <c r="B18" s="481" t="e">
        <f>'Area Calculations'!#REF!</f>
        <v>#REF!</v>
      </c>
      <c r="C18" s="484" t="s">
        <v>1035</v>
      </c>
      <c r="D18" s="422"/>
      <c r="E18" s="422"/>
      <c r="F18" s="422"/>
      <c r="G18" s="468"/>
      <c r="H18" s="2153"/>
      <c r="I18" s="2153"/>
      <c r="J18" s="2153"/>
      <c r="K18" s="2153"/>
      <c r="L18" s="2153"/>
      <c r="M18" s="2153"/>
      <c r="N18" s="2153"/>
      <c r="O18" s="2153"/>
      <c r="P18" s="2153"/>
      <c r="Q18" s="2153"/>
      <c r="R18" s="2153"/>
      <c r="S18" s="2153"/>
    </row>
    <row r="19" spans="1:19" ht="15.75" hidden="1" thickTop="1">
      <c r="A19" s="2151"/>
      <c r="B19" s="481" t="e">
        <f>'Area Calculations'!#REF!</f>
        <v>#REF!</v>
      </c>
      <c r="C19" s="484" t="s">
        <v>1035</v>
      </c>
      <c r="D19" s="422"/>
      <c r="E19" s="422"/>
      <c r="F19" s="422"/>
      <c r="G19" s="468"/>
      <c r="H19" s="2153"/>
      <c r="I19" s="2153"/>
      <c r="J19" s="2153"/>
      <c r="K19" s="2153"/>
      <c r="L19" s="2153"/>
      <c r="M19" s="2153"/>
      <c r="N19" s="2153"/>
      <c r="O19" s="2153"/>
      <c r="P19" s="2153"/>
      <c r="Q19" s="2153"/>
      <c r="R19" s="2153"/>
      <c r="S19" s="2153"/>
    </row>
    <row r="20" spans="1:19" ht="15.75" thickTop="1">
      <c r="A20" s="2151"/>
      <c r="B20" s="481"/>
      <c r="C20" s="484"/>
      <c r="D20" s="422"/>
      <c r="E20" s="422"/>
      <c r="F20" s="422"/>
      <c r="G20" s="468"/>
      <c r="H20" s="2153"/>
      <c r="I20" s="2153"/>
      <c r="J20" s="2153"/>
      <c r="K20" s="2153"/>
      <c r="L20" s="2153"/>
      <c r="M20" s="2153"/>
      <c r="N20" s="2153"/>
      <c r="O20" s="2153"/>
      <c r="P20" s="2153"/>
      <c r="Q20" s="2153"/>
      <c r="R20" s="2153"/>
      <c r="S20" s="2153"/>
    </row>
    <row r="21" spans="1:19" ht="15.75" thickBot="1">
      <c r="A21" s="2154"/>
      <c r="B21" s="485" t="s">
        <v>385</v>
      </c>
      <c r="C21" s="484"/>
      <c r="D21" s="422"/>
      <c r="E21" s="422"/>
      <c r="F21" s="422"/>
      <c r="G21" s="468"/>
      <c r="H21" s="2155"/>
      <c r="I21" s="2156"/>
      <c r="J21" s="2148"/>
      <c r="K21" s="2148"/>
      <c r="L21" s="2155"/>
      <c r="M21" s="2148"/>
      <c r="N21" s="2155"/>
      <c r="O21" s="2148"/>
      <c r="P21" s="2155"/>
      <c r="Q21" s="2148"/>
      <c r="R21" s="2155"/>
      <c r="S21" s="2148"/>
    </row>
    <row r="22" spans="1:19" ht="16.5" hidden="1" thickBot="1">
      <c r="A22" s="2154"/>
      <c r="B22" s="2157" t="s">
        <v>2973</v>
      </c>
      <c r="C22" s="484"/>
      <c r="D22" s="422"/>
      <c r="E22" s="422"/>
      <c r="F22" s="422"/>
      <c r="G22" s="468"/>
      <c r="H22" s="2155"/>
      <c r="I22" s="2156"/>
      <c r="J22" s="2148"/>
      <c r="K22" s="2148"/>
      <c r="L22" s="2155"/>
      <c r="M22" s="2148"/>
      <c r="N22" s="2155"/>
      <c r="O22" s="2148"/>
      <c r="P22" s="2155"/>
      <c r="Q22" s="2148"/>
      <c r="R22" s="2155"/>
      <c r="S22" s="2148"/>
    </row>
    <row r="23" spans="1:19" ht="16.5" thickBot="1">
      <c r="A23" s="2158"/>
      <c r="B23" s="71" t="s">
        <v>725</v>
      </c>
      <c r="C23" s="446"/>
      <c r="D23" s="422"/>
      <c r="E23" s="422"/>
      <c r="F23" s="422"/>
      <c r="G23" s="468"/>
      <c r="H23" s="2155"/>
      <c r="I23" s="2156"/>
      <c r="J23" s="2155"/>
      <c r="K23" s="42"/>
      <c r="L23" s="2155"/>
      <c r="M23" s="2148"/>
      <c r="N23" s="2155"/>
      <c r="O23" s="2148"/>
      <c r="P23" s="2155"/>
      <c r="Q23" s="2148"/>
      <c r="R23" s="2155"/>
      <c r="S23" s="2148"/>
    </row>
    <row r="24" spans="1:19">
      <c r="A24" s="2154"/>
      <c r="B24" s="2159" t="s">
        <v>726</v>
      </c>
      <c r="C24" s="484"/>
      <c r="D24" s="422"/>
      <c r="E24" s="422"/>
      <c r="F24" s="422"/>
      <c r="G24" s="468"/>
      <c r="H24" s="2155"/>
      <c r="I24" s="2156"/>
      <c r="J24" s="2155"/>
      <c r="K24" s="2148"/>
      <c r="L24" s="2155"/>
      <c r="M24" s="2148"/>
      <c r="N24" s="2155"/>
      <c r="O24" s="2148"/>
      <c r="P24" s="2155"/>
      <c r="Q24" s="2148"/>
      <c r="R24" s="2155"/>
      <c r="S24" s="2148"/>
    </row>
    <row r="25" spans="1:19">
      <c r="A25" s="2160"/>
      <c r="B25" s="2161" t="s">
        <v>728</v>
      </c>
      <c r="C25" s="484"/>
      <c r="D25" s="422"/>
      <c r="E25" s="422"/>
      <c r="F25" s="422"/>
      <c r="G25" s="468"/>
      <c r="H25" s="2155"/>
      <c r="I25" s="2156"/>
      <c r="J25" s="2155"/>
      <c r="K25" s="2148"/>
      <c r="L25" s="2155"/>
      <c r="M25" s="2148"/>
      <c r="N25" s="2155"/>
      <c r="O25" s="2148"/>
      <c r="P25" s="2155"/>
      <c r="Q25" s="2148"/>
      <c r="R25" s="2155"/>
      <c r="S25" s="2148"/>
    </row>
    <row r="26" spans="1:19">
      <c r="A26" s="2160"/>
      <c r="B26" s="2162" t="s">
        <v>729</v>
      </c>
      <c r="C26" s="484"/>
      <c r="D26" s="422"/>
      <c r="E26" s="422"/>
      <c r="F26" s="422"/>
      <c r="G26" s="468"/>
      <c r="H26" s="2155"/>
      <c r="I26" s="2156"/>
      <c r="J26" s="2155"/>
      <c r="K26" s="2148"/>
      <c r="L26" s="2155"/>
      <c r="M26" s="2148"/>
      <c r="N26" s="2155"/>
      <c r="O26" s="2148"/>
      <c r="P26" s="2155"/>
      <c r="Q26" s="2148"/>
      <c r="R26" s="2155"/>
      <c r="S26" s="2148"/>
    </row>
    <row r="27" spans="1:19">
      <c r="A27" s="2160"/>
      <c r="B27" s="2162" t="s">
        <v>731</v>
      </c>
      <c r="C27" s="484"/>
      <c r="D27" s="422"/>
      <c r="E27" s="422"/>
      <c r="F27" s="422"/>
      <c r="G27" s="468"/>
      <c r="H27" s="2155"/>
      <c r="I27" s="2156"/>
      <c r="J27" s="2155"/>
      <c r="K27" s="2156"/>
      <c r="L27" s="2155"/>
      <c r="M27" s="2156"/>
      <c r="N27" s="2155"/>
      <c r="O27" s="2156"/>
      <c r="P27" s="2155"/>
      <c r="Q27" s="2156"/>
      <c r="R27" s="2155"/>
      <c r="S27" s="2156"/>
    </row>
    <row r="28" spans="1:19">
      <c r="A28" s="2160"/>
      <c r="B28" s="2162" t="s">
        <v>732</v>
      </c>
      <c r="C28" s="484"/>
      <c r="D28" s="422"/>
      <c r="E28" s="422"/>
      <c r="F28" s="422"/>
      <c r="G28" s="468"/>
      <c r="H28" s="2155"/>
      <c r="I28" s="2156"/>
      <c r="J28" s="2155"/>
      <c r="K28" s="2148"/>
      <c r="L28" s="2155"/>
      <c r="M28" s="2148"/>
      <c r="N28" s="2155"/>
      <c r="O28" s="2148"/>
      <c r="P28" s="2155"/>
      <c r="Q28" s="2148"/>
      <c r="R28" s="2155"/>
      <c r="S28" s="2148"/>
    </row>
    <row r="29" spans="1:19">
      <c r="A29" s="2160"/>
      <c r="B29" s="2162" t="s">
        <v>733</v>
      </c>
      <c r="C29" s="484"/>
      <c r="D29" s="422"/>
      <c r="E29" s="422"/>
      <c r="F29" s="494"/>
      <c r="G29" s="468"/>
      <c r="H29" s="2155"/>
      <c r="I29" s="2156"/>
      <c r="J29" s="2155"/>
      <c r="K29" s="2148"/>
      <c r="L29" s="2155"/>
      <c r="M29" s="2148"/>
      <c r="N29" s="2155"/>
      <c r="O29" s="2148"/>
      <c r="P29" s="2155"/>
      <c r="Q29" s="2148"/>
      <c r="R29" s="2155"/>
      <c r="S29" s="2148"/>
    </row>
    <row r="30" spans="1:19">
      <c r="A30" s="2160"/>
      <c r="B30" s="2163" t="s">
        <v>736</v>
      </c>
      <c r="C30" s="484"/>
      <c r="D30" s="422"/>
      <c r="E30" s="422"/>
      <c r="F30" s="494"/>
      <c r="G30" s="468"/>
      <c r="H30" s="2155"/>
      <c r="I30" s="2156"/>
      <c r="J30" s="2155"/>
      <c r="K30" s="2148"/>
      <c r="L30" s="2155"/>
      <c r="M30" s="2148"/>
      <c r="N30" s="2155"/>
      <c r="O30" s="2148"/>
      <c r="P30" s="2155"/>
      <c r="Q30" s="2148"/>
      <c r="R30" s="2155"/>
      <c r="S30" s="2148"/>
    </row>
    <row r="31" spans="1:19">
      <c r="A31" s="2160"/>
      <c r="B31" s="2164" t="s">
        <v>737</v>
      </c>
      <c r="C31" s="2165"/>
      <c r="D31" s="425"/>
      <c r="E31" s="425"/>
      <c r="F31" s="425"/>
      <c r="G31" s="836"/>
      <c r="H31" s="2166"/>
      <c r="I31" s="2166"/>
      <c r="J31" s="2166"/>
      <c r="K31" s="2166"/>
      <c r="L31" s="2167"/>
      <c r="M31" s="2168"/>
      <c r="N31" s="2166"/>
      <c r="O31" s="2166"/>
      <c r="P31" s="2166"/>
      <c r="Q31" s="2166"/>
      <c r="R31" s="2169"/>
      <c r="S31" s="2168"/>
    </row>
    <row r="32" spans="1:19">
      <c r="A32" s="2160"/>
      <c r="B32" s="2170"/>
      <c r="C32" s="484"/>
      <c r="D32" s="422"/>
      <c r="E32" s="422"/>
      <c r="F32" s="494"/>
      <c r="G32" s="468"/>
      <c r="H32" s="2155"/>
      <c r="I32" s="2156"/>
      <c r="J32" s="2155"/>
      <c r="K32" s="2148"/>
      <c r="L32" s="2155"/>
      <c r="M32" s="2148"/>
      <c r="N32" s="2155"/>
      <c r="O32" s="2148"/>
      <c r="P32" s="2155"/>
      <c r="Q32" s="2148"/>
      <c r="R32" s="2155"/>
      <c r="S32" s="2148"/>
    </row>
    <row r="33" spans="1:19" ht="15.75">
      <c r="A33" s="2160"/>
      <c r="B33" s="2171" t="s">
        <v>2974</v>
      </c>
      <c r="C33" s="484"/>
      <c r="D33" s="430">
        <v>1</v>
      </c>
      <c r="E33" s="422" t="s">
        <v>800</v>
      </c>
      <c r="F33" s="494">
        <v>49418.3</v>
      </c>
      <c r="G33" s="468"/>
      <c r="H33" s="2155"/>
      <c r="I33" s="2156"/>
      <c r="J33" s="2155"/>
      <c r="K33" s="2148"/>
      <c r="L33" s="2155"/>
      <c r="M33" s="2148"/>
      <c r="N33" s="2155"/>
      <c r="O33" s="2148"/>
      <c r="P33" s="2155"/>
      <c r="Q33" s="2148"/>
      <c r="R33" s="2155"/>
      <c r="S33" s="2148"/>
    </row>
    <row r="34" spans="1:19">
      <c r="A34" s="2160"/>
      <c r="B34" s="2172" t="s">
        <v>2975</v>
      </c>
      <c r="C34" s="484"/>
      <c r="D34" s="422"/>
      <c r="E34" s="422"/>
      <c r="F34" s="494"/>
      <c r="G34" s="468"/>
      <c r="H34" s="2155"/>
      <c r="I34" s="2156"/>
      <c r="J34" s="2155"/>
      <c r="K34" s="2148"/>
      <c r="L34" s="2155"/>
      <c r="M34" s="2148"/>
      <c r="N34" s="2155"/>
      <c r="O34" s="2148"/>
      <c r="P34" s="2155"/>
      <c r="Q34" s="2148"/>
      <c r="R34" s="2155"/>
      <c r="S34" s="2148"/>
    </row>
    <row r="35" spans="1:19">
      <c r="A35" s="2160"/>
      <c r="B35" s="2172" t="s">
        <v>2976</v>
      </c>
      <c r="C35" s="495"/>
      <c r="D35" s="495"/>
      <c r="E35" s="422"/>
      <c r="F35" s="494"/>
      <c r="G35" s="468"/>
      <c r="H35" s="2155"/>
      <c r="I35" s="2156"/>
      <c r="J35" s="2155"/>
      <c r="K35" s="2148"/>
      <c r="L35" s="2155"/>
      <c r="M35" s="2156"/>
      <c r="N35" s="2155"/>
      <c r="O35" s="2156"/>
      <c r="P35" s="2155"/>
      <c r="Q35" s="2148"/>
      <c r="R35" s="2155"/>
      <c r="S35" s="2148"/>
    </row>
    <row r="36" spans="1:19">
      <c r="A36" s="2160"/>
      <c r="B36" s="2172" t="s">
        <v>2977</v>
      </c>
      <c r="C36" s="495"/>
      <c r="D36" s="495"/>
      <c r="E36" s="422"/>
      <c r="F36" s="494"/>
      <c r="G36" s="468"/>
      <c r="H36" s="2155"/>
      <c r="I36" s="2156"/>
      <c r="J36" s="2155"/>
      <c r="K36" s="2148"/>
      <c r="L36" s="2155"/>
      <c r="M36" s="2148"/>
      <c r="N36" s="2155"/>
      <c r="O36" s="2148"/>
      <c r="P36" s="2155"/>
      <c r="Q36" s="2148"/>
      <c r="R36" s="2155"/>
      <c r="S36" s="2148"/>
    </row>
    <row r="37" spans="1:19">
      <c r="A37" s="2160"/>
      <c r="B37" s="2173" t="s">
        <v>2978</v>
      </c>
      <c r="C37" s="495"/>
      <c r="D37" s="495"/>
      <c r="E37" s="422"/>
      <c r="F37" s="494"/>
      <c r="G37" s="468"/>
      <c r="H37" s="2155"/>
      <c r="I37" s="2156"/>
      <c r="J37" s="2155"/>
      <c r="K37" s="2148"/>
      <c r="L37" s="2155"/>
      <c r="M37" s="2148"/>
      <c r="N37" s="2155"/>
      <c r="O37" s="2148"/>
      <c r="P37" s="2155"/>
      <c r="Q37" s="2148"/>
      <c r="R37" s="2155"/>
      <c r="S37" s="2148"/>
    </row>
    <row r="38" spans="1:19">
      <c r="A38" s="2160"/>
      <c r="B38" s="2172" t="s">
        <v>2979</v>
      </c>
      <c r="C38" s="495"/>
      <c r="D38" s="495"/>
      <c r="E38" s="422"/>
      <c r="F38" s="494"/>
      <c r="G38" s="468"/>
      <c r="H38" s="2155"/>
      <c r="I38" s="2156"/>
      <c r="J38" s="2155"/>
      <c r="K38" s="2148"/>
      <c r="L38" s="2155"/>
      <c r="M38" s="2148"/>
      <c r="N38" s="2155"/>
      <c r="O38" s="2148"/>
      <c r="P38" s="2155"/>
      <c r="Q38" s="2148"/>
      <c r="R38" s="2155"/>
      <c r="S38" s="2148"/>
    </row>
    <row r="39" spans="1:19">
      <c r="A39" s="2160"/>
      <c r="B39" s="2173" t="s">
        <v>2980</v>
      </c>
      <c r="C39" s="495"/>
      <c r="D39" s="495"/>
      <c r="E39" s="422"/>
      <c r="F39" s="494"/>
      <c r="G39" s="468"/>
      <c r="H39" s="2155"/>
      <c r="I39" s="2156"/>
      <c r="J39" s="2155"/>
      <c r="K39" s="2148"/>
      <c r="L39" s="2155"/>
      <c r="M39" s="2148"/>
      <c r="N39" s="2155"/>
      <c r="O39" s="2148"/>
      <c r="P39" s="2155"/>
      <c r="Q39" s="2148"/>
      <c r="R39" s="2155"/>
      <c r="S39" s="2148"/>
    </row>
    <row r="40" spans="1:19">
      <c r="A40" s="2160"/>
      <c r="B40" s="2174"/>
      <c r="C40" s="495"/>
      <c r="D40" s="495"/>
      <c r="E40" s="422"/>
      <c r="F40" s="494"/>
      <c r="G40" s="468"/>
      <c r="H40" s="2155"/>
      <c r="I40" s="2156"/>
      <c r="J40" s="2155"/>
      <c r="K40" s="2148"/>
      <c r="L40" s="2155"/>
      <c r="M40" s="2148"/>
      <c r="N40" s="2155"/>
      <c r="O40" s="2148"/>
      <c r="P40" s="2155"/>
      <c r="Q40" s="2148"/>
      <c r="R40" s="2155"/>
      <c r="S40" s="2148"/>
    </row>
    <row r="41" spans="1:19" ht="15.75">
      <c r="A41" s="2160"/>
      <c r="B41" s="2171" t="s">
        <v>2974</v>
      </c>
      <c r="C41" s="495"/>
      <c r="D41" s="495">
        <v>1</v>
      </c>
      <c r="E41" s="422" t="s">
        <v>800</v>
      </c>
      <c r="F41" s="494">
        <v>50298.3</v>
      </c>
      <c r="G41" s="468"/>
      <c r="H41" s="2155"/>
      <c r="I41" s="2156"/>
      <c r="J41" s="2155"/>
      <c r="K41" s="2148"/>
      <c r="L41" s="2155"/>
      <c r="M41" s="2148"/>
      <c r="N41" s="2155"/>
      <c r="O41" s="2148"/>
      <c r="P41" s="2155"/>
      <c r="Q41" s="2148"/>
      <c r="R41" s="2155"/>
      <c r="S41" s="2148"/>
    </row>
    <row r="42" spans="1:19">
      <c r="A42" s="2160"/>
      <c r="B42" s="2172" t="s">
        <v>2975</v>
      </c>
      <c r="C42" s="495"/>
      <c r="D42" s="495"/>
      <c r="E42" s="422"/>
      <c r="F42" s="494"/>
      <c r="G42" s="468"/>
      <c r="H42" s="2155"/>
      <c r="I42" s="2156"/>
      <c r="J42" s="2155"/>
      <c r="K42" s="2148"/>
      <c r="L42" s="2155"/>
      <c r="M42" s="2148"/>
      <c r="N42" s="2155"/>
      <c r="O42" s="2148"/>
      <c r="P42" s="2155"/>
      <c r="Q42" s="2148"/>
      <c r="R42" s="2155"/>
      <c r="S42" s="2148"/>
    </row>
    <row r="43" spans="1:19">
      <c r="A43" s="2160"/>
      <c r="B43" s="2172" t="s">
        <v>2976</v>
      </c>
      <c r="C43" s="495"/>
      <c r="D43" s="495"/>
      <c r="E43" s="422"/>
      <c r="F43" s="494"/>
      <c r="G43" s="468"/>
      <c r="H43" s="2155"/>
      <c r="I43" s="2156"/>
      <c r="J43" s="2155"/>
      <c r="K43" s="2148"/>
      <c r="L43" s="2155"/>
      <c r="M43" s="2148"/>
      <c r="N43" s="2155"/>
      <c r="O43" s="2148"/>
      <c r="P43" s="2155"/>
      <c r="Q43" s="2148"/>
      <c r="R43" s="2155"/>
      <c r="S43" s="2148"/>
    </row>
    <row r="44" spans="1:19">
      <c r="A44" s="2160"/>
      <c r="B44" s="2172" t="s">
        <v>2981</v>
      </c>
      <c r="C44" s="495"/>
      <c r="D44" s="495"/>
      <c r="E44" s="422"/>
      <c r="F44" s="494"/>
      <c r="G44" s="468"/>
      <c r="H44" s="2155"/>
      <c r="I44" s="2156"/>
      <c r="J44" s="2155"/>
      <c r="K44" s="2148"/>
      <c r="L44" s="2155"/>
      <c r="M44" s="2148"/>
      <c r="N44" s="2155"/>
      <c r="O44" s="2148"/>
      <c r="P44" s="2155"/>
      <c r="Q44" s="2148"/>
      <c r="R44" s="2155"/>
      <c r="S44" s="2148"/>
    </row>
    <row r="45" spans="1:19">
      <c r="A45" s="2160"/>
      <c r="B45" s="2173" t="s">
        <v>2978</v>
      </c>
      <c r="C45" s="495"/>
      <c r="D45" s="495"/>
      <c r="E45" s="422"/>
      <c r="F45" s="494"/>
      <c r="G45" s="468"/>
      <c r="H45" s="2155"/>
      <c r="I45" s="2156"/>
      <c r="J45" s="2155"/>
      <c r="K45" s="2148"/>
      <c r="L45" s="2155"/>
      <c r="M45" s="2148"/>
      <c r="N45" s="2155"/>
      <c r="O45" s="2148"/>
      <c r="P45" s="2155"/>
      <c r="Q45" s="2148"/>
      <c r="R45" s="2155"/>
      <c r="S45" s="2148"/>
    </row>
    <row r="46" spans="1:19">
      <c r="A46" s="2160"/>
      <c r="B46" s="2172" t="s">
        <v>2979</v>
      </c>
      <c r="C46" s="495"/>
      <c r="D46" s="495"/>
      <c r="E46" s="422"/>
      <c r="F46" s="494"/>
      <c r="G46" s="468"/>
      <c r="H46" s="2155"/>
      <c r="I46" s="2156"/>
      <c r="J46" s="2155"/>
      <c r="K46" s="2148"/>
      <c r="L46" s="2155"/>
      <c r="M46" s="2148"/>
      <c r="N46" s="2155"/>
      <c r="O46" s="2148"/>
      <c r="P46" s="2155"/>
      <c r="Q46" s="2148"/>
      <c r="R46" s="2155"/>
      <c r="S46" s="2148"/>
    </row>
    <row r="47" spans="1:19">
      <c r="A47" s="2160"/>
      <c r="B47" s="2173" t="s">
        <v>2982</v>
      </c>
      <c r="C47" s="495"/>
      <c r="D47" s="495"/>
      <c r="E47" s="422"/>
      <c r="F47" s="422"/>
      <c r="G47" s="468"/>
      <c r="H47" s="2155"/>
      <c r="I47" s="2156"/>
      <c r="J47" s="2155"/>
      <c r="K47" s="2148"/>
      <c r="L47" s="2155"/>
      <c r="M47" s="2148"/>
      <c r="N47" s="2155"/>
      <c r="O47" s="2148"/>
      <c r="P47" s="2155"/>
      <c r="Q47" s="2148"/>
      <c r="R47" s="2155"/>
      <c r="S47" s="2148"/>
    </row>
    <row r="48" spans="1:19">
      <c r="A48" s="2160"/>
      <c r="B48" s="2175"/>
      <c r="C48" s="495"/>
      <c r="D48" s="495"/>
      <c r="E48" s="422"/>
      <c r="F48" s="422"/>
      <c r="G48" s="468"/>
      <c r="H48" s="2155"/>
      <c r="I48" s="2156"/>
      <c r="J48" s="2155"/>
      <c r="K48" s="2148"/>
      <c r="L48" s="2155"/>
      <c r="M48" s="2148"/>
      <c r="N48" s="2155"/>
      <c r="O48" s="2148"/>
      <c r="P48" s="2155"/>
      <c r="Q48" s="2148"/>
      <c r="R48" s="2155"/>
      <c r="S48" s="2148"/>
    </row>
    <row r="49" spans="1:19" ht="15.75">
      <c r="A49" s="2160"/>
      <c r="B49" s="2171" t="s">
        <v>2974</v>
      </c>
      <c r="C49" s="484"/>
      <c r="D49" s="495">
        <v>1</v>
      </c>
      <c r="E49" s="422" t="s">
        <v>800</v>
      </c>
      <c r="F49" s="494">
        <v>52852</v>
      </c>
      <c r="G49" s="468"/>
      <c r="H49" s="2155"/>
      <c r="I49" s="2156"/>
      <c r="J49" s="2155"/>
      <c r="K49" s="2148"/>
      <c r="L49" s="2155"/>
      <c r="M49" s="2148"/>
      <c r="N49" s="2155"/>
      <c r="O49" s="2148"/>
      <c r="P49" s="2155"/>
      <c r="Q49" s="2156"/>
      <c r="R49" s="2155"/>
      <c r="S49" s="2156"/>
    </row>
    <row r="50" spans="1:19">
      <c r="A50" s="2160"/>
      <c r="B50" s="2172" t="s">
        <v>2983</v>
      </c>
      <c r="C50" s="484"/>
      <c r="D50" s="422"/>
      <c r="E50" s="422"/>
      <c r="F50" s="422"/>
      <c r="G50" s="468"/>
      <c r="H50" s="2155"/>
      <c r="I50" s="2156"/>
      <c r="J50" s="2155"/>
      <c r="K50" s="2148"/>
      <c r="L50" s="2155"/>
      <c r="M50" s="2148"/>
      <c r="N50" s="2155"/>
      <c r="O50" s="2148"/>
      <c r="P50" s="2155"/>
      <c r="Q50" s="2148"/>
      <c r="R50" s="2155"/>
      <c r="S50" s="2148"/>
    </row>
    <row r="51" spans="1:19">
      <c r="A51" s="2160"/>
      <c r="B51" s="2172" t="s">
        <v>2976</v>
      </c>
      <c r="C51" s="484"/>
      <c r="D51" s="422"/>
      <c r="E51" s="422"/>
      <c r="F51" s="494"/>
      <c r="G51" s="468"/>
      <c r="H51" s="2155"/>
      <c r="I51" s="2156"/>
      <c r="J51" s="2155"/>
      <c r="K51" s="2148"/>
      <c r="L51" s="2155"/>
      <c r="M51" s="2148"/>
      <c r="N51" s="2155"/>
      <c r="O51" s="2148"/>
      <c r="P51" s="2155"/>
      <c r="Q51" s="2148"/>
      <c r="R51" s="2155"/>
      <c r="S51" s="2148"/>
    </row>
    <row r="52" spans="1:19">
      <c r="A52" s="2160"/>
      <c r="B52" s="2172" t="s">
        <v>2984</v>
      </c>
      <c r="C52" s="484"/>
      <c r="D52" s="422"/>
      <c r="E52" s="422"/>
      <c r="F52" s="494"/>
      <c r="G52" s="468"/>
      <c r="H52" s="2155"/>
      <c r="I52" s="2156"/>
      <c r="J52" s="2155"/>
      <c r="K52" s="2148"/>
      <c r="L52" s="2155"/>
      <c r="M52" s="2148"/>
      <c r="N52" s="2155"/>
      <c r="O52" s="2148"/>
      <c r="P52" s="2155"/>
      <c r="Q52" s="2148"/>
      <c r="R52" s="2155"/>
      <c r="S52" s="2148"/>
    </row>
    <row r="53" spans="1:19">
      <c r="A53" s="2160"/>
      <c r="B53" s="2173" t="s">
        <v>2985</v>
      </c>
      <c r="C53" s="484"/>
      <c r="D53" s="422"/>
      <c r="E53" s="422"/>
      <c r="F53" s="494"/>
      <c r="G53" s="468"/>
      <c r="H53" s="2155"/>
      <c r="I53" s="2156"/>
      <c r="J53" s="2155"/>
      <c r="K53" s="2148"/>
      <c r="L53" s="2155"/>
      <c r="M53" s="2148"/>
      <c r="N53" s="2155"/>
      <c r="O53" s="2148"/>
      <c r="P53" s="2155"/>
      <c r="Q53" s="2148"/>
      <c r="R53" s="2155"/>
      <c r="S53" s="2148"/>
    </row>
    <row r="54" spans="1:19">
      <c r="A54" s="2160"/>
      <c r="B54" s="2172" t="s">
        <v>2986</v>
      </c>
      <c r="C54" s="484"/>
      <c r="D54" s="422"/>
      <c r="E54" s="422"/>
      <c r="F54" s="494"/>
      <c r="G54" s="468"/>
      <c r="H54" s="2155"/>
      <c r="I54" s="2156"/>
      <c r="J54" s="2155"/>
      <c r="K54" s="2148"/>
      <c r="L54" s="2155"/>
      <c r="M54" s="2148"/>
      <c r="N54" s="2155"/>
      <c r="O54" s="2148"/>
      <c r="P54" s="2155"/>
      <c r="Q54" s="2148"/>
      <c r="R54" s="2155"/>
      <c r="S54" s="2148"/>
    </row>
    <row r="55" spans="1:19">
      <c r="A55" s="2160"/>
      <c r="B55" s="2173" t="s">
        <v>2987</v>
      </c>
      <c r="C55" s="484"/>
      <c r="D55" s="422"/>
      <c r="E55" s="422"/>
      <c r="F55" s="494"/>
      <c r="G55" s="468"/>
      <c r="H55" s="2155"/>
      <c r="I55" s="2156"/>
      <c r="J55" s="2155"/>
      <c r="K55" s="2148"/>
      <c r="L55" s="2155"/>
      <c r="M55" s="2148"/>
      <c r="N55" s="2155"/>
      <c r="O55" s="2148"/>
      <c r="P55" s="2155"/>
      <c r="Q55" s="2148"/>
      <c r="R55" s="2155"/>
      <c r="S55" s="2148"/>
    </row>
    <row r="56" spans="1:19">
      <c r="A56" s="2160"/>
      <c r="B56" s="2175"/>
      <c r="C56" s="484"/>
      <c r="D56" s="422"/>
      <c r="E56" s="422"/>
      <c r="F56" s="494"/>
      <c r="G56" s="468"/>
      <c r="H56" s="2155"/>
      <c r="I56" s="2156"/>
      <c r="J56" s="2155"/>
      <c r="K56" s="2148"/>
      <c r="L56" s="2155"/>
      <c r="M56" s="2148"/>
      <c r="N56" s="2155"/>
      <c r="O56" s="2148"/>
      <c r="P56" s="2155"/>
      <c r="Q56" s="2148"/>
      <c r="R56" s="2155"/>
      <c r="S56" s="2148"/>
    </row>
    <row r="57" spans="1:19">
      <c r="A57" s="2160"/>
      <c r="B57" s="2175"/>
      <c r="C57" s="484"/>
      <c r="D57" s="422"/>
      <c r="E57" s="422"/>
      <c r="F57" s="494"/>
      <c r="G57" s="468"/>
      <c r="H57" s="2155"/>
      <c r="I57" s="2156"/>
      <c r="J57" s="2155"/>
      <c r="K57" s="2148"/>
      <c r="L57" s="2155"/>
      <c r="M57" s="2148"/>
      <c r="N57" s="2155"/>
      <c r="O57" s="2148"/>
      <c r="P57" s="2155"/>
      <c r="Q57" s="2148"/>
      <c r="R57" s="2155"/>
      <c r="S57" s="2148"/>
    </row>
    <row r="58" spans="1:19" ht="15.75">
      <c r="A58" s="2160"/>
      <c r="B58" s="2171" t="s">
        <v>2988</v>
      </c>
      <c r="C58" s="484"/>
      <c r="D58" s="422">
        <v>1</v>
      </c>
      <c r="E58" s="422" t="s">
        <v>800</v>
      </c>
      <c r="F58" s="494">
        <v>74300.800000000003</v>
      </c>
      <c r="G58" s="468"/>
      <c r="H58" s="2155"/>
      <c r="I58" s="2156"/>
      <c r="J58" s="2155"/>
      <c r="K58" s="2148"/>
      <c r="L58" s="2155"/>
      <c r="M58" s="2148"/>
      <c r="N58" s="2155"/>
      <c r="O58" s="2148"/>
      <c r="P58" s="2155"/>
      <c r="Q58" s="2148"/>
      <c r="R58" s="2155"/>
      <c r="S58" s="2148"/>
    </row>
    <row r="59" spans="1:19">
      <c r="A59" s="2160"/>
      <c r="B59" s="2175" t="s">
        <v>2989</v>
      </c>
      <c r="C59" s="484"/>
      <c r="D59" s="422"/>
      <c r="E59" s="422"/>
      <c r="F59" s="494"/>
      <c r="G59" s="468"/>
      <c r="H59" s="2155"/>
      <c r="I59" s="2156"/>
      <c r="J59" s="2155"/>
      <c r="K59" s="2148"/>
      <c r="L59" s="2155"/>
      <c r="M59" s="2148"/>
      <c r="N59" s="2155"/>
      <c r="O59" s="2148"/>
      <c r="P59" s="2155"/>
      <c r="Q59" s="2148"/>
      <c r="R59" s="2155"/>
      <c r="S59" s="2148"/>
    </row>
    <row r="60" spans="1:19">
      <c r="A60" s="2160"/>
      <c r="B60" s="2175" t="s">
        <v>2990</v>
      </c>
      <c r="C60" s="484"/>
      <c r="D60" s="422"/>
      <c r="E60" s="422"/>
      <c r="F60" s="494"/>
      <c r="G60" s="468"/>
      <c r="H60" s="2155"/>
      <c r="I60" s="2156"/>
      <c r="J60" s="2155"/>
      <c r="K60" s="2148"/>
      <c r="L60" s="2155"/>
      <c r="M60" s="2148"/>
      <c r="N60" s="2155"/>
      <c r="O60" s="2148"/>
      <c r="P60" s="2155"/>
      <c r="Q60" s="2148"/>
      <c r="R60" s="2155"/>
      <c r="S60" s="2148"/>
    </row>
    <row r="61" spans="1:19">
      <c r="A61" s="2160"/>
      <c r="B61" s="2175" t="s">
        <v>2991</v>
      </c>
      <c r="C61" s="484"/>
      <c r="D61" s="422"/>
      <c r="E61" s="422"/>
      <c r="F61" s="494"/>
      <c r="G61" s="468"/>
      <c r="H61" s="2155"/>
      <c r="I61" s="2156"/>
      <c r="J61" s="2155"/>
      <c r="K61" s="2148"/>
      <c r="L61" s="2155"/>
      <c r="M61" s="2148"/>
      <c r="N61" s="2155"/>
      <c r="O61" s="2148"/>
      <c r="P61" s="2155"/>
      <c r="Q61" s="2148"/>
      <c r="R61" s="2155"/>
      <c r="S61" s="2148"/>
    </row>
    <row r="62" spans="1:19">
      <c r="A62" s="2160"/>
      <c r="B62" s="2175"/>
      <c r="C62" s="484"/>
      <c r="D62" s="422"/>
      <c r="E62" s="422"/>
      <c r="F62" s="494"/>
      <c r="G62" s="468"/>
      <c r="H62" s="2155"/>
      <c r="I62" s="2156"/>
      <c r="J62" s="2155"/>
      <c r="K62" s="2148"/>
      <c r="L62" s="2155"/>
      <c r="M62" s="2148"/>
      <c r="N62" s="2155"/>
      <c r="O62" s="2148"/>
      <c r="P62" s="2155"/>
      <c r="Q62" s="2148"/>
      <c r="R62" s="2155"/>
      <c r="S62" s="2148"/>
    </row>
    <row r="63" spans="1:19" ht="15.75">
      <c r="A63" s="2160"/>
      <c r="B63" s="2171" t="s">
        <v>2992</v>
      </c>
      <c r="C63" s="484"/>
      <c r="D63" s="422">
        <v>1</v>
      </c>
      <c r="E63" s="422" t="s">
        <v>800</v>
      </c>
      <c r="F63" s="494">
        <v>123514.3</v>
      </c>
      <c r="G63" s="468"/>
      <c r="H63" s="2155"/>
      <c r="I63" s="2156"/>
      <c r="J63" s="2155"/>
      <c r="K63" s="2148"/>
      <c r="L63" s="2155"/>
      <c r="M63" s="2148"/>
      <c r="N63" s="2155"/>
      <c r="O63" s="2148"/>
      <c r="P63" s="2155"/>
      <c r="Q63" s="2148"/>
      <c r="R63" s="2155"/>
      <c r="S63" s="2148"/>
    </row>
    <row r="64" spans="1:19">
      <c r="A64" s="2160"/>
      <c r="B64" s="2175" t="s">
        <v>2989</v>
      </c>
      <c r="C64" s="484"/>
      <c r="D64" s="422"/>
      <c r="E64" s="422"/>
      <c r="F64" s="494"/>
      <c r="G64" s="468"/>
      <c r="H64" s="2155"/>
      <c r="I64" s="2156"/>
      <c r="J64" s="2155"/>
      <c r="K64" s="2148"/>
      <c r="L64" s="2155"/>
      <c r="M64" s="2148"/>
      <c r="N64" s="2155"/>
      <c r="O64" s="2148"/>
      <c r="P64" s="2155"/>
      <c r="Q64" s="2148"/>
      <c r="R64" s="2155"/>
      <c r="S64" s="2148"/>
    </row>
    <row r="65" spans="1:19">
      <c r="A65" s="2160"/>
      <c r="B65" s="2175" t="s">
        <v>2993</v>
      </c>
      <c r="C65" s="484"/>
      <c r="D65" s="422"/>
      <c r="E65" s="422"/>
      <c r="F65" s="494"/>
      <c r="G65" s="468"/>
      <c r="H65" s="2155"/>
      <c r="I65" s="2156"/>
      <c r="J65" s="2155"/>
      <c r="K65" s="2148"/>
      <c r="L65" s="2155"/>
      <c r="M65" s="2148"/>
      <c r="N65" s="2155"/>
      <c r="O65" s="2148"/>
      <c r="P65" s="2155"/>
      <c r="Q65" s="2148"/>
      <c r="R65" s="2155"/>
      <c r="S65" s="2148"/>
    </row>
    <row r="66" spans="1:19">
      <c r="A66" s="2160"/>
      <c r="B66" s="2175" t="s">
        <v>2991</v>
      </c>
      <c r="C66" s="484"/>
      <c r="D66" s="422"/>
      <c r="E66" s="422"/>
      <c r="F66" s="494"/>
      <c r="G66" s="468"/>
      <c r="H66" s="2155"/>
      <c r="I66" s="2156"/>
      <c r="J66" s="2155"/>
      <c r="K66" s="2148"/>
      <c r="L66" s="2155"/>
      <c r="M66" s="2148"/>
      <c r="N66" s="2155"/>
      <c r="O66" s="2148"/>
      <c r="P66" s="2155"/>
      <c r="Q66" s="2148"/>
      <c r="R66" s="2155"/>
      <c r="S66" s="2148"/>
    </row>
    <row r="67" spans="1:19">
      <c r="A67" s="2160"/>
      <c r="B67" s="60"/>
      <c r="C67" s="484"/>
      <c r="D67" s="422"/>
      <c r="E67" s="422"/>
      <c r="F67" s="494"/>
      <c r="G67" s="468"/>
      <c r="H67" s="2155"/>
      <c r="I67" s="2156"/>
      <c r="J67" s="2155"/>
      <c r="K67" s="2148"/>
      <c r="L67" s="2155"/>
      <c r="M67" s="2148"/>
      <c r="N67" s="2155"/>
      <c r="O67" s="2148"/>
      <c r="P67" s="2155"/>
      <c r="Q67" s="2148"/>
      <c r="R67" s="2155"/>
      <c r="S67" s="2148"/>
    </row>
    <row r="68" spans="1:19" ht="15.75" thickBot="1">
      <c r="A68" s="2160"/>
      <c r="B68" s="2174"/>
      <c r="C68" s="484"/>
      <c r="D68" s="422"/>
      <c r="E68" s="422"/>
      <c r="F68" s="494"/>
      <c r="G68" s="468"/>
      <c r="H68" s="2155"/>
      <c r="I68" s="2156"/>
      <c r="J68" s="2155"/>
      <c r="K68" s="2148"/>
      <c r="L68" s="2155"/>
      <c r="M68" s="2148"/>
      <c r="N68" s="2155"/>
      <c r="O68" s="2148"/>
      <c r="P68" s="2155"/>
      <c r="Q68" s="2148"/>
      <c r="R68" s="2155"/>
      <c r="S68" s="2148"/>
    </row>
    <row r="69" spans="1:19" ht="15.75" thickTop="1">
      <c r="A69" s="13"/>
      <c r="B69" s="14"/>
      <c r="C69" s="15"/>
      <c r="D69" s="15"/>
      <c r="E69" s="16"/>
      <c r="F69" s="17" t="s">
        <v>753</v>
      </c>
      <c r="G69" s="18"/>
      <c r="H69" s="19"/>
      <c r="I69" s="32">
        <f>SUM(I31:I68)</f>
        <v>0</v>
      </c>
      <c r="J69" s="19"/>
      <c r="K69" s="32">
        <f>SUM(K31:K68)</f>
        <v>0</v>
      </c>
      <c r="L69" s="19"/>
      <c r="M69" s="32">
        <f>SUM(M31:M68)</f>
        <v>0</v>
      </c>
      <c r="N69" s="19"/>
      <c r="O69" s="32">
        <f>SUM(O31:O68)</f>
        <v>0</v>
      </c>
      <c r="P69" s="19"/>
      <c r="Q69" s="32">
        <f>SUM(Q31:Q68)</f>
        <v>0</v>
      </c>
      <c r="R69" s="19"/>
      <c r="S69" s="32">
        <f>SUM(S31:S68)</f>
        <v>0</v>
      </c>
    </row>
    <row r="70" spans="1:19">
      <c r="A70" s="2176"/>
      <c r="B70" s="488"/>
      <c r="C70" s="433"/>
      <c r="D70" s="433"/>
      <c r="E70" s="434"/>
      <c r="F70" s="489" t="s">
        <v>754</v>
      </c>
      <c r="G70" s="471"/>
      <c r="H70" s="2003">
        <v>0</v>
      </c>
      <c r="I70" s="480"/>
      <c r="J70" s="2003">
        <v>0</v>
      </c>
      <c r="K70" s="480"/>
      <c r="L70" s="2003">
        <v>0</v>
      </c>
      <c r="M70" s="480"/>
      <c r="N70" s="2003">
        <v>0</v>
      </c>
      <c r="O70" s="480"/>
      <c r="P70" s="2003">
        <v>0</v>
      </c>
      <c r="Q70" s="480"/>
      <c r="R70" s="2003">
        <v>0</v>
      </c>
      <c r="S70" s="480"/>
    </row>
    <row r="71" spans="1:19">
      <c r="A71" s="2176"/>
      <c r="B71" s="488"/>
      <c r="C71" s="433"/>
      <c r="D71" s="433"/>
      <c r="E71" s="434"/>
      <c r="F71" s="489" t="s">
        <v>755</v>
      </c>
      <c r="G71" s="471"/>
      <c r="H71" s="2002"/>
      <c r="I71" s="2177">
        <f>H70*I69</f>
        <v>0</v>
      </c>
      <c r="J71" s="2002"/>
      <c r="K71" s="2177">
        <f>J70*K69</f>
        <v>0</v>
      </c>
      <c r="L71" s="2002"/>
      <c r="M71" s="2177">
        <f>L70*M69</f>
        <v>0</v>
      </c>
      <c r="N71" s="2002"/>
      <c r="O71" s="2177">
        <f>N70*O69</f>
        <v>0</v>
      </c>
      <c r="P71" s="2002"/>
      <c r="Q71" s="2177">
        <f>P70*Q69</f>
        <v>0</v>
      </c>
      <c r="R71" s="2002"/>
      <c r="S71" s="2177">
        <f>R70*S69</f>
        <v>0</v>
      </c>
    </row>
    <row r="72" spans="1:19">
      <c r="A72" s="2176"/>
      <c r="B72" s="488"/>
      <c r="C72" s="433"/>
      <c r="D72" s="433"/>
      <c r="E72" s="434"/>
      <c r="F72" s="489"/>
      <c r="G72" s="471"/>
      <c r="H72" s="2002"/>
      <c r="I72" s="2178"/>
      <c r="J72" s="2002"/>
      <c r="K72" s="2178"/>
      <c r="L72" s="2002"/>
      <c r="M72" s="2178"/>
      <c r="N72" s="2002"/>
      <c r="O72" s="2178"/>
      <c r="P72" s="2002"/>
      <c r="Q72" s="2178"/>
      <c r="R72" s="2002"/>
      <c r="S72" s="2178"/>
    </row>
    <row r="73" spans="1:19">
      <c r="A73" s="2176"/>
      <c r="B73" s="488"/>
      <c r="C73" s="433"/>
      <c r="D73" s="433"/>
      <c r="E73" s="434"/>
      <c r="F73" s="489" t="s">
        <v>756</v>
      </c>
      <c r="G73" s="471"/>
      <c r="H73" s="2179"/>
      <c r="I73" s="2177">
        <f>SUM(I69:I71)</f>
        <v>0</v>
      </c>
      <c r="J73" s="2179"/>
      <c r="K73" s="2177">
        <f>SUM(K69:K71)</f>
        <v>0</v>
      </c>
      <c r="L73" s="2179"/>
      <c r="M73" s="2177">
        <f>SUM(M69:M71)</f>
        <v>0</v>
      </c>
      <c r="N73" s="2179"/>
      <c r="O73" s="2177">
        <f>SUM(O69:O71)</f>
        <v>0</v>
      </c>
      <c r="P73" s="2179"/>
      <c r="Q73" s="2177">
        <f>SUM(Q69:Q71)</f>
        <v>0</v>
      </c>
      <c r="R73" s="2179"/>
      <c r="S73" s="2177">
        <f>SUM(S69:S71)</f>
        <v>0</v>
      </c>
    </row>
    <row r="74" spans="1:19">
      <c r="A74" s="2176"/>
      <c r="B74" s="488"/>
      <c r="C74" s="433"/>
      <c r="D74" s="433"/>
      <c r="E74" s="434"/>
      <c r="F74" s="490" t="s">
        <v>757</v>
      </c>
      <c r="G74" s="472"/>
      <c r="H74" s="2180"/>
      <c r="I74" s="2181">
        <f>I73/'Area Calculations'!$G$4</f>
        <v>0</v>
      </c>
      <c r="J74" s="2180"/>
      <c r="K74" s="2181">
        <f>K73/'Area Calculations'!$G$4</f>
        <v>0</v>
      </c>
      <c r="L74" s="2180"/>
      <c r="M74" s="2181">
        <f>M73/'Area Calculations'!$G$4</f>
        <v>0</v>
      </c>
      <c r="N74" s="2180"/>
      <c r="O74" s="2181">
        <f>O73/'Area Calculations'!$G$4</f>
        <v>0</v>
      </c>
      <c r="P74" s="2180"/>
      <c r="Q74" s="2181">
        <f>Q73/'Area Calculations'!$G$4</f>
        <v>0</v>
      </c>
      <c r="R74" s="2180"/>
      <c r="S74" s="2181">
        <f>S73/'Area Calculations'!$G$4</f>
        <v>0</v>
      </c>
    </row>
    <row r="75" spans="1:19">
      <c r="A75" s="2176"/>
      <c r="B75" s="488"/>
      <c r="C75" s="433"/>
      <c r="D75" s="433"/>
      <c r="E75" s="434"/>
      <c r="F75" s="490" t="s">
        <v>758</v>
      </c>
      <c r="G75" s="473"/>
      <c r="H75" s="2180"/>
      <c r="I75" s="2181">
        <f>I73/'Area Calculations'!$G$9</f>
        <v>0</v>
      </c>
      <c r="J75" s="2180"/>
      <c r="K75" s="2181">
        <f>K73/'Area Calculations'!$G$9</f>
        <v>0</v>
      </c>
      <c r="L75" s="2180"/>
      <c r="M75" s="2181">
        <f>M73/'Area Calculations'!$G$9</f>
        <v>0</v>
      </c>
      <c r="N75" s="2180"/>
      <c r="O75" s="2181">
        <f>O73/'Area Calculations'!$G$9</f>
        <v>0</v>
      </c>
      <c r="P75" s="2180"/>
      <c r="Q75" s="2181">
        <f>Q73/'Area Calculations'!$G$9</f>
        <v>0</v>
      </c>
      <c r="R75" s="2180"/>
      <c r="S75" s="2181">
        <f>S73/'Area Calculations'!$G$9</f>
        <v>0</v>
      </c>
    </row>
    <row r="76" spans="1:19" ht="15.75" thickBot="1">
      <c r="A76" s="2176"/>
      <c r="B76" s="488"/>
      <c r="C76" s="433"/>
      <c r="D76" s="433"/>
      <c r="E76" s="434"/>
      <c r="F76" s="489"/>
      <c r="G76" s="471"/>
      <c r="H76" s="2182"/>
      <c r="I76" s="2182"/>
      <c r="J76" s="2182"/>
      <c r="K76" s="2182"/>
      <c r="L76" s="2182"/>
      <c r="M76" s="2182"/>
      <c r="N76" s="2182"/>
      <c r="O76" s="2182"/>
      <c r="P76" s="2182"/>
      <c r="Q76" s="2182"/>
      <c r="R76" s="2182"/>
      <c r="S76" s="2182"/>
    </row>
    <row r="77" spans="1:19" ht="16.5" thickTop="1" thickBot="1">
      <c r="A77" s="2331" t="s">
        <v>759</v>
      </c>
      <c r="B77" s="2365"/>
      <c r="C77" s="12"/>
      <c r="D77" s="12"/>
      <c r="E77" s="12"/>
      <c r="F77" s="12"/>
      <c r="G77" s="26"/>
      <c r="H77" s="24"/>
      <c r="I77" s="20"/>
      <c r="J77" s="20"/>
      <c r="K77" s="20"/>
      <c r="L77" s="20"/>
      <c r="M77" s="20"/>
      <c r="N77" s="20"/>
      <c r="O77" s="20"/>
      <c r="P77" s="20"/>
      <c r="Q77" s="20"/>
      <c r="R77" s="20"/>
      <c r="S77" s="20"/>
    </row>
    <row r="78" spans="1:19" ht="15.75" thickTop="1">
      <c r="A78" s="2183"/>
      <c r="B78" s="481"/>
      <c r="C78" s="2184"/>
      <c r="D78" s="2184"/>
      <c r="E78" s="2184"/>
      <c r="F78" s="2184"/>
      <c r="G78" s="2142"/>
      <c r="H78" s="2143"/>
      <c r="I78" s="2144"/>
      <c r="J78" s="2144"/>
      <c r="K78" s="2144"/>
      <c r="L78" s="2144"/>
      <c r="M78" s="2144"/>
      <c r="N78" s="2144"/>
      <c r="O78" s="2144"/>
      <c r="P78" s="2144"/>
      <c r="Q78" s="2144"/>
      <c r="R78" s="2144"/>
      <c r="S78" s="2144"/>
    </row>
    <row r="79" spans="1:19">
      <c r="A79" s="2183"/>
      <c r="B79" s="481"/>
      <c r="C79" s="2184"/>
      <c r="D79" s="2184"/>
      <c r="E79" s="2184"/>
      <c r="F79" s="2184"/>
      <c r="G79" s="2142"/>
      <c r="H79" s="2143"/>
      <c r="I79" s="2144"/>
      <c r="J79" s="2144"/>
      <c r="K79" s="2144"/>
      <c r="L79" s="2144"/>
      <c r="M79" s="2144"/>
      <c r="N79" s="2144"/>
      <c r="O79" s="2144"/>
      <c r="P79" s="2144"/>
      <c r="Q79" s="2144"/>
      <c r="R79" s="2144"/>
      <c r="S79" s="2144"/>
    </row>
    <row r="80" spans="1:19" ht="15.75" thickBot="1">
      <c r="A80" s="2183"/>
      <c r="B80" s="481"/>
      <c r="C80" s="2184"/>
      <c r="D80" s="2184"/>
      <c r="E80" s="2184"/>
      <c r="F80" s="2184"/>
      <c r="G80" s="2142"/>
      <c r="H80" s="2143"/>
      <c r="I80" s="2144"/>
      <c r="J80" s="2144"/>
      <c r="K80" s="2144"/>
      <c r="L80" s="2144"/>
      <c r="M80" s="2144"/>
      <c r="N80" s="2144"/>
      <c r="O80" s="2144"/>
      <c r="P80" s="2144"/>
      <c r="Q80" s="2144"/>
      <c r="R80" s="2144"/>
      <c r="S80" s="2144"/>
    </row>
    <row r="81" spans="1:34" s="2" customFormat="1" ht="16.5" thickTop="1" thickBot="1">
      <c r="A81" s="2331" t="s">
        <v>760</v>
      </c>
      <c r="B81" s="2365"/>
      <c r="C81" s="12"/>
      <c r="D81" s="12"/>
      <c r="E81" s="12"/>
      <c r="F81" s="12"/>
      <c r="G81" s="26"/>
      <c r="H81" s="24"/>
      <c r="I81" s="20"/>
      <c r="J81" s="20"/>
      <c r="K81" s="20"/>
      <c r="L81" s="20"/>
      <c r="M81" s="20"/>
      <c r="N81" s="20"/>
      <c r="O81" s="20"/>
      <c r="P81" s="20"/>
      <c r="Q81" s="20"/>
      <c r="R81" s="20"/>
      <c r="S81" s="20"/>
      <c r="T81"/>
      <c r="U81"/>
      <c r="V81"/>
      <c r="W81"/>
      <c r="X81"/>
      <c r="Y81"/>
      <c r="Z81"/>
      <c r="AA81"/>
      <c r="AB81"/>
      <c r="AC81"/>
      <c r="AD81"/>
      <c r="AE81"/>
      <c r="AF81"/>
      <c r="AG81"/>
      <c r="AH81"/>
    </row>
    <row r="82" spans="1:34" s="2" customFormat="1" ht="15.75" thickTop="1">
      <c r="A82" s="2183"/>
      <c r="B82" s="481"/>
      <c r="C82" s="2184"/>
      <c r="D82" s="2184"/>
      <c r="E82" s="2184"/>
      <c r="F82" s="2184"/>
      <c r="G82" s="2142"/>
      <c r="H82" s="2143"/>
      <c r="I82" s="2144"/>
      <c r="J82" s="2144"/>
      <c r="K82" s="2144"/>
      <c r="L82" s="2144"/>
      <c r="M82" s="2144"/>
      <c r="N82" s="2144"/>
      <c r="O82" s="2144"/>
      <c r="P82" s="2144"/>
      <c r="Q82" s="2144"/>
      <c r="R82" s="2144"/>
      <c r="S82" s="2144"/>
      <c r="T82"/>
      <c r="U82"/>
      <c r="V82"/>
      <c r="W82"/>
      <c r="X82"/>
      <c r="Y82"/>
      <c r="Z82"/>
      <c r="AA82"/>
      <c r="AB82"/>
      <c r="AC82"/>
      <c r="AD82"/>
      <c r="AE82"/>
      <c r="AF82"/>
      <c r="AG82"/>
      <c r="AH82"/>
    </row>
    <row r="83" spans="1:34" s="2" customFormat="1">
      <c r="A83" s="2183"/>
      <c r="B83" s="481"/>
      <c r="C83" s="2184"/>
      <c r="D83" s="2184"/>
      <c r="E83" s="2184"/>
      <c r="F83" s="2184"/>
      <c r="G83" s="2142"/>
      <c r="H83" s="2143"/>
      <c r="I83" s="2144"/>
      <c r="J83" s="2144"/>
      <c r="K83" s="2144"/>
      <c r="L83" s="2144"/>
      <c r="M83" s="2144"/>
      <c r="N83" s="2144"/>
      <c r="O83" s="2144"/>
      <c r="P83" s="2144"/>
      <c r="Q83" s="2144"/>
      <c r="R83" s="2144"/>
      <c r="S83" s="2144"/>
      <c r="T83"/>
      <c r="U83"/>
      <c r="V83"/>
      <c r="W83"/>
      <c r="X83"/>
      <c r="Y83"/>
      <c r="Z83"/>
      <c r="AA83"/>
      <c r="AB83"/>
      <c r="AC83"/>
      <c r="AD83"/>
      <c r="AE83"/>
      <c r="AF83"/>
      <c r="AG83"/>
      <c r="AH83"/>
    </row>
    <row r="84" spans="1:34" ht="15.75" thickBot="1">
      <c r="A84" s="2183"/>
      <c r="B84" s="481"/>
      <c r="C84" s="2184"/>
      <c r="D84" s="2184"/>
      <c r="E84" s="2184"/>
      <c r="F84" s="2184"/>
      <c r="G84" s="2142"/>
      <c r="H84" s="2143"/>
      <c r="I84" s="2144"/>
      <c r="J84" s="2144"/>
      <c r="K84" s="2144"/>
      <c r="L84" s="2144"/>
      <c r="M84" s="2144"/>
      <c r="N84" s="2144"/>
      <c r="O84" s="2144"/>
      <c r="P84" s="2144"/>
      <c r="Q84" s="2144"/>
      <c r="R84" s="2144"/>
      <c r="S84" s="2144"/>
    </row>
    <row r="85" spans="1:34" s="2" customFormat="1" ht="16.5" thickTop="1" thickBot="1">
      <c r="A85" s="2331" t="s">
        <v>761</v>
      </c>
      <c r="B85" s="2365"/>
      <c r="C85" s="12"/>
      <c r="D85" s="12"/>
      <c r="E85" s="12"/>
      <c r="F85" s="12"/>
      <c r="G85" s="26"/>
      <c r="H85" s="24"/>
      <c r="I85" s="20"/>
      <c r="J85" s="20"/>
      <c r="K85" s="20"/>
      <c r="L85" s="20"/>
      <c r="M85" s="20"/>
      <c r="N85" s="20"/>
      <c r="O85" s="20"/>
      <c r="P85" s="20"/>
      <c r="Q85" s="20"/>
      <c r="R85" s="20"/>
      <c r="S85" s="20"/>
      <c r="T85"/>
      <c r="U85"/>
      <c r="V85"/>
      <c r="W85"/>
      <c r="X85"/>
      <c r="Y85"/>
      <c r="Z85"/>
      <c r="AA85"/>
      <c r="AB85"/>
      <c r="AC85"/>
      <c r="AD85"/>
      <c r="AE85"/>
      <c r="AF85"/>
      <c r="AG85"/>
      <c r="AH85"/>
    </row>
    <row r="86" spans="1:34" s="2" customFormat="1" ht="15.75" thickTop="1">
      <c r="A86" s="2183"/>
      <c r="B86" s="481"/>
      <c r="C86" s="2184"/>
      <c r="D86" s="2184"/>
      <c r="E86" s="2184"/>
      <c r="F86" s="2184"/>
      <c r="G86" s="2142"/>
      <c r="H86" s="2143"/>
      <c r="I86" s="2144"/>
      <c r="J86" s="2144"/>
      <c r="K86" s="2144"/>
      <c r="L86" s="2144"/>
      <c r="M86" s="2144"/>
      <c r="N86" s="2144"/>
      <c r="O86" s="2144"/>
      <c r="P86" s="2144"/>
      <c r="Q86" s="2144"/>
      <c r="R86" s="2144"/>
      <c r="S86" s="2144"/>
      <c r="T86"/>
      <c r="U86"/>
      <c r="V86"/>
      <c r="W86"/>
      <c r="X86"/>
      <c r="Y86"/>
      <c r="Z86"/>
      <c r="AA86"/>
      <c r="AB86"/>
      <c r="AC86"/>
      <c r="AD86"/>
      <c r="AE86"/>
      <c r="AF86"/>
      <c r="AG86"/>
      <c r="AH86"/>
    </row>
    <row r="87" spans="1:34" s="2" customFormat="1">
      <c r="A87" s="2151"/>
      <c r="B87" s="481"/>
      <c r="C87" s="422"/>
      <c r="D87" s="422"/>
      <c r="E87" s="422"/>
      <c r="F87" s="422"/>
      <c r="G87" s="831"/>
      <c r="H87" s="440"/>
      <c r="I87" s="2007"/>
      <c r="J87" s="2007"/>
      <c r="K87" s="2007"/>
      <c r="L87" s="2007"/>
      <c r="M87" s="2007"/>
      <c r="N87" s="2007"/>
      <c r="O87" s="2007"/>
      <c r="P87" s="2007"/>
      <c r="Q87" s="2007"/>
      <c r="R87" s="2007"/>
      <c r="S87" s="2007"/>
      <c r="T87"/>
      <c r="U87"/>
      <c r="V87"/>
      <c r="W87"/>
      <c r="X87"/>
      <c r="Y87"/>
      <c r="Z87"/>
      <c r="AA87"/>
      <c r="AB87"/>
      <c r="AC87"/>
      <c r="AD87"/>
      <c r="AE87"/>
      <c r="AF87"/>
      <c r="AG87"/>
      <c r="AH87"/>
    </row>
    <row r="88" spans="1:34" s="2" customFormat="1" ht="15.75" thickBot="1">
      <c r="A88" s="2185"/>
      <c r="B88" s="491"/>
      <c r="C88" s="422"/>
      <c r="D88" s="422"/>
      <c r="E88" s="422"/>
      <c r="F88" s="422"/>
      <c r="G88" s="831"/>
      <c r="H88" s="441"/>
      <c r="I88" s="2009"/>
      <c r="J88" s="2009"/>
      <c r="K88" s="2009"/>
      <c r="L88" s="2009"/>
      <c r="M88" s="2009"/>
      <c r="N88" s="2009"/>
      <c r="O88" s="2009"/>
      <c r="P88" s="2009"/>
      <c r="Q88" s="2009"/>
      <c r="R88" s="2009"/>
      <c r="S88" s="2009"/>
    </row>
    <row r="89" spans="1:34" s="2" customFormat="1" ht="16.5" thickTop="1" thickBot="1">
      <c r="A89" s="2331" t="s">
        <v>762</v>
      </c>
      <c r="B89" s="2365"/>
      <c r="C89" s="12"/>
      <c r="D89" s="12"/>
      <c r="E89" s="12"/>
      <c r="F89" s="12"/>
      <c r="G89" s="26"/>
      <c r="H89" s="24"/>
      <c r="I89" s="20"/>
      <c r="J89" s="20"/>
      <c r="K89" s="20"/>
      <c r="L89" s="20"/>
      <c r="M89" s="20"/>
      <c r="N89" s="20"/>
      <c r="O89" s="20"/>
      <c r="P89" s="20"/>
      <c r="Q89" s="20"/>
      <c r="R89" s="20"/>
      <c r="S89" s="20"/>
      <c r="T89"/>
      <c r="U89"/>
      <c r="V89"/>
      <c r="W89"/>
      <c r="X89"/>
      <c r="Y89"/>
      <c r="Z89"/>
      <c r="AA89"/>
      <c r="AB89"/>
      <c r="AC89"/>
      <c r="AD89"/>
      <c r="AE89"/>
      <c r="AF89"/>
      <c r="AG89"/>
      <c r="AH89"/>
    </row>
    <row r="90" spans="1:34" ht="15.75" thickTop="1">
      <c r="A90" s="2186"/>
      <c r="B90" s="2187"/>
      <c r="C90" s="2184"/>
      <c r="D90" s="2184"/>
      <c r="E90" s="2184"/>
      <c r="F90" s="2184"/>
      <c r="G90" s="2142"/>
      <c r="H90" s="2143"/>
      <c r="I90" s="2144"/>
      <c r="J90" s="2144"/>
      <c r="K90" s="2144"/>
      <c r="L90" s="2144"/>
      <c r="M90" s="2144"/>
      <c r="N90" s="2144"/>
      <c r="O90" s="2144"/>
      <c r="P90" s="2144"/>
      <c r="Q90" s="2144"/>
      <c r="R90" s="2144"/>
      <c r="S90" s="2144"/>
      <c r="T90" s="2"/>
      <c r="U90" s="2"/>
      <c r="V90" s="2"/>
      <c r="W90" s="2"/>
      <c r="X90" s="2"/>
      <c r="Y90" s="2"/>
      <c r="Z90" s="2"/>
      <c r="AA90" s="2"/>
      <c r="AB90" s="2"/>
      <c r="AC90" s="2"/>
      <c r="AD90" s="2"/>
      <c r="AE90" s="2"/>
      <c r="AF90" s="2"/>
      <c r="AG90" s="2"/>
      <c r="AH90" s="2"/>
    </row>
    <row r="91" spans="1:34">
      <c r="A91" s="2185"/>
      <c r="B91" s="491"/>
      <c r="C91" s="422"/>
      <c r="D91" s="422"/>
      <c r="E91" s="422"/>
      <c r="F91" s="422"/>
      <c r="G91" s="831"/>
      <c r="H91" s="442"/>
      <c r="I91" s="2010"/>
      <c r="J91" s="2010"/>
      <c r="K91" s="2010"/>
      <c r="L91" s="2010"/>
      <c r="M91" s="2010"/>
      <c r="N91" s="2010"/>
      <c r="O91" s="2010"/>
      <c r="P91" s="2010"/>
      <c r="Q91" s="2010"/>
      <c r="R91" s="2010"/>
      <c r="S91" s="2010"/>
      <c r="T91" s="2"/>
      <c r="U91" s="2"/>
      <c r="V91" s="2"/>
      <c r="W91" s="2"/>
      <c r="X91" s="2"/>
      <c r="Y91" s="2"/>
      <c r="Z91" s="2"/>
      <c r="AA91" s="2"/>
      <c r="AB91" s="2"/>
      <c r="AC91" s="2"/>
      <c r="AD91" s="2"/>
      <c r="AE91" s="2"/>
      <c r="AF91" s="2"/>
      <c r="AG91" s="2"/>
      <c r="AH91" s="2"/>
    </row>
    <row r="92" spans="1:34" ht="15.75" thickBot="1">
      <c r="A92" s="2185"/>
      <c r="B92" s="491"/>
      <c r="C92" s="422"/>
      <c r="D92" s="422"/>
      <c r="E92" s="422"/>
      <c r="F92" s="422"/>
      <c r="G92" s="831"/>
      <c r="H92" s="442"/>
      <c r="I92" s="2010"/>
      <c r="J92" s="2010"/>
      <c r="K92" s="2010"/>
      <c r="L92" s="2010"/>
      <c r="M92" s="2010"/>
      <c r="N92" s="2010"/>
      <c r="O92" s="2010"/>
      <c r="P92" s="2010"/>
      <c r="Q92" s="2010"/>
      <c r="R92" s="2010"/>
      <c r="S92" s="2010"/>
      <c r="T92" s="2"/>
      <c r="U92" s="2"/>
      <c r="V92" s="2"/>
      <c r="W92" s="2"/>
      <c r="X92" s="2"/>
      <c r="Y92" s="2"/>
      <c r="Z92" s="2"/>
      <c r="AA92" s="2"/>
      <c r="AB92" s="2"/>
      <c r="AC92" s="2"/>
      <c r="AD92" s="2"/>
      <c r="AE92" s="2"/>
      <c r="AF92" s="2"/>
      <c r="AG92" s="2"/>
      <c r="AH92" s="2"/>
    </row>
    <row r="93" spans="1:34" ht="16.5" thickTop="1" thickBot="1">
      <c r="A93" s="2331" t="s">
        <v>763</v>
      </c>
      <c r="B93" s="2365"/>
      <c r="C93" s="12"/>
      <c r="D93" s="12"/>
      <c r="E93" s="12"/>
      <c r="F93" s="12"/>
      <c r="G93" s="26"/>
      <c r="H93" s="24"/>
      <c r="I93" s="20"/>
      <c r="J93" s="20"/>
      <c r="K93" s="20"/>
      <c r="L93" s="20"/>
      <c r="M93" s="20"/>
      <c r="N93" s="20"/>
      <c r="O93" s="20"/>
      <c r="P93" s="20"/>
      <c r="Q93" s="20"/>
      <c r="R93" s="20"/>
      <c r="S93" s="20"/>
    </row>
    <row r="94" spans="1:34" ht="15.75" thickTop="1">
      <c r="A94" s="2151"/>
      <c r="B94" s="481" t="s">
        <v>764</v>
      </c>
      <c r="C94" s="422"/>
      <c r="D94" s="422"/>
      <c r="E94" s="422"/>
      <c r="F94" s="422"/>
      <c r="G94" s="831"/>
      <c r="H94" s="442"/>
      <c r="I94" s="2010"/>
      <c r="J94" s="2010"/>
      <c r="K94" s="2010"/>
      <c r="L94" s="2010"/>
      <c r="M94" s="2010"/>
      <c r="N94" s="2010"/>
      <c r="O94" s="2010"/>
      <c r="P94" s="2010"/>
      <c r="Q94" s="2010"/>
      <c r="R94" s="2010"/>
      <c r="S94" s="2010"/>
    </row>
    <row r="95" spans="1:34">
      <c r="A95" s="2151"/>
      <c r="B95" s="481" t="s">
        <v>765</v>
      </c>
      <c r="C95" s="422"/>
      <c r="D95" s="422"/>
      <c r="E95" s="422"/>
      <c r="F95" s="422"/>
      <c r="G95" s="831"/>
      <c r="H95" s="442"/>
      <c r="I95" s="2010"/>
      <c r="J95" s="2010"/>
      <c r="K95" s="2010"/>
      <c r="L95" s="2010"/>
      <c r="M95" s="2010"/>
      <c r="N95" s="2010"/>
      <c r="O95" s="2010"/>
      <c r="P95" s="2010"/>
      <c r="Q95" s="2010"/>
      <c r="R95" s="2010"/>
      <c r="S95" s="2010"/>
    </row>
    <row r="96" spans="1:34">
      <c r="A96" s="2151"/>
      <c r="B96" s="481" t="s">
        <v>766</v>
      </c>
      <c r="C96" s="422"/>
      <c r="D96" s="422"/>
      <c r="E96" s="422"/>
      <c r="F96" s="422"/>
      <c r="G96" s="831"/>
      <c r="H96" s="442"/>
      <c r="I96" s="2010"/>
      <c r="J96" s="2010"/>
      <c r="K96" s="2010"/>
      <c r="L96" s="2010"/>
      <c r="M96" s="2010"/>
      <c r="N96" s="2010"/>
      <c r="O96" s="2010"/>
      <c r="P96" s="2010"/>
      <c r="Q96" s="2010"/>
      <c r="R96" s="2010"/>
      <c r="S96" s="2010"/>
    </row>
    <row r="97" spans="1:34">
      <c r="A97" s="2151"/>
      <c r="B97" s="481" t="s">
        <v>767</v>
      </c>
      <c r="C97" s="422"/>
      <c r="D97" s="422"/>
      <c r="E97" s="422"/>
      <c r="F97" s="422"/>
      <c r="G97" s="831"/>
      <c r="H97" s="442"/>
      <c r="I97" s="2010"/>
      <c r="J97" s="2010"/>
      <c r="K97" s="2010"/>
      <c r="L97" s="2010"/>
      <c r="M97" s="2010"/>
      <c r="N97" s="2010"/>
      <c r="O97" s="2010"/>
      <c r="P97" s="2010"/>
      <c r="Q97" s="2010"/>
      <c r="R97" s="2010"/>
      <c r="S97" s="2010"/>
    </row>
    <row r="98" spans="1:34" ht="15.75" thickBot="1">
      <c r="A98" s="475"/>
      <c r="B98" s="340"/>
      <c r="C98" s="86"/>
      <c r="D98" s="86"/>
      <c r="E98" s="86"/>
      <c r="F98" s="86"/>
      <c r="G98" s="27"/>
      <c r="H98" s="25"/>
      <c r="I98" s="444"/>
      <c r="J98" s="444"/>
      <c r="K98" s="444"/>
      <c r="L98" s="444"/>
      <c r="M98" s="444"/>
      <c r="N98" s="444"/>
      <c r="O98" s="444"/>
      <c r="P98" s="444"/>
      <c r="Q98" s="444"/>
      <c r="R98" s="444"/>
      <c r="S98" s="444"/>
    </row>
    <row r="99" spans="1:34" ht="16.5" thickTop="1" thickBot="1">
      <c r="A99" s="7" t="s">
        <v>768</v>
      </c>
      <c r="B99" s="8"/>
      <c r="C99" s="12"/>
      <c r="D99" s="12"/>
      <c r="E99" s="12"/>
      <c r="F99" s="12"/>
      <c r="G99" s="26"/>
      <c r="H99" s="24"/>
      <c r="I99" s="20"/>
      <c r="J99" s="20"/>
      <c r="K99" s="20"/>
      <c r="L99" s="20"/>
      <c r="M99" s="20"/>
      <c r="N99" s="20"/>
      <c r="O99" s="20"/>
      <c r="P99" s="20"/>
      <c r="Q99" s="20"/>
      <c r="R99" s="20"/>
      <c r="S99" s="20"/>
    </row>
    <row r="100" spans="1:34" ht="15.75" thickTop="1">
      <c r="A100" s="2183"/>
      <c r="B100" s="2188" t="s">
        <v>769</v>
      </c>
      <c r="C100" s="2184"/>
      <c r="D100" s="2184"/>
      <c r="E100" s="2184"/>
      <c r="F100" s="2184"/>
      <c r="G100" s="2142"/>
      <c r="H100" s="2148"/>
      <c r="I100" s="2149"/>
      <c r="J100" s="2149"/>
      <c r="K100" s="2149"/>
      <c r="L100" s="2149"/>
      <c r="M100" s="2149"/>
      <c r="N100" s="2149"/>
      <c r="O100" s="2149"/>
      <c r="P100" s="2149"/>
      <c r="Q100" s="2149"/>
      <c r="R100" s="2149"/>
      <c r="S100" s="2149"/>
    </row>
    <row r="101" spans="1:34">
      <c r="A101" s="2151"/>
      <c r="B101" s="481" t="s">
        <v>770</v>
      </c>
      <c r="C101" s="422"/>
      <c r="D101" s="422"/>
      <c r="E101" s="422"/>
      <c r="F101" s="422"/>
      <c r="G101" s="831"/>
      <c r="H101" s="445"/>
      <c r="I101" s="2011"/>
      <c r="J101" s="2011"/>
      <c r="K101" s="2011"/>
      <c r="L101" s="2011"/>
      <c r="M101" s="2011"/>
      <c r="N101" s="2011"/>
      <c r="O101" s="2011"/>
      <c r="P101" s="2011"/>
      <c r="Q101" s="2011"/>
      <c r="R101" s="2011"/>
      <c r="S101" s="2011"/>
    </row>
    <row r="102" spans="1:34" ht="15.75" thickBot="1">
      <c r="A102" s="1685"/>
      <c r="B102" s="1686" t="s">
        <v>771</v>
      </c>
      <c r="C102" s="1186"/>
      <c r="D102" s="1186"/>
      <c r="E102" s="1186"/>
      <c r="F102" s="1186"/>
      <c r="G102" s="1187"/>
      <c r="H102" s="1188"/>
      <c r="I102" s="1189"/>
      <c r="J102" s="1189"/>
      <c r="K102" s="1189"/>
      <c r="L102" s="1189"/>
      <c r="M102" s="1189"/>
      <c r="N102" s="1189"/>
      <c r="O102" s="1189"/>
      <c r="P102" s="1189"/>
      <c r="Q102" s="1189"/>
      <c r="R102" s="1189"/>
      <c r="S102" s="1189"/>
    </row>
    <row r="103" spans="1:34" ht="16.5" thickTop="1" thickBot="1"/>
    <row r="104" spans="1:34" ht="16.5" thickTop="1" thickBot="1">
      <c r="A104" s="37" t="s">
        <v>772</v>
      </c>
      <c r="B104" s="39" t="s">
        <v>2994</v>
      </c>
    </row>
    <row r="105" spans="1:34" ht="15.75" thickTop="1">
      <c r="A105" s="38" t="s">
        <v>693</v>
      </c>
      <c r="B105" s="2039"/>
    </row>
    <row r="106" spans="1:34">
      <c r="A106" s="1142" t="s">
        <v>702</v>
      </c>
      <c r="B106" s="2039"/>
    </row>
    <row r="107" spans="1:34">
      <c r="A107" s="2013" t="s">
        <v>708</v>
      </c>
      <c r="B107" s="2014"/>
    </row>
    <row r="108" spans="1:34">
      <c r="A108" s="2013" t="s">
        <v>713</v>
      </c>
      <c r="B108" s="2015"/>
    </row>
    <row r="109" spans="1:34" s="2" customFormat="1" ht="15.75" thickBot="1">
      <c r="A109" s="1194" t="s">
        <v>69</v>
      </c>
      <c r="B109" s="1195"/>
      <c r="T109"/>
      <c r="U109"/>
      <c r="V109"/>
      <c r="W109"/>
      <c r="X109"/>
      <c r="Y109"/>
      <c r="Z109"/>
      <c r="AA109"/>
      <c r="AB109"/>
      <c r="AC109"/>
      <c r="AD109"/>
      <c r="AE109"/>
      <c r="AF109"/>
      <c r="AG109"/>
      <c r="AH109"/>
    </row>
    <row r="110" spans="1:34" s="2" customFormat="1" ht="15.75" thickTop="1">
      <c r="A110"/>
      <c r="B110" s="1"/>
      <c r="T110"/>
      <c r="U110"/>
      <c r="V110"/>
      <c r="W110"/>
      <c r="X110"/>
      <c r="Y110"/>
      <c r="Z110"/>
      <c r="AA110"/>
      <c r="AB110"/>
      <c r="AC110"/>
      <c r="AD110"/>
      <c r="AE110"/>
      <c r="AF110"/>
      <c r="AG110"/>
      <c r="AH110"/>
    </row>
    <row r="111" spans="1:34" ht="15.75" thickBot="1"/>
    <row r="112" spans="1:34" ht="16.5" thickTop="1" thickBot="1">
      <c r="A112" s="37" t="s">
        <v>772</v>
      </c>
      <c r="B112" s="39" t="s">
        <v>2995</v>
      </c>
    </row>
    <row r="113" spans="1:2" ht="15.75" thickTop="1">
      <c r="A113" s="38" t="s">
        <v>693</v>
      </c>
      <c r="B113" s="2039"/>
    </row>
    <row r="114" spans="1:2">
      <c r="A114" s="1142" t="s">
        <v>702</v>
      </c>
      <c r="B114" s="2039"/>
    </row>
    <row r="115" spans="1:2">
      <c r="A115" s="2013" t="s">
        <v>708</v>
      </c>
      <c r="B115" s="2014"/>
    </row>
    <row r="116" spans="1:2">
      <c r="A116" s="2013" t="s">
        <v>713</v>
      </c>
      <c r="B116" s="2015"/>
    </row>
    <row r="117" spans="1:2" ht="15.75" thickBot="1">
      <c r="A117" s="1194" t="s">
        <v>69</v>
      </c>
      <c r="B117" s="1195"/>
    </row>
    <row r="118" spans="1:2" ht="15.75" thickTop="1"/>
  </sheetData>
  <mergeCells count="47">
    <mergeCell ref="A77:B77"/>
    <mergeCell ref="A81:B81"/>
    <mergeCell ref="A85:B85"/>
    <mergeCell ref="A89:B89"/>
    <mergeCell ref="A93:B93"/>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2089BAF4-2A27-4E1B-A417-7C104219C5FA}"/>
  </hyperlink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1E4C-B765-4A18-9559-D1F341E36417}">
  <dimension ref="B1:BO206"/>
  <sheetViews>
    <sheetView workbookViewId="0">
      <selection activeCell="C16" sqref="C16"/>
    </sheetView>
  </sheetViews>
  <sheetFormatPr defaultRowHeight="15"/>
  <cols>
    <col min="2" max="2" width="7.7109375" style="75" customWidth="1"/>
    <col min="3" max="3" width="79.42578125" style="76" bestFit="1" customWidth="1"/>
    <col min="4" max="4" width="11.7109375" style="77" bestFit="1" customWidth="1"/>
    <col min="5" max="5" width="7.28515625" style="76" bestFit="1" customWidth="1"/>
    <col min="6" max="6" width="12.28515625" style="78" bestFit="1" customWidth="1"/>
    <col min="7" max="8" width="12.7109375" style="76" bestFit="1" customWidth="1"/>
    <col min="9" max="10" width="11.5703125" style="76" bestFit="1" customWidth="1"/>
    <col min="11" max="11" width="12.7109375" style="76" bestFit="1" customWidth="1"/>
    <col min="12" max="12" width="11.5703125" style="76" bestFit="1" customWidth="1"/>
    <col min="13" max="13" width="10.7109375" style="76" bestFit="1" customWidth="1"/>
    <col min="14" max="15" width="9.7109375" style="76" bestFit="1" customWidth="1"/>
    <col min="16" max="16" width="9.140625" style="76"/>
  </cols>
  <sheetData>
    <row r="1" spans="2:7">
      <c r="B1" s="75" t="s">
        <v>2996</v>
      </c>
    </row>
    <row r="2" spans="2:7">
      <c r="B2" s="75">
        <v>10</v>
      </c>
      <c r="C2" s="76" t="s">
        <v>770</v>
      </c>
      <c r="D2" s="77" t="s">
        <v>2997</v>
      </c>
      <c r="F2" s="78">
        <v>17500</v>
      </c>
      <c r="G2" s="79">
        <v>17500</v>
      </c>
    </row>
    <row r="3" spans="2:7">
      <c r="B3" s="75">
        <v>20</v>
      </c>
      <c r="C3" s="76" t="s">
        <v>2998</v>
      </c>
      <c r="D3" s="77" t="s">
        <v>2997</v>
      </c>
      <c r="F3" s="78">
        <v>33960</v>
      </c>
      <c r="G3" s="79">
        <v>33960</v>
      </c>
    </row>
    <row r="4" spans="2:7">
      <c r="C4" s="79"/>
    </row>
    <row r="5" spans="2:7">
      <c r="B5" s="75" t="s">
        <v>2999</v>
      </c>
    </row>
    <row r="6" spans="2:7">
      <c r="B6" s="75">
        <v>50</v>
      </c>
      <c r="C6" s="76" t="s">
        <v>2688</v>
      </c>
      <c r="D6" s="77" t="s">
        <v>3000</v>
      </c>
      <c r="F6" s="78">
        <v>1</v>
      </c>
      <c r="G6" s="79">
        <v>2600</v>
      </c>
    </row>
    <row r="7" spans="2:7">
      <c r="B7" s="75">
        <v>55</v>
      </c>
      <c r="C7" s="76" t="s">
        <v>3001</v>
      </c>
      <c r="D7" s="77" t="s">
        <v>3002</v>
      </c>
      <c r="F7" s="78">
        <v>800</v>
      </c>
      <c r="G7" s="79">
        <v>4800</v>
      </c>
    </row>
    <row r="8" spans="2:7">
      <c r="B8" s="75">
        <v>70</v>
      </c>
      <c r="C8" s="76" t="s">
        <v>3003</v>
      </c>
      <c r="D8" s="77" t="s">
        <v>3004</v>
      </c>
      <c r="F8" s="78">
        <v>250</v>
      </c>
      <c r="G8" s="79">
        <v>5500</v>
      </c>
    </row>
    <row r="9" spans="2:7">
      <c r="B9" s="75">
        <v>75</v>
      </c>
      <c r="C9" s="76" t="s">
        <v>3005</v>
      </c>
      <c r="D9" s="77" t="s">
        <v>3006</v>
      </c>
      <c r="F9" s="78">
        <v>10</v>
      </c>
      <c r="G9" s="79">
        <v>1000</v>
      </c>
    </row>
    <row r="10" spans="2:7">
      <c r="G10" s="79"/>
    </row>
    <row r="11" spans="2:7">
      <c r="B11" s="75" t="s">
        <v>3007</v>
      </c>
    </row>
    <row r="12" spans="2:7">
      <c r="B12" s="75">
        <v>108</v>
      </c>
      <c r="C12" s="76" t="s">
        <v>3008</v>
      </c>
      <c r="D12" s="77" t="s">
        <v>2997</v>
      </c>
      <c r="F12" s="78">
        <v>31000</v>
      </c>
      <c r="G12" s="79">
        <v>31000</v>
      </c>
    </row>
    <row r="13" spans="2:7">
      <c r="B13" s="75">
        <v>110</v>
      </c>
      <c r="C13" s="76" t="s">
        <v>3009</v>
      </c>
      <c r="D13" s="77" t="s">
        <v>3010</v>
      </c>
      <c r="F13" s="78">
        <v>4.5</v>
      </c>
      <c r="G13" s="79">
        <v>2700</v>
      </c>
    </row>
    <row r="14" spans="2:7">
      <c r="B14" s="75">
        <v>115</v>
      </c>
      <c r="C14" s="76" t="s">
        <v>3011</v>
      </c>
      <c r="D14" s="77" t="s">
        <v>3012</v>
      </c>
      <c r="F14" s="78">
        <v>12</v>
      </c>
      <c r="G14" s="79">
        <v>234000</v>
      </c>
    </row>
    <row r="15" spans="2:7">
      <c r="B15" s="75">
        <v>120</v>
      </c>
      <c r="C15" s="76" t="s">
        <v>3013</v>
      </c>
      <c r="D15" s="77" t="s">
        <v>3014</v>
      </c>
      <c r="F15" s="78">
        <v>0.35</v>
      </c>
      <c r="G15" s="79">
        <v>9905</v>
      </c>
    </row>
    <row r="16" spans="2:7">
      <c r="B16" s="75">
        <v>125</v>
      </c>
      <c r="C16" s="76" t="s">
        <v>3015</v>
      </c>
      <c r="D16" s="77" t="s">
        <v>3014</v>
      </c>
      <c r="F16" s="78">
        <v>1.2</v>
      </c>
      <c r="G16" s="79">
        <v>33960</v>
      </c>
    </row>
    <row r="17" spans="2:7">
      <c r="B17" s="75">
        <v>130</v>
      </c>
      <c r="C17" s="76" t="s">
        <v>3016</v>
      </c>
      <c r="D17" s="77" t="s">
        <v>2997</v>
      </c>
      <c r="F17" s="78">
        <v>34000</v>
      </c>
      <c r="G17" s="79">
        <v>34000</v>
      </c>
    </row>
    <row r="18" spans="2:7">
      <c r="B18" s="75">
        <v>135</v>
      </c>
      <c r="C18" s="76" t="s">
        <v>3017</v>
      </c>
      <c r="D18" s="77" t="s">
        <v>3018</v>
      </c>
      <c r="F18" s="78">
        <v>2.5</v>
      </c>
      <c r="G18" s="79">
        <v>10500</v>
      </c>
    </row>
    <row r="19" spans="2:7">
      <c r="G19" s="79"/>
    </row>
    <row r="20" spans="2:7">
      <c r="B20" s="75" t="s">
        <v>3019</v>
      </c>
    </row>
    <row r="21" spans="2:7">
      <c r="B21" s="75">
        <v>200</v>
      </c>
      <c r="C21" s="76" t="s">
        <v>3020</v>
      </c>
      <c r="D21" s="77" t="s">
        <v>3021</v>
      </c>
      <c r="F21" s="78">
        <v>4.8</v>
      </c>
      <c r="G21" s="79">
        <v>41280</v>
      </c>
    </row>
    <row r="22" spans="2:7">
      <c r="B22" s="75">
        <v>205</v>
      </c>
      <c r="C22" s="76" t="s">
        <v>3022</v>
      </c>
      <c r="D22" s="77" t="s">
        <v>3023</v>
      </c>
      <c r="F22" s="78">
        <v>11</v>
      </c>
      <c r="G22" s="79">
        <v>89100</v>
      </c>
    </row>
    <row r="23" spans="2:7">
      <c r="B23" s="75">
        <v>215</v>
      </c>
      <c r="C23" s="76" t="s">
        <v>3024</v>
      </c>
      <c r="D23" s="77" t="s">
        <v>3025</v>
      </c>
      <c r="F23" s="78">
        <v>6.6</v>
      </c>
      <c r="G23" s="79">
        <v>52800</v>
      </c>
    </row>
    <row r="24" spans="2:7">
      <c r="B24" s="75">
        <v>220</v>
      </c>
      <c r="C24" s="76" t="s">
        <v>3026</v>
      </c>
      <c r="D24" s="77" t="s">
        <v>3025</v>
      </c>
      <c r="F24" s="78">
        <v>7</v>
      </c>
      <c r="G24" s="79">
        <v>56000</v>
      </c>
    </row>
    <row r="25" spans="2:7">
      <c r="B25" s="75">
        <v>225</v>
      </c>
      <c r="C25" s="76" t="s">
        <v>3027</v>
      </c>
      <c r="D25" s="77" t="s">
        <v>3028</v>
      </c>
      <c r="F25" s="78">
        <v>51</v>
      </c>
      <c r="G25" s="79">
        <v>4335</v>
      </c>
    </row>
    <row r="26" spans="2:7">
      <c r="B26" s="75">
        <v>230</v>
      </c>
      <c r="C26" s="76" t="s">
        <v>3029</v>
      </c>
      <c r="D26" s="77" t="s">
        <v>3030</v>
      </c>
      <c r="F26" s="78">
        <v>6</v>
      </c>
      <c r="G26" s="79">
        <v>9000</v>
      </c>
    </row>
    <row r="27" spans="2:7">
      <c r="B27" s="75">
        <v>240</v>
      </c>
      <c r="C27" s="76" t="s">
        <v>3031</v>
      </c>
      <c r="D27" s="77" t="s">
        <v>3032</v>
      </c>
      <c r="F27" s="78">
        <v>11.2</v>
      </c>
      <c r="G27" s="79">
        <v>47600</v>
      </c>
    </row>
    <row r="28" spans="2:7">
      <c r="B28" s="75">
        <v>241</v>
      </c>
      <c r="C28" s="76" t="s">
        <v>3033</v>
      </c>
      <c r="D28" s="77" t="s">
        <v>3034</v>
      </c>
      <c r="F28" s="78">
        <v>17.2</v>
      </c>
      <c r="G28" s="79">
        <v>1892</v>
      </c>
    </row>
    <row r="29" spans="2:7">
      <c r="B29" s="75">
        <v>242</v>
      </c>
      <c r="C29" s="76" t="s">
        <v>3035</v>
      </c>
      <c r="D29" s="77" t="s">
        <v>3036</v>
      </c>
      <c r="F29" s="78">
        <v>19.2</v>
      </c>
      <c r="G29" s="79">
        <v>4800</v>
      </c>
    </row>
    <row r="30" spans="2:7">
      <c r="B30" s="75">
        <v>245</v>
      </c>
      <c r="C30" s="76" t="s">
        <v>3037</v>
      </c>
      <c r="D30" s="77" t="s">
        <v>3038</v>
      </c>
      <c r="F30" s="78">
        <v>21</v>
      </c>
      <c r="G30" s="79">
        <v>3045</v>
      </c>
    </row>
    <row r="31" spans="2:7">
      <c r="B31" s="75">
        <v>250</v>
      </c>
      <c r="C31" s="76" t="s">
        <v>3039</v>
      </c>
      <c r="D31" s="77" t="s">
        <v>3040</v>
      </c>
      <c r="F31" s="78">
        <v>3.8</v>
      </c>
      <c r="G31" s="79">
        <v>53200</v>
      </c>
    </row>
    <row r="32" spans="2:7">
      <c r="B32" s="75">
        <v>252</v>
      </c>
      <c r="C32" s="76" t="s">
        <v>3041</v>
      </c>
      <c r="D32" s="77" t="s">
        <v>3042</v>
      </c>
      <c r="F32" s="78">
        <v>7.2</v>
      </c>
      <c r="G32" s="79">
        <v>864</v>
      </c>
    </row>
    <row r="33" spans="2:7">
      <c r="B33" s="75">
        <v>255</v>
      </c>
      <c r="C33" s="76" t="s">
        <v>3043</v>
      </c>
      <c r="D33" s="77" t="s">
        <v>3044</v>
      </c>
      <c r="F33" s="78">
        <v>800</v>
      </c>
      <c r="G33" s="79">
        <v>5600</v>
      </c>
    </row>
    <row r="34" spans="2:7">
      <c r="B34" s="75">
        <v>256</v>
      </c>
      <c r="C34" s="76" t="s">
        <v>3045</v>
      </c>
      <c r="D34" s="77" t="s">
        <v>3046</v>
      </c>
      <c r="F34" s="78">
        <v>43</v>
      </c>
      <c r="G34" s="79">
        <v>27950</v>
      </c>
    </row>
    <row r="35" spans="2:7">
      <c r="B35" s="75">
        <v>260</v>
      </c>
      <c r="C35" s="76" t="s">
        <v>3047</v>
      </c>
      <c r="D35" s="77" t="s">
        <v>2997</v>
      </c>
      <c r="F35" s="78">
        <v>13650</v>
      </c>
      <c r="G35" s="79">
        <v>13650</v>
      </c>
    </row>
    <row r="36" spans="2:7">
      <c r="G36" s="79"/>
    </row>
    <row r="37" spans="2:7">
      <c r="B37" s="75" t="s">
        <v>3048</v>
      </c>
    </row>
    <row r="38" spans="2:7">
      <c r="B38" s="75">
        <v>300</v>
      </c>
      <c r="C38" s="76" t="s">
        <v>3049</v>
      </c>
      <c r="D38" s="77" t="s">
        <v>3050</v>
      </c>
      <c r="F38" s="78">
        <v>34</v>
      </c>
      <c r="G38" s="79">
        <v>1870</v>
      </c>
    </row>
    <row r="39" spans="2:7">
      <c r="B39" s="75">
        <v>305</v>
      </c>
      <c r="C39" s="76" t="s">
        <v>3051</v>
      </c>
      <c r="D39" s="77" t="s">
        <v>3052</v>
      </c>
      <c r="F39" s="78">
        <v>36</v>
      </c>
      <c r="G39" s="79">
        <v>2736</v>
      </c>
    </row>
    <row r="40" spans="2:7">
      <c r="B40" s="75">
        <v>310</v>
      </c>
      <c r="C40" s="76" t="s">
        <v>3053</v>
      </c>
      <c r="D40" s="77" t="s">
        <v>3054</v>
      </c>
      <c r="F40" s="78">
        <v>43</v>
      </c>
      <c r="G40" s="79">
        <v>11653</v>
      </c>
    </row>
    <row r="41" spans="2:7">
      <c r="B41" s="75">
        <v>315</v>
      </c>
      <c r="C41" s="76" t="s">
        <v>3055</v>
      </c>
      <c r="D41" s="77" t="s">
        <v>3056</v>
      </c>
      <c r="F41" s="78">
        <v>38</v>
      </c>
      <c r="G41" s="79">
        <v>21280</v>
      </c>
    </row>
    <row r="42" spans="2:7">
      <c r="B42" s="75">
        <v>320</v>
      </c>
      <c r="C42" s="76" t="s">
        <v>3057</v>
      </c>
      <c r="D42" s="77" t="s">
        <v>3058</v>
      </c>
      <c r="F42" s="78">
        <v>44</v>
      </c>
      <c r="G42" s="79">
        <v>20548</v>
      </c>
    </row>
    <row r="43" spans="2:7">
      <c r="B43" s="75">
        <v>325</v>
      </c>
      <c r="C43" s="76" t="s">
        <v>3059</v>
      </c>
      <c r="D43" s="77" t="s">
        <v>3060</v>
      </c>
      <c r="F43" s="78">
        <v>50</v>
      </c>
      <c r="G43" s="79">
        <v>7100</v>
      </c>
    </row>
    <row r="44" spans="2:7">
      <c r="B44" s="75">
        <v>330</v>
      </c>
      <c r="C44" s="76" t="s">
        <v>3061</v>
      </c>
      <c r="D44" s="77" t="s">
        <v>3062</v>
      </c>
      <c r="F44" s="78">
        <v>60</v>
      </c>
      <c r="G44" s="79">
        <v>106500</v>
      </c>
    </row>
    <row r="45" spans="2:7">
      <c r="B45" s="75">
        <v>332</v>
      </c>
      <c r="C45" s="76" t="s">
        <v>3063</v>
      </c>
      <c r="D45" s="77" t="s">
        <v>3064</v>
      </c>
      <c r="F45" s="78">
        <v>88</v>
      </c>
      <c r="G45" s="79">
        <v>5368</v>
      </c>
    </row>
    <row r="46" spans="2:7">
      <c r="B46" s="75">
        <v>335</v>
      </c>
      <c r="C46" s="76" t="s">
        <v>3065</v>
      </c>
      <c r="D46" s="77" t="s">
        <v>3066</v>
      </c>
      <c r="F46" s="78">
        <v>95</v>
      </c>
      <c r="G46" s="79">
        <v>14535</v>
      </c>
    </row>
    <row r="47" spans="2:7">
      <c r="B47" s="75">
        <v>340</v>
      </c>
      <c r="C47" s="76" t="s">
        <v>3067</v>
      </c>
      <c r="D47" s="77" t="s">
        <v>3068</v>
      </c>
      <c r="F47" s="78">
        <v>980</v>
      </c>
      <c r="G47" s="79">
        <v>3920</v>
      </c>
    </row>
    <row r="48" spans="2:7">
      <c r="B48" s="75">
        <v>345</v>
      </c>
      <c r="C48" s="76" t="s">
        <v>3069</v>
      </c>
      <c r="D48" s="77" t="s">
        <v>3070</v>
      </c>
      <c r="F48" s="78">
        <v>1700</v>
      </c>
      <c r="G48" s="79">
        <v>13600</v>
      </c>
    </row>
    <row r="49" spans="2:7">
      <c r="B49" s="75">
        <v>350</v>
      </c>
      <c r="C49" s="76" t="s">
        <v>3071</v>
      </c>
      <c r="D49" s="77" t="s">
        <v>3072</v>
      </c>
      <c r="F49" s="78">
        <v>4250</v>
      </c>
      <c r="G49" s="79">
        <v>4250</v>
      </c>
    </row>
    <row r="50" spans="2:7">
      <c r="B50" s="75">
        <v>355</v>
      </c>
      <c r="C50" s="76" t="s">
        <v>3073</v>
      </c>
      <c r="D50" s="77" t="s">
        <v>3072</v>
      </c>
      <c r="F50" s="78">
        <v>4100</v>
      </c>
      <c r="G50" s="79">
        <v>4100</v>
      </c>
    </row>
    <row r="51" spans="2:7">
      <c r="B51" s="75">
        <v>360</v>
      </c>
      <c r="C51" s="76" t="s">
        <v>3074</v>
      </c>
      <c r="D51" s="77" t="s">
        <v>3075</v>
      </c>
      <c r="F51" s="78">
        <v>5200</v>
      </c>
      <c r="G51" s="79">
        <v>26000</v>
      </c>
    </row>
    <row r="52" spans="2:7">
      <c r="B52" s="75">
        <v>362</v>
      </c>
      <c r="C52" s="76" t="s">
        <v>3076</v>
      </c>
      <c r="D52" s="77" t="s">
        <v>3072</v>
      </c>
      <c r="F52" s="78">
        <v>28000</v>
      </c>
      <c r="G52" s="79">
        <v>28000</v>
      </c>
    </row>
    <row r="53" spans="2:7">
      <c r="B53" s="75">
        <v>364</v>
      </c>
      <c r="C53" s="76" t="s">
        <v>3077</v>
      </c>
      <c r="D53" s="77" t="s">
        <v>3070</v>
      </c>
      <c r="F53" s="78">
        <v>4700</v>
      </c>
      <c r="G53" s="79">
        <v>37600</v>
      </c>
    </row>
    <row r="54" spans="2:7">
      <c r="B54" s="75">
        <v>366</v>
      </c>
      <c r="C54" s="76" t="s">
        <v>3078</v>
      </c>
      <c r="D54" s="77" t="s">
        <v>3079</v>
      </c>
      <c r="F54" s="78">
        <v>4600</v>
      </c>
      <c r="G54" s="79">
        <v>41400</v>
      </c>
    </row>
    <row r="55" spans="2:7">
      <c r="B55" s="75">
        <v>368</v>
      </c>
      <c r="C55" s="76" t="s">
        <v>3080</v>
      </c>
      <c r="D55" s="77" t="s">
        <v>3081</v>
      </c>
      <c r="F55" s="78">
        <v>4550</v>
      </c>
      <c r="G55" s="79">
        <v>9100</v>
      </c>
    </row>
    <row r="56" spans="2:7">
      <c r="B56" s="75">
        <v>369</v>
      </c>
      <c r="C56" s="76" t="s">
        <v>3082</v>
      </c>
      <c r="D56" s="77" t="s">
        <v>3072</v>
      </c>
      <c r="F56" s="78">
        <v>4400</v>
      </c>
      <c r="G56" s="79">
        <v>4400</v>
      </c>
    </row>
    <row r="57" spans="2:7">
      <c r="B57" s="75">
        <v>370</v>
      </c>
      <c r="C57" s="76" t="s">
        <v>3083</v>
      </c>
      <c r="D57" s="77" t="s">
        <v>3072</v>
      </c>
      <c r="F57" s="78">
        <v>5400</v>
      </c>
      <c r="G57" s="79">
        <v>5400</v>
      </c>
    </row>
    <row r="58" spans="2:7">
      <c r="B58" s="75">
        <v>380</v>
      </c>
      <c r="C58" s="76" t="s">
        <v>3084</v>
      </c>
      <c r="D58" s="77" t="s">
        <v>3085</v>
      </c>
      <c r="F58" s="78">
        <v>10</v>
      </c>
      <c r="G58" s="79">
        <v>35600</v>
      </c>
    </row>
    <row r="59" spans="2:7">
      <c r="B59" s="75">
        <v>385</v>
      </c>
      <c r="C59" s="76" t="s">
        <v>3086</v>
      </c>
      <c r="D59" s="77" t="s">
        <v>3085</v>
      </c>
      <c r="F59" s="78">
        <v>5</v>
      </c>
      <c r="G59" s="79">
        <v>17800</v>
      </c>
    </row>
    <row r="60" spans="2:7">
      <c r="G60" s="79"/>
    </row>
    <row r="61" spans="2:7">
      <c r="B61" s="75" t="s">
        <v>3087</v>
      </c>
    </row>
    <row r="62" spans="2:7">
      <c r="B62" s="75">
        <v>405</v>
      </c>
      <c r="C62" s="76" t="s">
        <v>3088</v>
      </c>
      <c r="D62" s="77" t="s">
        <v>3089</v>
      </c>
      <c r="F62" s="78">
        <v>46</v>
      </c>
      <c r="G62" s="79">
        <v>1380</v>
      </c>
    </row>
    <row r="63" spans="2:7">
      <c r="B63" s="75">
        <v>410</v>
      </c>
      <c r="C63" s="76" t="s">
        <v>3090</v>
      </c>
      <c r="D63" s="77" t="s">
        <v>3091</v>
      </c>
      <c r="F63" s="78">
        <v>50</v>
      </c>
      <c r="G63" s="79">
        <v>11000</v>
      </c>
    </row>
    <row r="64" spans="2:7">
      <c r="B64" s="75">
        <v>415</v>
      </c>
      <c r="C64" s="76" t="s">
        <v>3092</v>
      </c>
      <c r="D64" s="77" t="s">
        <v>3072</v>
      </c>
      <c r="F64" s="78">
        <v>6500</v>
      </c>
      <c r="G64" s="79">
        <v>6500</v>
      </c>
    </row>
    <row r="65" spans="2:7">
      <c r="B65" s="75">
        <v>420</v>
      </c>
      <c r="C65" s="76" t="s">
        <v>3093</v>
      </c>
      <c r="D65" s="77" t="s">
        <v>3072</v>
      </c>
      <c r="F65" s="78">
        <v>7600</v>
      </c>
      <c r="G65" s="79">
        <v>7600</v>
      </c>
    </row>
    <row r="66" spans="2:7">
      <c r="B66" s="75">
        <v>425</v>
      </c>
      <c r="C66" s="76" t="s">
        <v>3094</v>
      </c>
      <c r="D66" s="77" t="s">
        <v>3095</v>
      </c>
      <c r="F66" s="78">
        <v>40</v>
      </c>
      <c r="G66" s="79">
        <v>11120</v>
      </c>
    </row>
    <row r="67" spans="2:7">
      <c r="B67" s="75">
        <v>426</v>
      </c>
      <c r="C67" s="76" t="s">
        <v>3096</v>
      </c>
      <c r="D67" s="77" t="s">
        <v>2997</v>
      </c>
      <c r="F67" s="78">
        <v>2700</v>
      </c>
      <c r="G67" s="79">
        <v>2700</v>
      </c>
    </row>
    <row r="68" spans="2:7">
      <c r="B68" s="75">
        <v>428</v>
      </c>
      <c r="C68" s="76" t="s">
        <v>3097</v>
      </c>
      <c r="D68" s="77" t="s">
        <v>3081</v>
      </c>
      <c r="F68" s="78">
        <v>10000</v>
      </c>
      <c r="G68" s="79">
        <v>20000</v>
      </c>
    </row>
    <row r="69" spans="2:7">
      <c r="B69" s="75">
        <v>440</v>
      </c>
      <c r="C69" s="76" t="s">
        <v>3098</v>
      </c>
      <c r="D69" s="77" t="s">
        <v>3036</v>
      </c>
      <c r="F69" s="78">
        <v>10</v>
      </c>
      <c r="G69" s="79">
        <v>2500</v>
      </c>
    </row>
    <row r="70" spans="2:7">
      <c r="B70" s="75">
        <v>445</v>
      </c>
      <c r="C70" s="76" t="s">
        <v>3099</v>
      </c>
      <c r="D70" s="77" t="s">
        <v>3036</v>
      </c>
      <c r="F70" s="78">
        <v>5</v>
      </c>
      <c r="G70" s="79">
        <v>1250</v>
      </c>
    </row>
    <row r="71" spans="2:7">
      <c r="G71" s="79"/>
    </row>
    <row r="72" spans="2:7">
      <c r="B72" s="75" t="s">
        <v>3100</v>
      </c>
    </row>
    <row r="73" spans="2:7">
      <c r="B73" s="75">
        <v>460</v>
      </c>
      <c r="C73" s="76" t="s">
        <v>3101</v>
      </c>
      <c r="D73" s="77" t="s">
        <v>3102</v>
      </c>
      <c r="F73" s="78">
        <v>45</v>
      </c>
      <c r="G73" s="79">
        <v>13725</v>
      </c>
    </row>
    <row r="74" spans="2:7">
      <c r="B74" s="75">
        <v>470</v>
      </c>
      <c r="C74" s="76" t="s">
        <v>3103</v>
      </c>
      <c r="D74" s="77" t="s">
        <v>2997</v>
      </c>
      <c r="F74" s="78">
        <v>2300</v>
      </c>
      <c r="G74" s="79">
        <v>2300</v>
      </c>
    </row>
    <row r="75" spans="2:7">
      <c r="B75" s="75">
        <v>475</v>
      </c>
      <c r="C75" s="76" t="s">
        <v>3104</v>
      </c>
      <c r="D75" s="77" t="s">
        <v>2997</v>
      </c>
      <c r="F75" s="78">
        <v>132000</v>
      </c>
      <c r="G75" s="79">
        <v>132000</v>
      </c>
    </row>
    <row r="76" spans="2:7">
      <c r="B76" s="75">
        <v>485</v>
      </c>
      <c r="C76" s="76" t="s">
        <v>3098</v>
      </c>
      <c r="D76" s="77" t="s">
        <v>3102</v>
      </c>
      <c r="F76" s="78">
        <v>10</v>
      </c>
      <c r="G76" s="79">
        <v>3050</v>
      </c>
    </row>
    <row r="77" spans="2:7">
      <c r="B77" s="75">
        <v>490</v>
      </c>
      <c r="C77" s="76" t="s">
        <v>3105</v>
      </c>
      <c r="D77" s="77" t="s">
        <v>3102</v>
      </c>
      <c r="F77" s="78">
        <v>5</v>
      </c>
      <c r="G77" s="79">
        <v>1525</v>
      </c>
    </row>
    <row r="78" spans="2:7">
      <c r="G78" s="79"/>
    </row>
    <row r="79" spans="2:7">
      <c r="B79" s="75" t="s">
        <v>3106</v>
      </c>
    </row>
    <row r="80" spans="2:7">
      <c r="B80" s="75">
        <v>505</v>
      </c>
      <c r="C80" s="76" t="s">
        <v>3107</v>
      </c>
      <c r="D80" s="77" t="s">
        <v>3108</v>
      </c>
      <c r="F80" s="78">
        <v>30</v>
      </c>
      <c r="G80" s="79">
        <v>40290</v>
      </c>
    </row>
    <row r="81" spans="2:7">
      <c r="B81" s="75">
        <v>506</v>
      </c>
      <c r="C81" s="76" t="s">
        <v>3109</v>
      </c>
      <c r="D81" s="77" t="s">
        <v>3110</v>
      </c>
      <c r="F81" s="78">
        <v>45</v>
      </c>
      <c r="G81" s="79">
        <v>2250</v>
      </c>
    </row>
    <row r="82" spans="2:7">
      <c r="B82" s="75">
        <v>510</v>
      </c>
      <c r="C82" s="76" t="s">
        <v>3111</v>
      </c>
      <c r="D82" s="77" t="s">
        <v>3068</v>
      </c>
      <c r="F82" s="78">
        <v>2600</v>
      </c>
      <c r="G82" s="79">
        <v>10400</v>
      </c>
    </row>
    <row r="83" spans="2:7">
      <c r="B83" s="75">
        <v>515</v>
      </c>
      <c r="C83" s="76" t="s">
        <v>3112</v>
      </c>
      <c r="D83" s="77" t="s">
        <v>3034</v>
      </c>
      <c r="F83" s="78">
        <v>28</v>
      </c>
      <c r="G83" s="79">
        <v>3080</v>
      </c>
    </row>
    <row r="84" spans="2:7">
      <c r="B84" s="75">
        <v>520</v>
      </c>
      <c r="C84" s="76" t="s">
        <v>3113</v>
      </c>
      <c r="D84" s="77" t="s">
        <v>3081</v>
      </c>
      <c r="F84" s="78">
        <v>2350</v>
      </c>
      <c r="G84" s="79">
        <v>4700</v>
      </c>
    </row>
    <row r="85" spans="2:7">
      <c r="B85" s="75">
        <v>525</v>
      </c>
      <c r="C85" s="76" t="s">
        <v>3114</v>
      </c>
      <c r="D85" s="77" t="s">
        <v>2997</v>
      </c>
      <c r="F85" s="78">
        <v>22000</v>
      </c>
      <c r="G85" s="79">
        <v>22000</v>
      </c>
    </row>
    <row r="86" spans="2:7">
      <c r="B86" s="75">
        <v>530</v>
      </c>
      <c r="C86" s="76" t="s">
        <v>3115</v>
      </c>
      <c r="D86" s="77" t="s">
        <v>3068</v>
      </c>
      <c r="F86" s="78">
        <v>5300</v>
      </c>
      <c r="G86" s="79">
        <v>21200</v>
      </c>
    </row>
    <row r="87" spans="2:7">
      <c r="B87" s="75">
        <v>535</v>
      </c>
      <c r="C87" s="76" t="s">
        <v>3116</v>
      </c>
      <c r="D87" s="77" t="s">
        <v>3072</v>
      </c>
      <c r="F87" s="78">
        <v>1800</v>
      </c>
      <c r="G87" s="79">
        <v>1800</v>
      </c>
    </row>
    <row r="88" spans="2:7">
      <c r="B88" s="75">
        <v>540</v>
      </c>
      <c r="C88" s="76" t="s">
        <v>3103</v>
      </c>
      <c r="D88" s="77" t="s">
        <v>2997</v>
      </c>
      <c r="F88" s="78">
        <v>3550</v>
      </c>
      <c r="G88" s="79">
        <v>3550</v>
      </c>
    </row>
    <row r="89" spans="2:7">
      <c r="B89" s="75">
        <v>545</v>
      </c>
      <c r="C89" s="76" t="s">
        <v>3117</v>
      </c>
      <c r="D89" s="77" t="s">
        <v>3072</v>
      </c>
      <c r="F89" s="78">
        <v>2500</v>
      </c>
      <c r="G89" s="79">
        <v>2500</v>
      </c>
    </row>
    <row r="90" spans="2:7">
      <c r="B90" s="75">
        <v>550</v>
      </c>
      <c r="C90" s="76" t="s">
        <v>3118</v>
      </c>
      <c r="D90" s="77" t="s">
        <v>2997</v>
      </c>
      <c r="F90" s="78">
        <v>2800</v>
      </c>
      <c r="G90" s="79">
        <v>2800</v>
      </c>
    </row>
    <row r="91" spans="2:7">
      <c r="G91" s="79"/>
    </row>
    <row r="92" spans="2:7">
      <c r="B92" s="75" t="s">
        <v>3119</v>
      </c>
    </row>
    <row r="93" spans="2:7">
      <c r="B93" s="75">
        <v>600</v>
      </c>
      <c r="C93" s="76" t="s">
        <v>3120</v>
      </c>
      <c r="D93" s="77" t="s">
        <v>3121</v>
      </c>
      <c r="F93" s="78">
        <v>70</v>
      </c>
      <c r="G93" s="79">
        <v>9450</v>
      </c>
    </row>
    <row r="94" spans="2:7">
      <c r="B94" s="75">
        <v>605</v>
      </c>
      <c r="C94" s="76" t="s">
        <v>3122</v>
      </c>
      <c r="D94" s="77" t="s">
        <v>3072</v>
      </c>
      <c r="F94" s="78">
        <v>10000</v>
      </c>
      <c r="G94" s="79">
        <v>10000</v>
      </c>
    </row>
    <row r="95" spans="2:7">
      <c r="B95" s="75">
        <v>610</v>
      </c>
      <c r="C95" s="76" t="s">
        <v>3123</v>
      </c>
      <c r="D95" s="77" t="s">
        <v>3124</v>
      </c>
      <c r="F95" s="78">
        <v>28</v>
      </c>
      <c r="G95" s="79">
        <v>420</v>
      </c>
    </row>
    <row r="96" spans="2:7">
      <c r="B96" s="75">
        <v>615</v>
      </c>
      <c r="C96" s="76" t="s">
        <v>3125</v>
      </c>
      <c r="D96" s="77" t="s">
        <v>2997</v>
      </c>
      <c r="F96" s="78">
        <v>2100</v>
      </c>
      <c r="G96" s="79">
        <v>2100</v>
      </c>
    </row>
    <row r="97" spans="2:10">
      <c r="B97" s="75">
        <v>620</v>
      </c>
      <c r="C97" s="76" t="s">
        <v>3126</v>
      </c>
      <c r="D97" s="77" t="s">
        <v>3072</v>
      </c>
      <c r="F97" s="78">
        <v>2500</v>
      </c>
      <c r="G97" s="79">
        <v>2500</v>
      </c>
    </row>
    <row r="98" spans="2:10">
      <c r="B98" s="75">
        <v>625</v>
      </c>
      <c r="C98" s="76" t="s">
        <v>3127</v>
      </c>
      <c r="D98" s="77" t="s">
        <v>3072</v>
      </c>
      <c r="F98" s="78">
        <v>1800</v>
      </c>
      <c r="G98" s="79">
        <v>1800</v>
      </c>
    </row>
    <row r="99" spans="2:10">
      <c r="B99" s="75">
        <v>630</v>
      </c>
      <c r="C99" s="76" t="s">
        <v>3128</v>
      </c>
      <c r="D99" s="77" t="s">
        <v>2997</v>
      </c>
      <c r="F99" s="78">
        <v>2200</v>
      </c>
      <c r="G99" s="79">
        <v>2200</v>
      </c>
    </row>
    <row r="100" spans="2:10">
      <c r="G100" s="79"/>
    </row>
    <row r="101" spans="2:10">
      <c r="B101" s="75" t="s">
        <v>2996</v>
      </c>
    </row>
    <row r="102" spans="2:10">
      <c r="B102" s="75">
        <v>10</v>
      </c>
      <c r="C102" s="76" t="s">
        <v>770</v>
      </c>
      <c r="D102" s="77" t="s">
        <v>2997</v>
      </c>
      <c r="F102" s="78">
        <v>17500</v>
      </c>
      <c r="G102" s="79">
        <v>17500</v>
      </c>
    </row>
    <row r="103" spans="2:10">
      <c r="B103" s="75">
        <v>20</v>
      </c>
      <c r="C103" s="76" t="s">
        <v>2998</v>
      </c>
      <c r="D103" s="77" t="s">
        <v>2997</v>
      </c>
      <c r="F103" s="78">
        <v>12040</v>
      </c>
      <c r="G103" s="79">
        <v>12040</v>
      </c>
    </row>
    <row r="104" spans="2:10">
      <c r="B104" s="75">
        <v>30</v>
      </c>
      <c r="C104" s="76" t="s">
        <v>802</v>
      </c>
      <c r="D104" s="77" t="s">
        <v>2997</v>
      </c>
      <c r="F104" s="78">
        <v>10000</v>
      </c>
      <c r="G104" s="79">
        <v>10000</v>
      </c>
    </row>
    <row r="105" spans="2:10">
      <c r="C105" s="79"/>
    </row>
    <row r="106" spans="2:10">
      <c r="B106" s="75" t="s">
        <v>2999</v>
      </c>
    </row>
    <row r="107" spans="2:10">
      <c r="B107" s="75">
        <v>50</v>
      </c>
      <c r="C107" s="76" t="s">
        <v>2688</v>
      </c>
      <c r="D107" s="77" t="s">
        <v>3129</v>
      </c>
      <c r="F107" s="78">
        <v>1</v>
      </c>
      <c r="G107" s="79">
        <v>1700</v>
      </c>
    </row>
    <row r="108" spans="2:10">
      <c r="B108" s="75">
        <v>55</v>
      </c>
      <c r="C108" s="76" t="s">
        <v>3001</v>
      </c>
      <c r="F108" s="78" t="s">
        <v>3002</v>
      </c>
      <c r="H108" s="79">
        <v>800</v>
      </c>
      <c r="J108" s="79">
        <v>4800</v>
      </c>
    </row>
    <row r="109" spans="2:10">
      <c r="B109" s="75">
        <v>60</v>
      </c>
      <c r="C109" s="76" t="s">
        <v>3130</v>
      </c>
      <c r="F109" s="78" t="s">
        <v>3072</v>
      </c>
      <c r="G109" s="79">
        <v>3200</v>
      </c>
      <c r="I109" s="79">
        <v>3200</v>
      </c>
    </row>
    <row r="110" spans="2:10">
      <c r="B110" s="75">
        <v>65</v>
      </c>
      <c r="C110" s="76" t="s">
        <v>3131</v>
      </c>
      <c r="D110" s="77" t="s">
        <v>3132</v>
      </c>
      <c r="F110" s="78">
        <v>1870</v>
      </c>
      <c r="G110" s="79">
        <v>22440</v>
      </c>
    </row>
    <row r="111" spans="2:10">
      <c r="B111" s="75">
        <v>70</v>
      </c>
      <c r="C111" s="76" t="s">
        <v>3003</v>
      </c>
      <c r="F111" s="78" t="s">
        <v>3070</v>
      </c>
      <c r="H111" s="79">
        <v>250</v>
      </c>
      <c r="J111" s="79">
        <v>2000</v>
      </c>
    </row>
    <row r="112" spans="2:10">
      <c r="C112" s="79"/>
    </row>
    <row r="113" spans="2:14">
      <c r="B113" s="75" t="s">
        <v>3007</v>
      </c>
    </row>
    <row r="114" spans="2:14">
      <c r="B114" s="75">
        <v>100</v>
      </c>
      <c r="C114" s="76" t="s">
        <v>3133</v>
      </c>
      <c r="D114" s="77" t="s">
        <v>3134</v>
      </c>
      <c r="F114" s="78">
        <v>5</v>
      </c>
      <c r="G114" s="79">
        <v>4500</v>
      </c>
    </row>
    <row r="115" spans="2:14">
      <c r="B115" s="75">
        <v>105</v>
      </c>
      <c r="C115" s="76" t="s">
        <v>3135</v>
      </c>
      <c r="H115" s="76" t="s">
        <v>2997</v>
      </c>
      <c r="J115" s="79">
        <v>2600</v>
      </c>
      <c r="M115" s="79">
        <v>2600</v>
      </c>
    </row>
    <row r="116" spans="2:14">
      <c r="B116" s="75">
        <v>108</v>
      </c>
      <c r="C116" s="76" t="s">
        <v>3008</v>
      </c>
      <c r="H116" s="76" t="s">
        <v>2997</v>
      </c>
      <c r="I116" s="79">
        <v>13400</v>
      </c>
      <c r="K116" s="79">
        <v>13400</v>
      </c>
    </row>
    <row r="117" spans="2:14">
      <c r="B117" s="75">
        <v>110</v>
      </c>
      <c r="C117" s="76" t="s">
        <v>3009</v>
      </c>
      <c r="G117" s="76" t="s">
        <v>3136</v>
      </c>
      <c r="K117" s="79">
        <v>4.5</v>
      </c>
      <c r="N117" s="79">
        <v>3150</v>
      </c>
    </row>
    <row r="118" spans="2:14">
      <c r="B118" s="75">
        <v>115</v>
      </c>
      <c r="C118" s="76" t="s">
        <v>3011</v>
      </c>
      <c r="D118" s="77" t="s">
        <v>3137</v>
      </c>
      <c r="H118" s="79">
        <v>12</v>
      </c>
      <c r="I118" s="79">
        <v>138000</v>
      </c>
    </row>
    <row r="119" spans="2:14">
      <c r="B119" s="75">
        <v>120</v>
      </c>
      <c r="C119" s="76" t="s">
        <v>3013</v>
      </c>
      <c r="D119" s="77" t="s">
        <v>3138</v>
      </c>
      <c r="I119" s="79">
        <v>0.35</v>
      </c>
      <c r="L119" s="79">
        <v>4060</v>
      </c>
    </row>
    <row r="120" spans="2:14">
      <c r="B120" s="75">
        <v>125</v>
      </c>
      <c r="C120" s="76" t="s">
        <v>3015</v>
      </c>
      <c r="D120" s="77" t="s">
        <v>3138</v>
      </c>
      <c r="I120" s="79">
        <v>1.2</v>
      </c>
      <c r="K120" s="79">
        <v>13920</v>
      </c>
    </row>
    <row r="121" spans="2:14">
      <c r="B121" s="75">
        <v>135</v>
      </c>
      <c r="C121" s="76" t="s">
        <v>3017</v>
      </c>
      <c r="F121" s="78" t="s">
        <v>3139</v>
      </c>
      <c r="J121" s="79">
        <v>2.5</v>
      </c>
      <c r="M121" s="79">
        <v>9500</v>
      </c>
    </row>
    <row r="122" spans="2:14">
      <c r="C122" s="79"/>
    </row>
    <row r="123" spans="2:14">
      <c r="B123" s="75" t="s">
        <v>3019</v>
      </c>
    </row>
    <row r="124" spans="2:14">
      <c r="B124" s="75">
        <v>200</v>
      </c>
      <c r="C124" s="76" t="s">
        <v>3020</v>
      </c>
      <c r="D124" s="77" t="s">
        <v>3140</v>
      </c>
      <c r="F124" s="78">
        <v>4.8</v>
      </c>
      <c r="G124" s="79">
        <v>11520</v>
      </c>
    </row>
    <row r="125" spans="2:14">
      <c r="B125" s="75">
        <v>205</v>
      </c>
      <c r="C125" s="76" t="s">
        <v>3022</v>
      </c>
      <c r="D125" s="77" t="s">
        <v>3141</v>
      </c>
      <c r="F125" s="78">
        <v>11</v>
      </c>
      <c r="G125" s="79">
        <v>25300</v>
      </c>
    </row>
    <row r="126" spans="2:14">
      <c r="B126" s="75">
        <v>210</v>
      </c>
      <c r="C126" s="76" t="s">
        <v>3142</v>
      </c>
      <c r="F126" s="78" t="s">
        <v>3143</v>
      </c>
      <c r="G126" s="79">
        <v>14.2</v>
      </c>
      <c r="I126" s="79">
        <v>2130</v>
      </c>
    </row>
    <row r="127" spans="2:14">
      <c r="B127" s="75">
        <v>215</v>
      </c>
      <c r="C127" s="76" t="s">
        <v>3024</v>
      </c>
      <c r="D127" s="77" t="s">
        <v>3144</v>
      </c>
      <c r="G127" s="79">
        <v>6.6</v>
      </c>
      <c r="H127" s="79">
        <v>14520</v>
      </c>
    </row>
    <row r="128" spans="2:14">
      <c r="B128" s="75">
        <v>220</v>
      </c>
      <c r="C128" s="76" t="s">
        <v>3026</v>
      </c>
      <c r="D128" s="77" t="s">
        <v>3144</v>
      </c>
      <c r="G128" s="79">
        <v>7</v>
      </c>
      <c r="H128" s="79">
        <v>15400</v>
      </c>
    </row>
    <row r="129" spans="2:10">
      <c r="B129" s="75">
        <v>225</v>
      </c>
      <c r="C129" s="76" t="s">
        <v>3145</v>
      </c>
      <c r="G129" s="76" t="s">
        <v>3146</v>
      </c>
      <c r="H129" s="79">
        <v>51</v>
      </c>
      <c r="J129" s="79">
        <v>3315</v>
      </c>
    </row>
    <row r="130" spans="2:10">
      <c r="B130" s="75" t="s">
        <v>3147</v>
      </c>
    </row>
    <row r="131" spans="2:10">
      <c r="B131" s="75">
        <v>240</v>
      </c>
      <c r="C131" s="76" t="s">
        <v>3031</v>
      </c>
      <c r="D131" s="77" t="s">
        <v>3148</v>
      </c>
      <c r="F131" s="78">
        <v>11.2</v>
      </c>
      <c r="G131" s="79">
        <v>7840</v>
      </c>
    </row>
    <row r="132" spans="2:10">
      <c r="B132" s="75">
        <v>245</v>
      </c>
      <c r="C132" s="76" t="s">
        <v>3037</v>
      </c>
      <c r="D132" s="77" t="s">
        <v>3149</v>
      </c>
      <c r="H132" s="79">
        <v>21</v>
      </c>
      <c r="I132" s="79">
        <v>6720</v>
      </c>
    </row>
    <row r="133" spans="2:10">
      <c r="B133" s="75">
        <v>250</v>
      </c>
      <c r="C133" s="76" t="s">
        <v>3039</v>
      </c>
      <c r="D133" s="77" t="s">
        <v>3150</v>
      </c>
      <c r="I133" s="79">
        <v>3.8</v>
      </c>
      <c r="J133" s="79">
        <v>2470</v>
      </c>
    </row>
    <row r="134" spans="2:10">
      <c r="B134" s="75">
        <v>255</v>
      </c>
      <c r="C134" s="76" t="s">
        <v>3043</v>
      </c>
      <c r="F134" s="78" t="s">
        <v>3068</v>
      </c>
      <c r="H134" s="79">
        <v>800</v>
      </c>
      <c r="I134" s="79">
        <v>3200</v>
      </c>
    </row>
    <row r="135" spans="2:10">
      <c r="B135" s="75">
        <v>260</v>
      </c>
      <c r="C135" s="76" t="s">
        <v>3047</v>
      </c>
      <c r="F135" s="78" t="s">
        <v>2997</v>
      </c>
      <c r="G135" s="79">
        <v>6050</v>
      </c>
      <c r="H135" s="79">
        <v>6050</v>
      </c>
    </row>
    <row r="136" spans="2:10">
      <c r="C136" s="79"/>
    </row>
    <row r="137" spans="2:10">
      <c r="B137" s="75" t="s">
        <v>3151</v>
      </c>
    </row>
    <row r="138" spans="2:10">
      <c r="B138" s="75">
        <v>265</v>
      </c>
      <c r="C138" s="80" t="s">
        <v>3020</v>
      </c>
      <c r="D138" s="77" t="s">
        <v>3152</v>
      </c>
      <c r="F138" s="78">
        <v>5.3</v>
      </c>
      <c r="G138" s="79">
        <v>1113</v>
      </c>
    </row>
    <row r="139" spans="2:10">
      <c r="B139" s="75">
        <v>270</v>
      </c>
      <c r="C139" s="76" t="s">
        <v>3153</v>
      </c>
      <c r="D139" s="77" t="s">
        <v>3154</v>
      </c>
      <c r="F139" s="78">
        <v>16.8</v>
      </c>
      <c r="G139" s="77"/>
      <c r="H139" s="79">
        <v>3360</v>
      </c>
    </row>
    <row r="140" spans="2:10">
      <c r="B140" s="75">
        <v>275</v>
      </c>
      <c r="C140" s="76" t="s">
        <v>3155</v>
      </c>
      <c r="D140" s="77" t="s">
        <v>3154</v>
      </c>
      <c r="F140" s="78">
        <v>75</v>
      </c>
      <c r="G140" s="79">
        <v>15000</v>
      </c>
    </row>
    <row r="141" spans="2:10">
      <c r="B141" s="75">
        <v>280</v>
      </c>
      <c r="C141" s="76" t="s">
        <v>3156</v>
      </c>
      <c r="D141" s="77" t="s">
        <v>3154</v>
      </c>
      <c r="F141" s="78">
        <v>72</v>
      </c>
      <c r="G141" s="79">
        <v>14400</v>
      </c>
    </row>
    <row r="142" spans="2:10">
      <c r="B142" s="75">
        <v>285</v>
      </c>
      <c r="C142" s="76" t="s">
        <v>2731</v>
      </c>
      <c r="D142" s="77" t="s">
        <v>3034</v>
      </c>
      <c r="G142" s="79">
        <v>0</v>
      </c>
      <c r="J142" s="79">
        <v>0</v>
      </c>
    </row>
    <row r="144" spans="2:10">
      <c r="B144" s="75" t="s">
        <v>3157</v>
      </c>
    </row>
    <row r="145" spans="2:67">
      <c r="B145" s="75">
        <v>300</v>
      </c>
      <c r="C145" s="81" t="s">
        <v>3049</v>
      </c>
      <c r="D145" s="77">
        <v>55</v>
      </c>
      <c r="E145" s="75" t="s">
        <v>32</v>
      </c>
      <c r="F145" s="78">
        <v>34</v>
      </c>
      <c r="G145" s="78">
        <v>1870</v>
      </c>
    </row>
    <row r="146" spans="2:67">
      <c r="B146" s="75">
        <v>305</v>
      </c>
      <c r="C146" s="81" t="s">
        <v>3051</v>
      </c>
      <c r="D146" s="77">
        <v>76</v>
      </c>
      <c r="E146" s="75" t="s">
        <v>32</v>
      </c>
      <c r="F146" s="78">
        <v>36</v>
      </c>
      <c r="G146" s="78">
        <v>2736</v>
      </c>
      <c r="I146" s="79"/>
      <c r="Q146" s="82"/>
      <c r="W146" s="82"/>
      <c r="AC146" s="82"/>
      <c r="AJ146" s="82"/>
      <c r="AQ146" s="82"/>
      <c r="AY146" s="82"/>
      <c r="BG146" s="82"/>
      <c r="BN146" s="82"/>
      <c r="BO146" s="82"/>
    </row>
    <row r="147" spans="2:67">
      <c r="B147" s="75">
        <v>310</v>
      </c>
      <c r="C147" s="81" t="s">
        <v>3053</v>
      </c>
      <c r="D147" s="77">
        <v>271</v>
      </c>
      <c r="E147" s="75" t="s">
        <v>32</v>
      </c>
      <c r="F147" s="78">
        <v>43</v>
      </c>
      <c r="G147" s="78">
        <v>11653</v>
      </c>
      <c r="I147" s="79"/>
      <c r="Q147" s="82"/>
      <c r="W147" s="82"/>
      <c r="AC147" s="82"/>
      <c r="AJ147" s="82"/>
      <c r="AQ147" s="82"/>
      <c r="AY147" s="82"/>
      <c r="BG147" s="82"/>
      <c r="BN147" s="82"/>
      <c r="BO147" s="82"/>
    </row>
    <row r="148" spans="2:67">
      <c r="B148" s="75">
        <v>315</v>
      </c>
      <c r="C148" s="75" t="s">
        <v>3055</v>
      </c>
      <c r="D148" s="77">
        <v>560</v>
      </c>
      <c r="E148" s="75" t="s">
        <v>32</v>
      </c>
      <c r="F148" s="78">
        <v>38</v>
      </c>
      <c r="G148" s="78">
        <v>21280</v>
      </c>
    </row>
    <row r="149" spans="2:67">
      <c r="B149" s="75">
        <v>320</v>
      </c>
      <c r="C149" s="75" t="s">
        <v>3057</v>
      </c>
      <c r="D149" s="77">
        <v>467</v>
      </c>
      <c r="E149" s="75" t="s">
        <v>32</v>
      </c>
      <c r="F149" s="78">
        <v>44</v>
      </c>
      <c r="G149" s="78">
        <v>20548</v>
      </c>
      <c r="H149" s="79"/>
    </row>
    <row r="150" spans="2:67">
      <c r="B150" s="75">
        <v>325</v>
      </c>
      <c r="C150" s="75" t="s">
        <v>3059</v>
      </c>
      <c r="D150" s="77">
        <v>142</v>
      </c>
      <c r="E150" s="75" t="s">
        <v>32</v>
      </c>
      <c r="F150" s="78">
        <v>50</v>
      </c>
      <c r="G150" s="78">
        <v>7100</v>
      </c>
      <c r="H150" s="79"/>
    </row>
    <row r="151" spans="2:67">
      <c r="B151" s="75">
        <v>330</v>
      </c>
      <c r="C151" s="75" t="s">
        <v>3061</v>
      </c>
      <c r="D151" s="77">
        <v>1775</v>
      </c>
      <c r="E151" s="75" t="s">
        <v>32</v>
      </c>
      <c r="F151" s="78">
        <v>60</v>
      </c>
      <c r="G151" s="78">
        <v>106500</v>
      </c>
    </row>
    <row r="152" spans="2:67">
      <c r="B152" s="75">
        <v>332</v>
      </c>
      <c r="C152" s="75" t="s">
        <v>3063</v>
      </c>
      <c r="D152" s="77">
        <v>61</v>
      </c>
      <c r="E152" s="75" t="s">
        <v>32</v>
      </c>
      <c r="F152" s="78">
        <v>88</v>
      </c>
      <c r="G152" s="78">
        <v>5368</v>
      </c>
    </row>
    <row r="153" spans="2:67">
      <c r="B153" s="75">
        <v>335</v>
      </c>
      <c r="C153" s="75" t="s">
        <v>3065</v>
      </c>
      <c r="D153" s="77">
        <v>153</v>
      </c>
      <c r="E153" s="75" t="s">
        <v>32</v>
      </c>
      <c r="F153" s="78">
        <v>95</v>
      </c>
      <c r="G153" s="78">
        <v>14535</v>
      </c>
    </row>
    <row r="154" spans="2:67">
      <c r="B154" s="75">
        <v>340</v>
      </c>
      <c r="C154" s="75" t="s">
        <v>3067</v>
      </c>
      <c r="D154" s="77">
        <v>4</v>
      </c>
      <c r="E154" s="75" t="s">
        <v>3158</v>
      </c>
      <c r="F154" s="78">
        <v>980</v>
      </c>
      <c r="G154" s="78">
        <v>3920</v>
      </c>
    </row>
    <row r="155" spans="2:67">
      <c r="B155" s="75">
        <v>345</v>
      </c>
      <c r="C155" s="75" t="s">
        <v>3069</v>
      </c>
      <c r="D155" s="77">
        <v>8</v>
      </c>
      <c r="E155" s="75" t="s">
        <v>3158</v>
      </c>
      <c r="F155" s="78">
        <v>1700</v>
      </c>
      <c r="G155" s="78">
        <v>13600</v>
      </c>
    </row>
    <row r="156" spans="2:67">
      <c r="B156" s="75">
        <v>350</v>
      </c>
      <c r="C156" s="75" t="s">
        <v>3071</v>
      </c>
      <c r="D156" s="77">
        <v>1</v>
      </c>
      <c r="E156" s="75" t="s">
        <v>3158</v>
      </c>
      <c r="F156" s="78">
        <v>4250</v>
      </c>
      <c r="G156" s="78">
        <v>4250</v>
      </c>
    </row>
    <row r="157" spans="2:67">
      <c r="B157" s="75">
        <v>355</v>
      </c>
      <c r="C157" s="75" t="s">
        <v>3073</v>
      </c>
      <c r="D157" s="77">
        <v>1</v>
      </c>
      <c r="E157" s="75" t="s">
        <v>3158</v>
      </c>
      <c r="F157" s="78">
        <v>4100</v>
      </c>
      <c r="G157" s="78">
        <v>4100</v>
      </c>
    </row>
    <row r="158" spans="2:67">
      <c r="B158" s="75">
        <v>360</v>
      </c>
      <c r="C158" s="75" t="s">
        <v>3074</v>
      </c>
      <c r="D158" s="77">
        <v>5</v>
      </c>
      <c r="E158" s="75" t="s">
        <v>3158</v>
      </c>
      <c r="F158" s="78">
        <v>5200</v>
      </c>
      <c r="G158" s="78">
        <v>26000</v>
      </c>
    </row>
    <row r="159" spans="2:67">
      <c r="B159" s="75">
        <v>362</v>
      </c>
      <c r="C159" s="75" t="s">
        <v>3076</v>
      </c>
      <c r="D159" s="77">
        <v>1</v>
      </c>
      <c r="E159" s="75" t="s">
        <v>3158</v>
      </c>
      <c r="F159" s="78">
        <v>28000</v>
      </c>
      <c r="G159" s="78">
        <v>28000</v>
      </c>
    </row>
    <row r="160" spans="2:67">
      <c r="B160" s="75">
        <v>364</v>
      </c>
      <c r="C160" s="75" t="s">
        <v>3077</v>
      </c>
      <c r="D160" s="77">
        <v>8</v>
      </c>
      <c r="E160" s="75" t="s">
        <v>3158</v>
      </c>
      <c r="F160" s="78">
        <v>4700</v>
      </c>
      <c r="G160" s="78">
        <v>37600</v>
      </c>
    </row>
    <row r="161" spans="2:7">
      <c r="B161" s="75">
        <v>366</v>
      </c>
      <c r="C161" s="75" t="s">
        <v>3078</v>
      </c>
      <c r="D161" s="77">
        <v>9</v>
      </c>
      <c r="E161" s="75" t="s">
        <v>3158</v>
      </c>
      <c r="F161" s="78">
        <v>4600</v>
      </c>
      <c r="G161" s="78">
        <v>41400</v>
      </c>
    </row>
    <row r="162" spans="2:7">
      <c r="B162" s="75">
        <v>368</v>
      </c>
      <c r="C162" s="75" t="s">
        <v>3080</v>
      </c>
      <c r="D162" s="77">
        <v>2</v>
      </c>
      <c r="E162" s="75" t="s">
        <v>3158</v>
      </c>
      <c r="F162" s="78">
        <v>4550</v>
      </c>
      <c r="G162" s="78">
        <v>9100</v>
      </c>
    </row>
    <row r="163" spans="2:7">
      <c r="B163" s="75">
        <v>369</v>
      </c>
      <c r="C163" s="75" t="s">
        <v>3082</v>
      </c>
      <c r="D163" s="77">
        <v>1</v>
      </c>
      <c r="E163" s="75" t="s">
        <v>3158</v>
      </c>
      <c r="F163" s="78">
        <v>4400</v>
      </c>
      <c r="G163" s="78">
        <v>4400</v>
      </c>
    </row>
    <row r="164" spans="2:7">
      <c r="B164" s="75">
        <v>370</v>
      </c>
      <c r="C164" s="75" t="s">
        <v>3083</v>
      </c>
      <c r="D164" s="77">
        <v>1</v>
      </c>
      <c r="E164" s="75" t="s">
        <v>3158</v>
      </c>
      <c r="F164" s="78">
        <v>5400</v>
      </c>
      <c r="G164" s="78">
        <v>5400</v>
      </c>
    </row>
    <row r="165" spans="2:7">
      <c r="B165" s="75">
        <v>380</v>
      </c>
      <c r="C165" s="75" t="s">
        <v>3084</v>
      </c>
      <c r="D165" s="77">
        <v>3560</v>
      </c>
      <c r="E165" s="75" t="s">
        <v>32</v>
      </c>
      <c r="F165" s="78">
        <v>10</v>
      </c>
      <c r="G165" s="78">
        <v>35600</v>
      </c>
    </row>
    <row r="166" spans="2:7">
      <c r="B166" s="75">
        <v>385</v>
      </c>
      <c r="C166" s="75" t="s">
        <v>3086</v>
      </c>
      <c r="D166" s="77">
        <v>3560</v>
      </c>
      <c r="E166" s="75" t="s">
        <v>32</v>
      </c>
      <c r="F166" s="78">
        <v>5</v>
      </c>
      <c r="G166" s="78">
        <v>17800</v>
      </c>
    </row>
    <row r="168" spans="2:7">
      <c r="B168" s="75" t="s">
        <v>3159</v>
      </c>
    </row>
    <row r="169" spans="2:7">
      <c r="B169" s="75">
        <v>405</v>
      </c>
      <c r="C169" s="75" t="s">
        <v>3088</v>
      </c>
      <c r="D169" s="77">
        <v>30</v>
      </c>
      <c r="E169" s="75" t="s">
        <v>32</v>
      </c>
      <c r="F169" s="78">
        <v>46</v>
      </c>
      <c r="G169" s="78">
        <f>D169*F169</f>
        <v>1380</v>
      </c>
    </row>
    <row r="170" spans="2:7">
      <c r="B170" s="75">
        <v>410</v>
      </c>
      <c r="C170" s="75" t="s">
        <v>3090</v>
      </c>
      <c r="D170" s="77">
        <v>220</v>
      </c>
      <c r="E170" s="75" t="s">
        <v>32</v>
      </c>
      <c r="F170" s="78">
        <v>50</v>
      </c>
      <c r="G170" s="78">
        <f t="shared" ref="G170:G177" si="0">D170*F170</f>
        <v>11000</v>
      </c>
    </row>
    <row r="171" spans="2:7">
      <c r="B171" s="75">
        <v>415</v>
      </c>
      <c r="C171" s="75" t="s">
        <v>3092</v>
      </c>
      <c r="D171" s="77">
        <v>1</v>
      </c>
      <c r="E171" s="75" t="s">
        <v>3158</v>
      </c>
      <c r="F171" s="78">
        <v>6500</v>
      </c>
      <c r="G171" s="78">
        <f t="shared" si="0"/>
        <v>6500</v>
      </c>
    </row>
    <row r="172" spans="2:7">
      <c r="B172" s="75">
        <v>420</v>
      </c>
      <c r="C172" s="75" t="s">
        <v>3093</v>
      </c>
      <c r="D172" s="77">
        <v>1</v>
      </c>
      <c r="E172" s="75" t="s">
        <v>3158</v>
      </c>
      <c r="F172" s="78">
        <v>7600</v>
      </c>
      <c r="G172" s="78">
        <f t="shared" si="0"/>
        <v>7600</v>
      </c>
    </row>
    <row r="173" spans="2:7">
      <c r="B173" s="75">
        <v>425</v>
      </c>
      <c r="C173" s="75" t="s">
        <v>3094</v>
      </c>
      <c r="D173" s="77">
        <v>278</v>
      </c>
      <c r="E173" s="75" t="s">
        <v>32</v>
      </c>
      <c r="F173" s="78">
        <v>40</v>
      </c>
      <c r="G173" s="78">
        <f t="shared" si="0"/>
        <v>11120</v>
      </c>
    </row>
    <row r="174" spans="2:7">
      <c r="B174" s="75">
        <v>426</v>
      </c>
      <c r="C174" s="75" t="s">
        <v>3160</v>
      </c>
      <c r="D174" s="77">
        <v>1</v>
      </c>
      <c r="E174" s="75" t="s">
        <v>1181</v>
      </c>
      <c r="F174" s="78">
        <v>2700</v>
      </c>
      <c r="G174" s="78">
        <f t="shared" si="0"/>
        <v>2700</v>
      </c>
    </row>
    <row r="175" spans="2:7">
      <c r="B175" s="75">
        <v>428</v>
      </c>
      <c r="C175" s="75" t="s">
        <v>3097</v>
      </c>
      <c r="D175" s="77">
        <v>2</v>
      </c>
      <c r="E175" s="75" t="s">
        <v>3158</v>
      </c>
      <c r="F175" s="78">
        <v>10000</v>
      </c>
      <c r="G175" s="78">
        <f t="shared" si="0"/>
        <v>20000</v>
      </c>
    </row>
    <row r="176" spans="2:7">
      <c r="B176" s="75">
        <v>440</v>
      </c>
      <c r="C176" s="75" t="s">
        <v>3098</v>
      </c>
      <c r="D176" s="77">
        <v>250</v>
      </c>
      <c r="E176" s="75" t="s">
        <v>32</v>
      </c>
      <c r="F176" s="78">
        <v>10</v>
      </c>
      <c r="G176" s="78">
        <f t="shared" si="0"/>
        <v>2500</v>
      </c>
    </row>
    <row r="177" spans="2:7">
      <c r="B177" s="75">
        <v>445</v>
      </c>
      <c r="C177" s="75" t="s">
        <v>3099</v>
      </c>
      <c r="D177" s="77">
        <v>250</v>
      </c>
      <c r="E177" s="75" t="s">
        <v>32</v>
      </c>
      <c r="F177" s="78">
        <v>5</v>
      </c>
      <c r="G177" s="78">
        <f t="shared" si="0"/>
        <v>1250</v>
      </c>
    </row>
    <row r="178" spans="2:7">
      <c r="G178" s="78"/>
    </row>
    <row r="179" spans="2:7">
      <c r="B179" s="75" t="s">
        <v>3161</v>
      </c>
      <c r="G179" s="78"/>
    </row>
    <row r="180" spans="2:7">
      <c r="B180" s="75">
        <v>460</v>
      </c>
      <c r="C180" s="75" t="s">
        <v>3101</v>
      </c>
      <c r="D180" s="77">
        <v>305</v>
      </c>
      <c r="E180" s="75" t="s">
        <v>32</v>
      </c>
      <c r="F180" s="78">
        <v>45</v>
      </c>
      <c r="G180" s="78">
        <f>D180*F180</f>
        <v>13725</v>
      </c>
    </row>
    <row r="181" spans="2:7">
      <c r="B181" s="75">
        <v>470</v>
      </c>
      <c r="C181" s="75" t="s">
        <v>3103</v>
      </c>
      <c r="D181" s="77">
        <v>1</v>
      </c>
      <c r="E181" s="75" t="s">
        <v>1181</v>
      </c>
      <c r="F181" s="78">
        <v>2300</v>
      </c>
      <c r="G181" s="78">
        <f>D181*F181</f>
        <v>2300</v>
      </c>
    </row>
    <row r="182" spans="2:7">
      <c r="B182" s="75">
        <v>475</v>
      </c>
      <c r="C182" s="75" t="s">
        <v>3104</v>
      </c>
      <c r="D182" s="77">
        <v>1</v>
      </c>
      <c r="E182" s="75" t="s">
        <v>1181</v>
      </c>
      <c r="F182" s="78">
        <v>132000</v>
      </c>
      <c r="G182" s="78">
        <f>D182*F182</f>
        <v>132000</v>
      </c>
    </row>
    <row r="183" spans="2:7">
      <c r="B183" s="75">
        <v>485</v>
      </c>
      <c r="C183" s="75" t="s">
        <v>3098</v>
      </c>
      <c r="D183" s="77">
        <v>305</v>
      </c>
      <c r="E183" s="75" t="s">
        <v>32</v>
      </c>
      <c r="F183" s="78">
        <v>10</v>
      </c>
      <c r="G183" s="78">
        <f>D183*F183</f>
        <v>3050</v>
      </c>
    </row>
    <row r="184" spans="2:7">
      <c r="B184" s="75">
        <v>490</v>
      </c>
      <c r="C184" s="75" t="s">
        <v>3105</v>
      </c>
      <c r="D184" s="77">
        <v>305</v>
      </c>
      <c r="E184" s="75" t="s">
        <v>32</v>
      </c>
      <c r="F184" s="78">
        <v>5</v>
      </c>
      <c r="G184" s="78">
        <f>D184*F184</f>
        <v>1525</v>
      </c>
    </row>
    <row r="185" spans="2:7">
      <c r="G185" s="78"/>
    </row>
    <row r="186" spans="2:7">
      <c r="B186" s="75" t="s">
        <v>3162</v>
      </c>
      <c r="G186" s="78"/>
    </row>
    <row r="187" spans="2:7">
      <c r="B187" s="75">
        <v>505</v>
      </c>
      <c r="C187" s="75" t="s">
        <v>3107</v>
      </c>
      <c r="D187" s="77">
        <v>1343</v>
      </c>
      <c r="E187" s="75" t="s">
        <v>32</v>
      </c>
      <c r="F187" s="78">
        <v>30</v>
      </c>
      <c r="G187" s="78">
        <f t="shared" ref="G187:G197" si="1">D187*F187</f>
        <v>40290</v>
      </c>
    </row>
    <row r="188" spans="2:7">
      <c r="B188" s="75">
        <v>506</v>
      </c>
      <c r="C188" s="75" t="s">
        <v>3109</v>
      </c>
      <c r="D188" s="77">
        <v>50</v>
      </c>
      <c r="E188" s="75" t="s">
        <v>32</v>
      </c>
      <c r="F188" s="78">
        <v>45</v>
      </c>
      <c r="G188" s="78">
        <f t="shared" si="1"/>
        <v>2250</v>
      </c>
    </row>
    <row r="189" spans="2:7">
      <c r="B189" s="75">
        <v>510</v>
      </c>
      <c r="C189" s="75" t="s">
        <v>3111</v>
      </c>
      <c r="D189" s="77">
        <v>4</v>
      </c>
      <c r="E189" s="75" t="s">
        <v>3158</v>
      </c>
      <c r="F189" s="78">
        <v>2600</v>
      </c>
      <c r="G189" s="78">
        <f t="shared" si="1"/>
        <v>10400</v>
      </c>
    </row>
    <row r="190" spans="2:7">
      <c r="B190" s="75">
        <v>515</v>
      </c>
      <c r="C190" s="75" t="s">
        <v>3112</v>
      </c>
      <c r="D190" s="77">
        <v>110</v>
      </c>
      <c r="E190" s="75" t="s">
        <v>32</v>
      </c>
      <c r="F190" s="78">
        <v>28</v>
      </c>
      <c r="G190" s="78">
        <f t="shared" si="1"/>
        <v>3080</v>
      </c>
    </row>
    <row r="191" spans="2:7">
      <c r="B191" s="75">
        <v>520</v>
      </c>
      <c r="C191" s="75" t="s">
        <v>3113</v>
      </c>
      <c r="D191" s="77">
        <v>2</v>
      </c>
      <c r="E191" s="75" t="s">
        <v>3158</v>
      </c>
      <c r="F191" s="78">
        <v>2350</v>
      </c>
      <c r="G191" s="78">
        <f t="shared" si="1"/>
        <v>4700</v>
      </c>
    </row>
    <row r="192" spans="2:7">
      <c r="B192" s="75">
        <v>525</v>
      </c>
      <c r="C192" s="75" t="s">
        <v>3114</v>
      </c>
      <c r="D192" s="77">
        <v>1</v>
      </c>
      <c r="E192" s="75" t="s">
        <v>1181</v>
      </c>
      <c r="F192" s="78">
        <v>22000</v>
      </c>
      <c r="G192" s="78">
        <f t="shared" si="1"/>
        <v>22000</v>
      </c>
    </row>
    <row r="193" spans="2:7">
      <c r="B193" s="75">
        <v>530</v>
      </c>
      <c r="C193" s="75" t="s">
        <v>3115</v>
      </c>
      <c r="D193" s="77">
        <v>4</v>
      </c>
      <c r="E193" s="75" t="s">
        <v>3158</v>
      </c>
      <c r="F193" s="78">
        <v>5300</v>
      </c>
      <c r="G193" s="78">
        <f t="shared" si="1"/>
        <v>21200</v>
      </c>
    </row>
    <row r="194" spans="2:7">
      <c r="B194" s="75">
        <v>535</v>
      </c>
      <c r="C194" s="75" t="s">
        <v>3116</v>
      </c>
      <c r="D194" s="77">
        <v>1</v>
      </c>
      <c r="E194" s="75" t="s">
        <v>3158</v>
      </c>
      <c r="F194" s="78">
        <v>1800</v>
      </c>
      <c r="G194" s="78">
        <f t="shared" si="1"/>
        <v>1800</v>
      </c>
    </row>
    <row r="195" spans="2:7">
      <c r="B195" s="75">
        <v>540</v>
      </c>
      <c r="C195" s="75" t="s">
        <v>3103</v>
      </c>
      <c r="D195" s="77">
        <v>1</v>
      </c>
      <c r="E195" s="75" t="s">
        <v>1181</v>
      </c>
      <c r="F195" s="78">
        <v>3550</v>
      </c>
      <c r="G195" s="78">
        <f t="shared" si="1"/>
        <v>3550</v>
      </c>
    </row>
    <row r="196" spans="2:7">
      <c r="B196" s="75">
        <v>545</v>
      </c>
      <c r="C196" s="75" t="s">
        <v>3117</v>
      </c>
      <c r="D196" s="77">
        <v>1</v>
      </c>
      <c r="E196" s="75" t="s">
        <v>3158</v>
      </c>
      <c r="F196" s="78">
        <v>2500</v>
      </c>
      <c r="G196" s="78">
        <f t="shared" si="1"/>
        <v>2500</v>
      </c>
    </row>
    <row r="197" spans="2:7">
      <c r="B197" s="75">
        <v>550</v>
      </c>
      <c r="C197" s="75" t="s">
        <v>3118</v>
      </c>
      <c r="D197" s="77">
        <v>1</v>
      </c>
      <c r="E197" s="75" t="s">
        <v>1181</v>
      </c>
      <c r="F197" s="78">
        <v>2800</v>
      </c>
      <c r="G197" s="78">
        <f t="shared" si="1"/>
        <v>2800</v>
      </c>
    </row>
    <row r="198" spans="2:7">
      <c r="G198" s="78"/>
    </row>
    <row r="199" spans="2:7">
      <c r="B199" s="75" t="s">
        <v>3163</v>
      </c>
      <c r="G199" s="78"/>
    </row>
    <row r="200" spans="2:7">
      <c r="B200" s="75">
        <v>600</v>
      </c>
      <c r="C200" s="75" t="s">
        <v>3120</v>
      </c>
      <c r="D200" s="75">
        <v>135</v>
      </c>
      <c r="E200" s="75" t="s">
        <v>32</v>
      </c>
      <c r="F200" s="78">
        <v>70</v>
      </c>
      <c r="G200" s="78">
        <f t="shared" ref="G200:G206" si="2">D200*F200</f>
        <v>9450</v>
      </c>
    </row>
    <row r="201" spans="2:7">
      <c r="B201" s="75">
        <v>605</v>
      </c>
      <c r="C201" s="75" t="s">
        <v>3122</v>
      </c>
      <c r="D201" s="75">
        <v>1</v>
      </c>
      <c r="E201" s="75" t="s">
        <v>3158</v>
      </c>
      <c r="F201" s="78">
        <v>10000</v>
      </c>
      <c r="G201" s="78">
        <f t="shared" si="2"/>
        <v>10000</v>
      </c>
    </row>
    <row r="202" spans="2:7">
      <c r="B202" s="75">
        <v>610</v>
      </c>
      <c r="C202" s="75" t="s">
        <v>3123</v>
      </c>
      <c r="D202" s="75">
        <v>15</v>
      </c>
      <c r="E202" s="75" t="s">
        <v>32</v>
      </c>
      <c r="F202" s="78">
        <v>28</v>
      </c>
      <c r="G202" s="78">
        <f t="shared" si="2"/>
        <v>420</v>
      </c>
    </row>
    <row r="203" spans="2:7">
      <c r="B203" s="75">
        <v>615</v>
      </c>
      <c r="C203" s="75" t="s">
        <v>3125</v>
      </c>
      <c r="D203" s="75">
        <v>1</v>
      </c>
      <c r="E203" s="75" t="s">
        <v>1181</v>
      </c>
      <c r="F203" s="78">
        <v>2100</v>
      </c>
      <c r="G203" s="78">
        <f t="shared" si="2"/>
        <v>2100</v>
      </c>
    </row>
    <row r="204" spans="2:7">
      <c r="B204" s="75">
        <v>620</v>
      </c>
      <c r="C204" s="75" t="s">
        <v>3126</v>
      </c>
      <c r="D204" s="75">
        <v>1</v>
      </c>
      <c r="E204" s="75" t="s">
        <v>3158</v>
      </c>
      <c r="F204" s="78">
        <v>2500</v>
      </c>
      <c r="G204" s="78">
        <f t="shared" si="2"/>
        <v>2500</v>
      </c>
    </row>
    <row r="205" spans="2:7">
      <c r="B205" s="75">
        <v>625</v>
      </c>
      <c r="C205" s="76" t="s">
        <v>3127</v>
      </c>
      <c r="D205" s="75">
        <v>1</v>
      </c>
      <c r="E205" s="75" t="s">
        <v>3158</v>
      </c>
      <c r="F205" s="78">
        <v>1800</v>
      </c>
      <c r="G205" s="78">
        <f t="shared" si="2"/>
        <v>1800</v>
      </c>
    </row>
    <row r="206" spans="2:7">
      <c r="B206" s="75">
        <v>630</v>
      </c>
      <c r="C206" s="76" t="s">
        <v>3164</v>
      </c>
      <c r="D206" s="75">
        <v>1</v>
      </c>
      <c r="E206" s="75" t="s">
        <v>1181</v>
      </c>
      <c r="F206" s="78">
        <v>2200</v>
      </c>
      <c r="G206" s="78">
        <f t="shared" si="2"/>
        <v>2200</v>
      </c>
    </row>
  </sheetData>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8366-A1E0-460A-964F-2F2DF99BB1A6}">
  <dimension ref="B2:CV46"/>
  <sheetViews>
    <sheetView topLeftCell="A13" workbookViewId="0">
      <selection activeCell="M25" sqref="M25"/>
    </sheetView>
  </sheetViews>
  <sheetFormatPr defaultRowHeight="15"/>
  <cols>
    <col min="1" max="1" width="2.7109375" customWidth="1"/>
    <col min="2" max="2" width="10.28515625" customWidth="1"/>
    <col min="3" max="3" width="3.28515625" bestFit="1" customWidth="1"/>
    <col min="4" max="4" width="3.7109375" customWidth="1"/>
    <col min="5" max="5" width="33.140625" bestFit="1" customWidth="1"/>
    <col min="6" max="6" width="9.5703125" style="83" bestFit="1" customWidth="1"/>
    <col min="7" max="7" width="3.140625" bestFit="1" customWidth="1"/>
    <col min="8" max="8" width="9.5703125" style="83" bestFit="1" customWidth="1"/>
    <col min="9" max="9" width="3.140625" bestFit="1" customWidth="1"/>
    <col min="10" max="10" width="10.28515625" customWidth="1"/>
    <col min="11" max="11" width="3.28515625" bestFit="1" customWidth="1"/>
    <col min="12" max="12" width="3.7109375" customWidth="1"/>
    <col min="13" max="13" width="33.140625" bestFit="1" customWidth="1"/>
    <col min="14" max="14" width="9.5703125" style="83" bestFit="1" customWidth="1"/>
    <col min="15" max="15" width="3.140625" bestFit="1" customWidth="1"/>
    <col min="16" max="16" width="9.5703125" style="83" bestFit="1" customWidth="1"/>
    <col min="17" max="17" width="3.140625" bestFit="1" customWidth="1"/>
    <col min="18" max="18" width="10.28515625" customWidth="1"/>
    <col min="19" max="19" width="3.28515625" bestFit="1" customWidth="1"/>
    <col min="20" max="20" width="3.7109375" customWidth="1"/>
    <col min="21" max="21" width="33.140625" bestFit="1" customWidth="1"/>
    <col min="22" max="22" width="9.5703125" style="83" bestFit="1" customWidth="1"/>
    <col min="23" max="23" width="3.140625" bestFit="1" customWidth="1"/>
    <col min="24" max="24" width="9.5703125" style="83" bestFit="1" customWidth="1"/>
    <col min="25" max="25" width="3.140625" bestFit="1" customWidth="1"/>
    <col min="26" max="26" width="10.28515625" customWidth="1"/>
    <col min="27" max="27" width="3.28515625" bestFit="1" customWidth="1"/>
    <col min="28" max="28" width="3.7109375" customWidth="1"/>
    <col min="29" max="29" width="33.140625" bestFit="1" customWidth="1"/>
    <col min="30" max="30" width="9.5703125" style="83" bestFit="1" customWidth="1"/>
    <col min="31" max="31" width="3.140625" bestFit="1" customWidth="1"/>
    <col min="32" max="32" width="9.5703125" style="83" bestFit="1" customWidth="1"/>
    <col min="33" max="33" width="3.140625" bestFit="1" customWidth="1"/>
    <col min="34" max="34" width="10.28515625" customWidth="1"/>
    <col min="35" max="35" width="3.28515625" bestFit="1" customWidth="1"/>
    <col min="36" max="36" width="3.7109375" customWidth="1"/>
    <col min="37" max="37" width="33.140625" bestFit="1" customWidth="1"/>
    <col min="38" max="38" width="9.5703125" style="83" bestFit="1" customWidth="1"/>
    <col min="39" max="39" width="3.140625" bestFit="1" customWidth="1"/>
    <col min="40" max="40" width="9.5703125" style="83" bestFit="1" customWidth="1"/>
    <col min="41" max="41" width="3.140625" bestFit="1" customWidth="1"/>
    <col min="42" max="42" width="10.28515625" customWidth="1"/>
    <col min="43" max="43" width="3.28515625" bestFit="1" customWidth="1"/>
    <col min="44" max="44" width="3.7109375" customWidth="1"/>
    <col min="45" max="45" width="33.140625" bestFit="1" customWidth="1"/>
    <col min="46" max="46" width="9.5703125" style="83" bestFit="1" customWidth="1"/>
    <col min="47" max="47" width="3.140625" bestFit="1" customWidth="1"/>
    <col min="48" max="48" width="9.5703125" style="83" bestFit="1" customWidth="1"/>
    <col min="49" max="49" width="3.140625" bestFit="1" customWidth="1"/>
    <col min="50" max="50" width="10.28515625" customWidth="1"/>
    <col min="51" max="51" width="3.28515625" bestFit="1" customWidth="1"/>
    <col min="52" max="52" width="3.7109375" customWidth="1"/>
    <col min="53" max="53" width="33.140625" bestFit="1" customWidth="1"/>
    <col min="54" max="54" width="9.5703125" style="83" bestFit="1" customWidth="1"/>
    <col min="55" max="55" width="3.140625" bestFit="1" customWidth="1"/>
    <col min="56" max="56" width="9.5703125" style="83" bestFit="1" customWidth="1"/>
    <col min="57" max="57" width="3.140625" bestFit="1" customWidth="1"/>
    <col min="58" max="58" width="10.28515625" customWidth="1"/>
    <col min="59" max="59" width="3.28515625" bestFit="1" customWidth="1"/>
    <col min="60" max="60" width="3.7109375" customWidth="1"/>
    <col min="61" max="61" width="33.140625" bestFit="1" customWidth="1"/>
    <col min="62" max="62" width="9.5703125" style="83" bestFit="1" customWidth="1"/>
    <col min="63" max="63" width="3.140625" bestFit="1" customWidth="1"/>
    <col min="64" max="64" width="9.5703125" style="83" bestFit="1" customWidth="1"/>
    <col min="65" max="65" width="3.140625" bestFit="1" customWidth="1"/>
    <col min="66" max="66" width="10.28515625" customWidth="1"/>
    <col min="67" max="67" width="3.28515625" bestFit="1" customWidth="1"/>
    <col min="68" max="68" width="3.7109375" customWidth="1"/>
    <col min="69" max="69" width="33.140625" bestFit="1" customWidth="1"/>
    <col min="70" max="70" width="9.5703125" style="83" bestFit="1" customWidth="1"/>
    <col min="71" max="71" width="3.140625" bestFit="1" customWidth="1"/>
    <col min="72" max="72" width="9.5703125" style="83" bestFit="1" customWidth="1"/>
    <col min="73" max="73" width="3.140625" bestFit="1" customWidth="1"/>
    <col min="74" max="74" width="10.28515625" customWidth="1"/>
    <col min="75" max="75" width="3.28515625" bestFit="1" customWidth="1"/>
    <col min="76" max="76" width="3.7109375" customWidth="1"/>
    <col min="77" max="77" width="33.140625" bestFit="1" customWidth="1"/>
    <col min="78" max="78" width="9.5703125" style="83" bestFit="1" customWidth="1"/>
    <col min="79" max="79" width="3.140625" bestFit="1" customWidth="1"/>
    <col min="80" max="80" width="9.5703125" style="83" bestFit="1" customWidth="1"/>
    <col min="81" max="81" width="3.140625" bestFit="1" customWidth="1"/>
    <col min="82" max="82" width="10.28515625" customWidth="1"/>
    <col min="83" max="83" width="3.28515625" bestFit="1" customWidth="1"/>
    <col min="84" max="84" width="3.7109375" customWidth="1"/>
    <col min="85" max="85" width="33.140625" bestFit="1" customWidth="1"/>
    <col min="86" max="86" width="9.5703125" style="83" bestFit="1" customWidth="1"/>
    <col min="87" max="87" width="3.140625" bestFit="1" customWidth="1"/>
    <col min="88" max="88" width="9.5703125" style="83" bestFit="1" customWidth="1"/>
    <col min="89" max="89" width="3.140625" bestFit="1" customWidth="1"/>
    <col min="90" max="90" width="10.28515625" customWidth="1"/>
    <col min="91" max="91" width="3.28515625" bestFit="1" customWidth="1"/>
    <col min="92" max="92" width="3.7109375" customWidth="1"/>
    <col min="93" max="93" width="33.140625" bestFit="1" customWidth="1"/>
    <col min="94" max="94" width="9.5703125" style="83" bestFit="1" customWidth="1"/>
    <col min="95" max="95" width="3.140625" bestFit="1" customWidth="1"/>
    <col min="96" max="96" width="9.5703125" style="83" bestFit="1" customWidth="1"/>
    <col min="97" max="97" width="3.140625" bestFit="1" customWidth="1"/>
    <col min="98" max="98" width="3" bestFit="1" customWidth="1"/>
    <col min="100" max="100" width="3.140625" bestFit="1" customWidth="1"/>
  </cols>
  <sheetData>
    <row r="2" spans="2:100">
      <c r="B2" t="s">
        <v>3165</v>
      </c>
      <c r="C2">
        <v>12</v>
      </c>
      <c r="D2" t="s">
        <v>847</v>
      </c>
      <c r="F2" s="83">
        <v>471</v>
      </c>
      <c r="G2" t="s">
        <v>511</v>
      </c>
      <c r="H2" s="83">
        <f>$C$2*F2</f>
        <v>5652</v>
      </c>
      <c r="I2" t="s">
        <v>511</v>
      </c>
      <c r="J2" t="s">
        <v>3166</v>
      </c>
      <c r="K2">
        <v>12</v>
      </c>
      <c r="L2" t="s">
        <v>847</v>
      </c>
      <c r="N2" s="83">
        <v>357</v>
      </c>
      <c r="O2" t="s">
        <v>511</v>
      </c>
      <c r="P2" s="83">
        <f>$K$2*N2</f>
        <v>4284</v>
      </c>
      <c r="Q2" t="s">
        <v>511</v>
      </c>
      <c r="R2" t="s">
        <v>3167</v>
      </c>
      <c r="S2">
        <v>10</v>
      </c>
      <c r="T2" t="s">
        <v>847</v>
      </c>
      <c r="V2" s="83">
        <v>686</v>
      </c>
      <c r="W2" t="s">
        <v>511</v>
      </c>
      <c r="X2" s="83">
        <f>S$2*V2</f>
        <v>6860</v>
      </c>
      <c r="Y2" t="s">
        <v>511</v>
      </c>
      <c r="Z2" t="s">
        <v>3168</v>
      </c>
      <c r="AA2">
        <v>32</v>
      </c>
      <c r="AB2" t="s">
        <v>847</v>
      </c>
      <c r="AD2" s="83">
        <v>507</v>
      </c>
      <c r="AE2" t="s">
        <v>511</v>
      </c>
      <c r="AF2" s="83">
        <f>AA$2*AD2</f>
        <v>16224</v>
      </c>
      <c r="AG2" t="s">
        <v>511</v>
      </c>
      <c r="AH2" t="s">
        <v>3169</v>
      </c>
      <c r="AI2">
        <v>6</v>
      </c>
      <c r="AJ2" t="s">
        <v>847</v>
      </c>
      <c r="AL2" s="83">
        <v>845</v>
      </c>
      <c r="AM2" t="s">
        <v>511</v>
      </c>
      <c r="AN2" s="83">
        <f>AI$2*AL2</f>
        <v>5070</v>
      </c>
      <c r="AO2" t="s">
        <v>511</v>
      </c>
      <c r="AP2" t="s">
        <v>3170</v>
      </c>
      <c r="AQ2">
        <v>4</v>
      </c>
      <c r="AR2" t="s">
        <v>847</v>
      </c>
      <c r="AT2" s="83">
        <v>357</v>
      </c>
      <c r="AU2" t="s">
        <v>511</v>
      </c>
      <c r="AV2" s="83">
        <f>AQ$2*AT2</f>
        <v>1428</v>
      </c>
      <c r="AW2" t="s">
        <v>511</v>
      </c>
      <c r="AX2" t="s">
        <v>3171</v>
      </c>
      <c r="AY2">
        <v>2</v>
      </c>
      <c r="AZ2" t="s">
        <v>847</v>
      </c>
      <c r="BB2" s="83">
        <v>374</v>
      </c>
      <c r="BC2" t="s">
        <v>511</v>
      </c>
      <c r="BD2" s="83">
        <f>AY$2*BB2</f>
        <v>748</v>
      </c>
      <c r="BE2" t="s">
        <v>511</v>
      </c>
      <c r="BF2" t="s">
        <v>3172</v>
      </c>
      <c r="BG2">
        <v>2</v>
      </c>
      <c r="BH2" t="s">
        <v>847</v>
      </c>
      <c r="BJ2" s="83">
        <v>300</v>
      </c>
      <c r="BK2" t="s">
        <v>511</v>
      </c>
      <c r="BL2" s="83">
        <f>BG$2*BJ2</f>
        <v>600</v>
      </c>
      <c r="BM2" t="s">
        <v>511</v>
      </c>
      <c r="BN2" t="s">
        <v>3173</v>
      </c>
      <c r="BO2">
        <v>12</v>
      </c>
      <c r="BP2" t="s">
        <v>847</v>
      </c>
      <c r="BR2" s="83">
        <v>507</v>
      </c>
      <c r="BS2" t="s">
        <v>511</v>
      </c>
      <c r="BT2" s="83">
        <f>BO$2*BR2</f>
        <v>6084</v>
      </c>
      <c r="BU2" t="s">
        <v>511</v>
      </c>
      <c r="BV2" t="s">
        <v>3174</v>
      </c>
      <c r="BW2">
        <v>4</v>
      </c>
      <c r="BX2" t="s">
        <v>847</v>
      </c>
      <c r="BZ2" s="83">
        <v>471</v>
      </c>
      <c r="CA2" t="s">
        <v>511</v>
      </c>
      <c r="CB2" s="83">
        <f>BW$2*BZ2</f>
        <v>1884</v>
      </c>
      <c r="CC2" t="s">
        <v>511</v>
      </c>
      <c r="CD2" t="s">
        <v>3175</v>
      </c>
      <c r="CE2">
        <v>2</v>
      </c>
      <c r="CF2" t="s">
        <v>847</v>
      </c>
      <c r="CH2" s="83">
        <v>306</v>
      </c>
      <c r="CI2" t="s">
        <v>511</v>
      </c>
      <c r="CJ2" s="83">
        <f>CE$2*CH2</f>
        <v>612</v>
      </c>
      <c r="CK2" t="s">
        <v>511</v>
      </c>
      <c r="CL2" t="s">
        <v>3176</v>
      </c>
      <c r="CM2">
        <v>2</v>
      </c>
      <c r="CN2" t="s">
        <v>847</v>
      </c>
      <c r="CP2" s="83">
        <v>534</v>
      </c>
      <c r="CQ2" t="s">
        <v>511</v>
      </c>
      <c r="CR2" s="83">
        <f>CM$2*CP2</f>
        <v>1068</v>
      </c>
      <c r="CS2" t="s">
        <v>511</v>
      </c>
      <c r="CU2" s="21">
        <f>H2+P2+X2+AF2+AV2+AN2+BD2+BL2+BT2+CB2+CJ2+CR2</f>
        <v>50514</v>
      </c>
      <c r="CV2" t="s">
        <v>511</v>
      </c>
    </row>
    <row r="3" spans="2:100">
      <c r="D3" t="s">
        <v>3177</v>
      </c>
      <c r="L3" t="s">
        <v>3177</v>
      </c>
      <c r="T3" t="s">
        <v>3177</v>
      </c>
      <c r="AB3" t="s">
        <v>3177</v>
      </c>
      <c r="AJ3" t="s">
        <v>3177</v>
      </c>
      <c r="AR3" t="s">
        <v>3177</v>
      </c>
      <c r="AZ3" t="s">
        <v>3177</v>
      </c>
      <c r="BH3" t="s">
        <v>3177</v>
      </c>
      <c r="BP3" t="s">
        <v>3177</v>
      </c>
      <c r="BX3" t="s">
        <v>3177</v>
      </c>
      <c r="CF3" t="s">
        <v>3177</v>
      </c>
      <c r="CN3" t="s">
        <v>3177</v>
      </c>
    </row>
    <row r="4" spans="2:100">
      <c r="E4" t="s">
        <v>3178</v>
      </c>
      <c r="F4" s="83">
        <v>375</v>
      </c>
      <c r="G4" t="s">
        <v>511</v>
      </c>
      <c r="H4" s="83">
        <f>$C$2*F4</f>
        <v>4500</v>
      </c>
      <c r="I4" t="s">
        <v>511</v>
      </c>
      <c r="M4" t="s">
        <v>3178</v>
      </c>
      <c r="N4" s="83">
        <v>263.25</v>
      </c>
      <c r="O4" t="s">
        <v>511</v>
      </c>
      <c r="P4" s="83">
        <f>$K$2*N4</f>
        <v>3159</v>
      </c>
      <c r="Q4" t="s">
        <v>511</v>
      </c>
      <c r="U4" t="s">
        <v>3178</v>
      </c>
      <c r="V4" s="83">
        <v>624</v>
      </c>
      <c r="W4" t="s">
        <v>511</v>
      </c>
      <c r="X4" s="83">
        <f>S$2*V4</f>
        <v>6240</v>
      </c>
      <c r="Y4" t="s">
        <v>511</v>
      </c>
      <c r="AC4" t="s">
        <v>3178</v>
      </c>
      <c r="AD4" s="83">
        <v>399.2</v>
      </c>
      <c r="AE4" t="s">
        <v>511</v>
      </c>
      <c r="AF4" s="83">
        <f>AA$2*AD4</f>
        <v>12774.4</v>
      </c>
      <c r="AG4" t="s">
        <v>511</v>
      </c>
      <c r="AK4" t="s">
        <v>3178</v>
      </c>
      <c r="AL4" s="83">
        <v>629.51</v>
      </c>
      <c r="AM4" t="s">
        <v>511</v>
      </c>
      <c r="AN4" s="83">
        <f>AI$2*AL4</f>
        <v>3777.06</v>
      </c>
      <c r="AO4" t="s">
        <v>511</v>
      </c>
      <c r="AS4" t="s">
        <v>3178</v>
      </c>
      <c r="AT4" s="83">
        <v>238.5</v>
      </c>
      <c r="AU4" t="s">
        <v>511</v>
      </c>
      <c r="AV4" s="83">
        <f>AQ$2*AT4</f>
        <v>954</v>
      </c>
      <c r="AW4" t="s">
        <v>511</v>
      </c>
      <c r="BA4" t="s">
        <v>3178</v>
      </c>
      <c r="BB4" s="83">
        <v>289.52</v>
      </c>
      <c r="BC4" t="s">
        <v>511</v>
      </c>
      <c r="BD4" s="83">
        <f>AY$2*BB4</f>
        <v>579.04</v>
      </c>
      <c r="BE4" t="s">
        <v>511</v>
      </c>
      <c r="BI4" t="s">
        <v>3178</v>
      </c>
      <c r="BJ4" s="83">
        <v>267.20999999999998</v>
      </c>
      <c r="BK4" t="s">
        <v>511</v>
      </c>
      <c r="BL4" s="83">
        <f>BG$2*BJ4</f>
        <v>534.41999999999996</v>
      </c>
      <c r="BM4" t="s">
        <v>511</v>
      </c>
      <c r="BQ4" t="s">
        <v>3178</v>
      </c>
      <c r="BR4" s="83">
        <v>427.03</v>
      </c>
      <c r="BS4" t="s">
        <v>511</v>
      </c>
      <c r="BT4" s="83">
        <f>BO$2*BR4</f>
        <v>5124.3599999999997</v>
      </c>
      <c r="BU4" t="s">
        <v>511</v>
      </c>
      <c r="BY4" t="s">
        <v>3178</v>
      </c>
      <c r="BZ4" s="83">
        <v>437.37</v>
      </c>
      <c r="CA4" t="s">
        <v>511</v>
      </c>
      <c r="CB4" s="83">
        <f>BW$2*BZ4</f>
        <v>1749.48</v>
      </c>
      <c r="CC4" t="s">
        <v>511</v>
      </c>
      <c r="CG4" t="s">
        <v>3178</v>
      </c>
      <c r="CH4" s="83">
        <v>274.89999999999998</v>
      </c>
      <c r="CI4" t="s">
        <v>511</v>
      </c>
      <c r="CJ4" s="83">
        <f>CE$2*CH4</f>
        <v>549.79999999999995</v>
      </c>
      <c r="CK4" t="s">
        <v>511</v>
      </c>
      <c r="CO4" t="s">
        <v>3178</v>
      </c>
      <c r="CP4" s="83">
        <v>465.15</v>
      </c>
      <c r="CQ4" t="s">
        <v>511</v>
      </c>
      <c r="CR4" s="83">
        <f>CM$2*CP4</f>
        <v>930.3</v>
      </c>
      <c r="CS4" t="s">
        <v>511</v>
      </c>
      <c r="CU4" s="21">
        <f>H4+P4+X4+AF4+AV4+AN4+BD4+BL4+BT4+CB4+CJ4+CR4</f>
        <v>40871.860000000008</v>
      </c>
      <c r="CV4" t="s">
        <v>511</v>
      </c>
    </row>
    <row r="5" spans="2:100">
      <c r="E5" t="s">
        <v>3179</v>
      </c>
      <c r="F5" s="83">
        <v>321</v>
      </c>
      <c r="G5" t="s">
        <v>511</v>
      </c>
      <c r="H5" s="83">
        <f>$C$2*F5</f>
        <v>3852</v>
      </c>
      <c r="I5" t="s">
        <v>511</v>
      </c>
      <c r="M5" t="s">
        <v>3179</v>
      </c>
      <c r="N5" s="83">
        <v>489</v>
      </c>
      <c r="O5" t="s">
        <v>511</v>
      </c>
      <c r="P5" s="83">
        <f>$C$2*N5</f>
        <v>5868</v>
      </c>
      <c r="Q5" t="s">
        <v>511</v>
      </c>
      <c r="U5" t="s">
        <v>3179</v>
      </c>
      <c r="V5" s="83">
        <v>468</v>
      </c>
      <c r="W5" t="s">
        <v>511</v>
      </c>
      <c r="X5" s="83">
        <f>S$2*V5</f>
        <v>4680</v>
      </c>
      <c r="Y5" t="s">
        <v>511</v>
      </c>
      <c r="AC5" t="s">
        <v>3179</v>
      </c>
      <c r="AD5" s="83">
        <v>469</v>
      </c>
      <c r="AE5" t="s">
        <v>511</v>
      </c>
      <c r="AF5" s="83">
        <f>AA$2*AD5</f>
        <v>15008</v>
      </c>
      <c r="AG5" t="s">
        <v>511</v>
      </c>
      <c r="AK5" t="s">
        <v>3179</v>
      </c>
      <c r="AL5" s="83">
        <v>405</v>
      </c>
      <c r="AM5" t="s">
        <v>511</v>
      </c>
      <c r="AN5" s="83">
        <f>AI$2*AL5</f>
        <v>2430</v>
      </c>
      <c r="AO5" t="s">
        <v>511</v>
      </c>
      <c r="AS5" t="s">
        <v>3179</v>
      </c>
      <c r="AT5" s="83">
        <v>487</v>
      </c>
      <c r="AU5" t="s">
        <v>511</v>
      </c>
      <c r="AV5" s="83">
        <f>AQ$2*AT5</f>
        <v>1948</v>
      </c>
      <c r="AW5" t="s">
        <v>511</v>
      </c>
      <c r="BA5" t="s">
        <v>3179</v>
      </c>
      <c r="BB5" s="83">
        <v>453</v>
      </c>
      <c r="BC5" t="s">
        <v>511</v>
      </c>
      <c r="BD5" s="83">
        <f>AY$2*BB5</f>
        <v>906</v>
      </c>
      <c r="BE5" t="s">
        <v>511</v>
      </c>
      <c r="BI5" t="s">
        <v>3179</v>
      </c>
      <c r="BJ5" s="83">
        <v>505</v>
      </c>
      <c r="BK5" t="s">
        <v>511</v>
      </c>
      <c r="BL5" s="83">
        <f>BG$2*BJ5</f>
        <v>1010</v>
      </c>
      <c r="BM5" t="s">
        <v>511</v>
      </c>
      <c r="BQ5" t="s">
        <v>3179</v>
      </c>
      <c r="BR5" s="83">
        <v>467</v>
      </c>
      <c r="BS5" t="s">
        <v>511</v>
      </c>
      <c r="BT5" s="83">
        <f>BO$2*BR5</f>
        <v>5604</v>
      </c>
      <c r="BU5" t="s">
        <v>511</v>
      </c>
      <c r="BY5" t="s">
        <v>3179</v>
      </c>
      <c r="BZ5" s="83">
        <v>296</v>
      </c>
      <c r="CA5" t="s">
        <v>511</v>
      </c>
      <c r="CB5" s="83">
        <f>BW$2*BZ5</f>
        <v>1184</v>
      </c>
      <c r="CC5" t="s">
        <v>511</v>
      </c>
      <c r="CG5" t="s">
        <v>3179</v>
      </c>
      <c r="CH5" s="83">
        <v>309</v>
      </c>
      <c r="CI5" t="s">
        <v>511</v>
      </c>
      <c r="CJ5" s="83">
        <f>CE$2*CH5</f>
        <v>618</v>
      </c>
      <c r="CK5" t="s">
        <v>511</v>
      </c>
      <c r="CO5" t="s">
        <v>3179</v>
      </c>
      <c r="CP5" s="83">
        <v>404</v>
      </c>
      <c r="CQ5" t="s">
        <v>511</v>
      </c>
      <c r="CR5" s="83">
        <f>CM$2*CP5</f>
        <v>808</v>
      </c>
      <c r="CS5" t="s">
        <v>511</v>
      </c>
      <c r="CU5" s="21">
        <f>H5+P5+X5+AF5+AV5+AN5+BD5+BL5+BT5+CB5+CJ5+CR5</f>
        <v>43916</v>
      </c>
      <c r="CV5" t="s">
        <v>511</v>
      </c>
    </row>
    <row r="6" spans="2:100">
      <c r="E6" t="s">
        <v>3180</v>
      </c>
      <c r="F6" s="83">
        <v>329</v>
      </c>
      <c r="G6" t="s">
        <v>511</v>
      </c>
      <c r="H6" s="83">
        <f>$C$2*F6</f>
        <v>3948</v>
      </c>
      <c r="I6" t="s">
        <v>511</v>
      </c>
      <c r="M6" t="s">
        <v>3180</v>
      </c>
      <c r="N6" s="83">
        <v>150</v>
      </c>
      <c r="O6" t="s">
        <v>511</v>
      </c>
      <c r="P6" s="83">
        <f>$C$2*N6</f>
        <v>1800</v>
      </c>
      <c r="Q6" t="s">
        <v>511</v>
      </c>
      <c r="U6" t="s">
        <v>3180</v>
      </c>
      <c r="V6" s="83">
        <v>333</v>
      </c>
      <c r="W6" t="s">
        <v>511</v>
      </c>
      <c r="X6" s="83">
        <f>S$2*V6</f>
        <v>3330</v>
      </c>
      <c r="Y6" t="s">
        <v>511</v>
      </c>
      <c r="AC6" t="s">
        <v>3180</v>
      </c>
      <c r="AD6" s="83">
        <v>244.5</v>
      </c>
      <c r="AE6" t="s">
        <v>511</v>
      </c>
      <c r="AF6" s="83">
        <f>AA$2*AD6</f>
        <v>7824</v>
      </c>
      <c r="AG6" t="s">
        <v>511</v>
      </c>
      <c r="AK6" t="s">
        <v>3180</v>
      </c>
      <c r="AL6" s="83">
        <v>431.75</v>
      </c>
      <c r="AM6" t="s">
        <v>511</v>
      </c>
      <c r="AN6" s="83">
        <f>AI$2*AL6</f>
        <v>2590.5</v>
      </c>
      <c r="AO6" t="s">
        <v>511</v>
      </c>
      <c r="AS6" t="s">
        <v>3180</v>
      </c>
      <c r="AT6" s="83">
        <v>149.91999999999999</v>
      </c>
      <c r="AU6" t="s">
        <v>511</v>
      </c>
      <c r="AV6" s="83">
        <f>AQ$2*AT6</f>
        <v>599.67999999999995</v>
      </c>
      <c r="AW6" t="s">
        <v>511</v>
      </c>
      <c r="BA6" t="s">
        <v>3180</v>
      </c>
      <c r="BB6" s="83">
        <v>20</v>
      </c>
      <c r="BC6" t="s">
        <v>511</v>
      </c>
      <c r="BD6" s="83">
        <f>AY$2*BB6</f>
        <v>40</v>
      </c>
      <c r="BE6" t="s">
        <v>511</v>
      </c>
      <c r="BI6" t="s">
        <v>3180</v>
      </c>
      <c r="BJ6" s="83">
        <v>142.09</v>
      </c>
      <c r="BK6" t="s">
        <v>511</v>
      </c>
      <c r="BL6" s="83">
        <f>BG$2*BJ6</f>
        <v>284.18</v>
      </c>
      <c r="BM6" t="s">
        <v>511</v>
      </c>
      <c r="BQ6" t="s">
        <v>3180</v>
      </c>
      <c r="BR6" s="83">
        <v>245.35</v>
      </c>
      <c r="BS6" t="s">
        <v>511</v>
      </c>
      <c r="BT6" s="83">
        <f>BO$2*BR6</f>
        <v>2944.2</v>
      </c>
      <c r="BU6" t="s">
        <v>511</v>
      </c>
      <c r="BY6" t="s">
        <v>3180</v>
      </c>
      <c r="BZ6" s="83">
        <v>353.25</v>
      </c>
      <c r="CA6" t="s">
        <v>511</v>
      </c>
      <c r="CB6" s="83">
        <f>BW$2*BZ6</f>
        <v>1413</v>
      </c>
      <c r="CC6" t="s">
        <v>511</v>
      </c>
      <c r="CG6" t="s">
        <v>3180</v>
      </c>
      <c r="CH6" s="83">
        <v>198.07</v>
      </c>
      <c r="CI6" t="s">
        <v>511</v>
      </c>
      <c r="CJ6" s="83">
        <f>CE$2*CH6</f>
        <v>396.14</v>
      </c>
      <c r="CK6" t="s">
        <v>511</v>
      </c>
      <c r="CO6" t="s">
        <v>3180</v>
      </c>
      <c r="CP6" s="83">
        <v>235.5</v>
      </c>
      <c r="CQ6" t="s">
        <v>511</v>
      </c>
      <c r="CR6" s="83">
        <f>CM$2*CP6</f>
        <v>471</v>
      </c>
      <c r="CS6" t="s">
        <v>511</v>
      </c>
      <c r="CU6" s="21">
        <f>H6+P6+X6+AF6+AV6+AN6+BD6+BL6+BT6+CB6+CJ6+CR6</f>
        <v>25640.7</v>
      </c>
      <c r="CV6" t="s">
        <v>511</v>
      </c>
    </row>
    <row r="7" spans="2:100">
      <c r="E7" t="s">
        <v>3181</v>
      </c>
      <c r="F7" s="84">
        <f>F27</f>
        <v>390</v>
      </c>
      <c r="G7" t="s">
        <v>511</v>
      </c>
      <c r="H7" s="83">
        <f>$C$2*F7</f>
        <v>4680</v>
      </c>
      <c r="I7" t="s">
        <v>511</v>
      </c>
      <c r="M7" t="s">
        <v>3181</v>
      </c>
      <c r="N7" s="84">
        <f>N27</f>
        <v>297</v>
      </c>
      <c r="O7" t="s">
        <v>511</v>
      </c>
      <c r="P7" s="83">
        <f>$C$2*N7</f>
        <v>3564</v>
      </c>
      <c r="Q7" t="s">
        <v>511</v>
      </c>
      <c r="U7" t="s">
        <v>3181</v>
      </c>
      <c r="V7" s="84">
        <f>V27</f>
        <v>595</v>
      </c>
      <c r="W7" t="s">
        <v>511</v>
      </c>
      <c r="X7" s="83">
        <f>$C$2*V7</f>
        <v>7140</v>
      </c>
      <c r="Y7" t="s">
        <v>511</v>
      </c>
      <c r="AC7" t="s">
        <v>3181</v>
      </c>
      <c r="AD7" s="84">
        <f>AD27</f>
        <v>429</v>
      </c>
      <c r="AE7" t="s">
        <v>511</v>
      </c>
      <c r="AF7" s="83">
        <f>$C$2*AD7</f>
        <v>5148</v>
      </c>
      <c r="AG7" t="s">
        <v>511</v>
      </c>
      <c r="AK7" t="s">
        <v>3181</v>
      </c>
      <c r="AL7" s="84">
        <f>AL27</f>
        <v>761</v>
      </c>
      <c r="AM7" t="s">
        <v>511</v>
      </c>
      <c r="AN7" s="83">
        <f>$C$2*AL7</f>
        <v>9132</v>
      </c>
      <c r="AO7" t="s">
        <v>511</v>
      </c>
      <c r="AS7" t="s">
        <v>3181</v>
      </c>
      <c r="AT7" s="84">
        <f>AT27</f>
        <v>300</v>
      </c>
      <c r="AU7" t="s">
        <v>511</v>
      </c>
      <c r="AV7" s="83">
        <f>$C$2*AT7</f>
        <v>3600</v>
      </c>
      <c r="AW7" t="s">
        <v>511</v>
      </c>
      <c r="BA7" t="s">
        <v>3181</v>
      </c>
      <c r="BB7" s="84">
        <f>BB27</f>
        <v>316</v>
      </c>
      <c r="BC7" t="s">
        <v>511</v>
      </c>
      <c r="BD7" s="83">
        <f>$C$2*BB7</f>
        <v>3792</v>
      </c>
      <c r="BE7" t="s">
        <v>511</v>
      </c>
      <c r="BI7" t="s">
        <v>3181</v>
      </c>
      <c r="BJ7" s="84">
        <f>BJ27</f>
        <v>247</v>
      </c>
      <c r="BK7" t="s">
        <v>511</v>
      </c>
      <c r="BL7" s="83">
        <f>$C$2*BJ7</f>
        <v>2964</v>
      </c>
      <c r="BM7" t="s">
        <v>511</v>
      </c>
      <c r="BQ7" t="s">
        <v>3181</v>
      </c>
      <c r="BR7" s="84">
        <f>BR27</f>
        <v>436</v>
      </c>
      <c r="BS7" t="s">
        <v>511</v>
      </c>
      <c r="BT7" s="83">
        <f>$C$2*BR7</f>
        <v>5232</v>
      </c>
      <c r="BU7" t="s">
        <v>511</v>
      </c>
      <c r="BY7" t="s">
        <v>3181</v>
      </c>
      <c r="BZ7" s="84">
        <f>BZ27</f>
        <v>405</v>
      </c>
      <c r="CA7" t="s">
        <v>511</v>
      </c>
      <c r="CB7" s="83">
        <f>$C$2*BZ7</f>
        <v>4860</v>
      </c>
      <c r="CC7" t="s">
        <v>511</v>
      </c>
      <c r="CG7" t="s">
        <v>3181</v>
      </c>
      <c r="CH7" s="84">
        <f>CH27</f>
        <v>247</v>
      </c>
      <c r="CI7" t="s">
        <v>511</v>
      </c>
      <c r="CJ7" s="83">
        <f>$C$2*CH7</f>
        <v>2964</v>
      </c>
      <c r="CK7" t="s">
        <v>511</v>
      </c>
      <c r="CO7" t="s">
        <v>3181</v>
      </c>
      <c r="CP7" s="84">
        <f>CP27</f>
        <v>455</v>
      </c>
      <c r="CQ7" t="s">
        <v>511</v>
      </c>
      <c r="CR7" s="83">
        <f>$C$2*CP7</f>
        <v>5460</v>
      </c>
      <c r="CS7" t="s">
        <v>511</v>
      </c>
      <c r="CU7" s="21">
        <f>H7+P7+X7+AF7+AV7+AN7+BD7+BL7+BT7+CB7+CJ7+CR7</f>
        <v>58536</v>
      </c>
      <c r="CV7" t="s">
        <v>511</v>
      </c>
    </row>
    <row r="8" spans="2:100">
      <c r="E8" t="s">
        <v>3182</v>
      </c>
      <c r="M8" t="s">
        <v>3182</v>
      </c>
      <c r="U8" t="s">
        <v>3182</v>
      </c>
      <c r="AC8" t="s">
        <v>3182</v>
      </c>
      <c r="AK8" t="s">
        <v>3182</v>
      </c>
      <c r="AS8" t="s">
        <v>3182</v>
      </c>
      <c r="BA8" t="s">
        <v>3182</v>
      </c>
      <c r="BI8" t="s">
        <v>3182</v>
      </c>
      <c r="BQ8" t="s">
        <v>3182</v>
      </c>
      <c r="BY8" t="s">
        <v>3182</v>
      </c>
      <c r="CG8" t="s">
        <v>3182</v>
      </c>
      <c r="CO8" t="s">
        <v>3182</v>
      </c>
    </row>
    <row r="9" spans="2:100">
      <c r="D9" t="s">
        <v>3183</v>
      </c>
      <c r="L9" t="s">
        <v>3183</v>
      </c>
      <c r="T9" t="s">
        <v>3183</v>
      </c>
      <c r="AB9" t="s">
        <v>3183</v>
      </c>
      <c r="AJ9" t="s">
        <v>3183</v>
      </c>
      <c r="AR9" t="s">
        <v>3183</v>
      </c>
      <c r="AZ9" t="s">
        <v>3183</v>
      </c>
      <c r="BH9" t="s">
        <v>3183</v>
      </c>
      <c r="BP9" t="s">
        <v>3183</v>
      </c>
      <c r="BX9" t="s">
        <v>3183</v>
      </c>
      <c r="CF9" t="s">
        <v>3183</v>
      </c>
      <c r="CN9" t="s">
        <v>3183</v>
      </c>
    </row>
    <row r="10" spans="2:100">
      <c r="E10" t="s">
        <v>3184</v>
      </c>
      <c r="F10" s="83">
        <v>5</v>
      </c>
      <c r="G10" t="s">
        <v>904</v>
      </c>
      <c r="H10" s="83">
        <f t="shared" ref="H10:H15" si="0">$C$2*F10</f>
        <v>60</v>
      </c>
      <c r="I10" t="s">
        <v>904</v>
      </c>
      <c r="M10" t="s">
        <v>3184</v>
      </c>
      <c r="N10" s="83">
        <v>5</v>
      </c>
      <c r="O10" t="s">
        <v>904</v>
      </c>
      <c r="P10" s="83">
        <f>$K$2*N10</f>
        <v>60</v>
      </c>
      <c r="Q10" t="s">
        <v>904</v>
      </c>
      <c r="U10" t="s">
        <v>3184</v>
      </c>
      <c r="V10" s="83">
        <v>5</v>
      </c>
      <c r="W10" t="s">
        <v>904</v>
      </c>
      <c r="X10" s="83">
        <f t="shared" ref="X10:X15" si="1">S$2*V10</f>
        <v>50</v>
      </c>
      <c r="Y10" t="s">
        <v>904</v>
      </c>
      <c r="AC10" t="s">
        <v>3184</v>
      </c>
      <c r="AD10" s="83">
        <v>5</v>
      </c>
      <c r="AE10" t="s">
        <v>904</v>
      </c>
      <c r="AF10" s="83">
        <f t="shared" ref="AF10:AF15" si="2">AA$2*AD10</f>
        <v>160</v>
      </c>
      <c r="AG10" t="s">
        <v>904</v>
      </c>
      <c r="AK10" t="s">
        <v>3184</v>
      </c>
      <c r="AL10" s="83">
        <v>5</v>
      </c>
      <c r="AM10" t="s">
        <v>904</v>
      </c>
      <c r="AN10" s="83">
        <f t="shared" ref="AN10:AN15" si="3">AI$2*AL10</f>
        <v>30</v>
      </c>
      <c r="AO10" t="s">
        <v>904</v>
      </c>
      <c r="AS10" t="s">
        <v>3184</v>
      </c>
      <c r="AU10" t="s">
        <v>904</v>
      </c>
      <c r="AV10" s="83">
        <f t="shared" ref="AV10:AV15" si="4">AQ$2*AT10</f>
        <v>0</v>
      </c>
      <c r="AW10" t="s">
        <v>904</v>
      </c>
      <c r="BA10" t="s">
        <v>3184</v>
      </c>
      <c r="BC10" t="s">
        <v>904</v>
      </c>
      <c r="BD10" s="83">
        <f t="shared" ref="BD10:BD15" si="5">AY$2*BB10</f>
        <v>0</v>
      </c>
      <c r="BE10" t="s">
        <v>904</v>
      </c>
      <c r="BI10" t="s">
        <v>3184</v>
      </c>
      <c r="BK10" t="s">
        <v>904</v>
      </c>
      <c r="BL10" s="83">
        <f t="shared" ref="BL10:BL15" si="6">BG$2*BJ10</f>
        <v>0</v>
      </c>
      <c r="BM10" t="s">
        <v>904</v>
      </c>
      <c r="BQ10" t="s">
        <v>3184</v>
      </c>
      <c r="BS10" t="s">
        <v>904</v>
      </c>
      <c r="BT10" s="83">
        <f t="shared" ref="BT10:BT15" si="7">BO$2*BR10</f>
        <v>0</v>
      </c>
      <c r="BU10" t="s">
        <v>904</v>
      </c>
      <c r="BY10" t="s">
        <v>3184</v>
      </c>
      <c r="CA10" t="s">
        <v>904</v>
      </c>
      <c r="CB10" s="83">
        <f t="shared" ref="CB10:CB15" si="8">BW$2*BZ10</f>
        <v>0</v>
      </c>
      <c r="CC10" t="s">
        <v>904</v>
      </c>
      <c r="CG10" t="s">
        <v>3184</v>
      </c>
      <c r="CI10" t="s">
        <v>904</v>
      </c>
      <c r="CJ10" s="83">
        <f t="shared" ref="CJ10:CJ15" si="9">CE$2*CH10</f>
        <v>0</v>
      </c>
      <c r="CK10" t="s">
        <v>904</v>
      </c>
      <c r="CO10" t="s">
        <v>3184</v>
      </c>
      <c r="CQ10" t="s">
        <v>904</v>
      </c>
      <c r="CR10" s="83">
        <f t="shared" ref="CR10:CR15" si="10">CM$2*CP10</f>
        <v>0</v>
      </c>
      <c r="CS10" t="s">
        <v>904</v>
      </c>
      <c r="CU10" s="21">
        <f t="shared" ref="CU10:CU15" si="11">H10+P10+X10+AF10+AV10+AN10+BD10+BL10+BT10+CB10+CJ10+CR10</f>
        <v>360</v>
      </c>
      <c r="CV10" t="s">
        <v>904</v>
      </c>
    </row>
    <row r="11" spans="2:100">
      <c r="E11" t="s">
        <v>3185</v>
      </c>
      <c r="F11" s="83">
        <v>7.5</v>
      </c>
      <c r="G11" t="s">
        <v>904</v>
      </c>
      <c r="H11" s="83">
        <f>$C$2*F11</f>
        <v>90</v>
      </c>
      <c r="I11" t="s">
        <v>904</v>
      </c>
      <c r="M11" t="s">
        <v>3185</v>
      </c>
      <c r="N11" s="83">
        <v>7.5</v>
      </c>
      <c r="O11" t="s">
        <v>904</v>
      </c>
      <c r="P11" s="83">
        <f>$K$2*N11</f>
        <v>90</v>
      </c>
      <c r="Q11" t="s">
        <v>904</v>
      </c>
      <c r="U11" t="s">
        <v>3185</v>
      </c>
      <c r="V11" s="83">
        <v>7.5</v>
      </c>
      <c r="W11" t="s">
        <v>904</v>
      </c>
      <c r="X11" s="83">
        <f>S$2*V11</f>
        <v>75</v>
      </c>
      <c r="Y11" t="s">
        <v>904</v>
      </c>
      <c r="AC11" t="s">
        <v>3185</v>
      </c>
      <c r="AD11" s="83">
        <v>7.5</v>
      </c>
      <c r="AE11" t="s">
        <v>904</v>
      </c>
      <c r="AF11" s="83">
        <f>AA$2*AD11</f>
        <v>240</v>
      </c>
      <c r="AG11" t="s">
        <v>904</v>
      </c>
      <c r="AK11" t="s">
        <v>3185</v>
      </c>
      <c r="AL11" s="83">
        <v>7.5</v>
      </c>
      <c r="AM11" t="s">
        <v>904</v>
      </c>
      <c r="AN11" s="83">
        <f t="shared" si="3"/>
        <v>45</v>
      </c>
      <c r="AO11" t="s">
        <v>904</v>
      </c>
      <c r="AS11" t="s">
        <v>3184</v>
      </c>
      <c r="AU11" t="s">
        <v>904</v>
      </c>
      <c r="AV11" s="83">
        <f>AQ$2*AT11</f>
        <v>0</v>
      </c>
      <c r="AW11" t="s">
        <v>904</v>
      </c>
      <c r="BA11" t="s">
        <v>3185</v>
      </c>
      <c r="BC11" t="s">
        <v>904</v>
      </c>
      <c r="BD11" s="83">
        <f t="shared" si="5"/>
        <v>0</v>
      </c>
      <c r="BE11" t="s">
        <v>904</v>
      </c>
      <c r="BI11" t="s">
        <v>3185</v>
      </c>
      <c r="BK11" t="s">
        <v>904</v>
      </c>
      <c r="BL11" s="83">
        <f t="shared" si="6"/>
        <v>0</v>
      </c>
      <c r="BM11" t="s">
        <v>904</v>
      </c>
      <c r="BQ11" t="s">
        <v>3185</v>
      </c>
      <c r="BS11" t="s">
        <v>904</v>
      </c>
      <c r="BT11" s="83">
        <f t="shared" si="7"/>
        <v>0</v>
      </c>
      <c r="BU11" t="s">
        <v>904</v>
      </c>
      <c r="BY11" t="s">
        <v>3185</v>
      </c>
      <c r="CA11" t="s">
        <v>904</v>
      </c>
      <c r="CB11" s="83">
        <f t="shared" si="8"/>
        <v>0</v>
      </c>
      <c r="CC11" t="s">
        <v>904</v>
      </c>
      <c r="CG11" t="s">
        <v>3185</v>
      </c>
      <c r="CI11" t="s">
        <v>904</v>
      </c>
      <c r="CJ11" s="83">
        <f t="shared" si="9"/>
        <v>0</v>
      </c>
      <c r="CK11" t="s">
        <v>904</v>
      </c>
      <c r="CO11" t="s">
        <v>3185</v>
      </c>
      <c r="CQ11" t="s">
        <v>904</v>
      </c>
      <c r="CR11" s="83">
        <f t="shared" si="10"/>
        <v>0</v>
      </c>
      <c r="CS11" t="s">
        <v>904</v>
      </c>
      <c r="CU11" s="21">
        <f t="shared" si="11"/>
        <v>540</v>
      </c>
      <c r="CV11" t="s">
        <v>904</v>
      </c>
    </row>
    <row r="12" spans="2:100">
      <c r="E12" t="s">
        <v>3186</v>
      </c>
      <c r="F12" s="83">
        <v>4</v>
      </c>
      <c r="G12" t="s">
        <v>904</v>
      </c>
      <c r="H12" s="83">
        <f t="shared" si="0"/>
        <v>48</v>
      </c>
      <c r="I12" t="s">
        <v>904</v>
      </c>
      <c r="M12" t="s">
        <v>3186</v>
      </c>
      <c r="N12" s="83">
        <v>4</v>
      </c>
      <c r="O12" t="s">
        <v>904</v>
      </c>
      <c r="P12" s="83">
        <f>$C$2*N12</f>
        <v>48</v>
      </c>
      <c r="Q12" t="s">
        <v>904</v>
      </c>
      <c r="U12" t="s">
        <v>3186</v>
      </c>
      <c r="V12" s="83">
        <v>8</v>
      </c>
      <c r="W12" t="s">
        <v>904</v>
      </c>
      <c r="X12" s="83">
        <f t="shared" si="1"/>
        <v>80</v>
      </c>
      <c r="Y12" t="s">
        <v>904</v>
      </c>
      <c r="AC12" t="s">
        <v>3186</v>
      </c>
      <c r="AD12" s="83">
        <v>4</v>
      </c>
      <c r="AE12" t="s">
        <v>904</v>
      </c>
      <c r="AF12" s="83">
        <f t="shared" si="2"/>
        <v>128</v>
      </c>
      <c r="AG12" t="s">
        <v>904</v>
      </c>
      <c r="AK12" t="s">
        <v>3186</v>
      </c>
      <c r="AL12" s="83">
        <v>4</v>
      </c>
      <c r="AM12" t="s">
        <v>904</v>
      </c>
      <c r="AN12" s="83">
        <f t="shared" si="3"/>
        <v>24</v>
      </c>
      <c r="AO12" t="s">
        <v>904</v>
      </c>
      <c r="AS12" t="s">
        <v>3186</v>
      </c>
      <c r="AT12" s="83">
        <v>4</v>
      </c>
      <c r="AU12" t="s">
        <v>904</v>
      </c>
      <c r="AV12" s="83">
        <f t="shared" si="4"/>
        <v>16</v>
      </c>
      <c r="AW12" t="s">
        <v>904</v>
      </c>
      <c r="BA12" t="s">
        <v>3186</v>
      </c>
      <c r="BB12" s="83">
        <v>1</v>
      </c>
      <c r="BC12" t="s">
        <v>904</v>
      </c>
      <c r="BD12" s="83">
        <f t="shared" si="5"/>
        <v>2</v>
      </c>
      <c r="BE12" t="s">
        <v>904</v>
      </c>
      <c r="BI12" t="s">
        <v>3186</v>
      </c>
      <c r="BK12" t="s">
        <v>904</v>
      </c>
      <c r="BL12" s="83">
        <f t="shared" si="6"/>
        <v>0</v>
      </c>
      <c r="BM12" t="s">
        <v>904</v>
      </c>
      <c r="BQ12" t="s">
        <v>3186</v>
      </c>
      <c r="BR12" s="83">
        <v>4</v>
      </c>
      <c r="BS12" t="s">
        <v>904</v>
      </c>
      <c r="BT12" s="83">
        <f t="shared" si="7"/>
        <v>48</v>
      </c>
      <c r="BU12" t="s">
        <v>904</v>
      </c>
      <c r="BY12" t="s">
        <v>3186</v>
      </c>
      <c r="BZ12" s="83">
        <v>4</v>
      </c>
      <c r="CA12" t="s">
        <v>904</v>
      </c>
      <c r="CB12" s="83">
        <f t="shared" si="8"/>
        <v>16</v>
      </c>
      <c r="CC12" t="s">
        <v>904</v>
      </c>
      <c r="CG12" t="s">
        <v>3186</v>
      </c>
      <c r="CH12" s="83">
        <v>4</v>
      </c>
      <c r="CI12" t="s">
        <v>904</v>
      </c>
      <c r="CJ12" s="83">
        <f t="shared" si="9"/>
        <v>8</v>
      </c>
      <c r="CK12" t="s">
        <v>904</v>
      </c>
      <c r="CO12" t="s">
        <v>3186</v>
      </c>
      <c r="CP12" s="83">
        <v>4</v>
      </c>
      <c r="CQ12" t="s">
        <v>904</v>
      </c>
      <c r="CR12" s="83">
        <f t="shared" si="10"/>
        <v>8</v>
      </c>
      <c r="CS12" t="s">
        <v>904</v>
      </c>
      <c r="CU12" s="21">
        <f t="shared" si="11"/>
        <v>426</v>
      </c>
      <c r="CV12" t="s">
        <v>904</v>
      </c>
    </row>
    <row r="13" spans="2:100">
      <c r="E13" t="s">
        <v>3187</v>
      </c>
      <c r="F13" s="83">
        <v>5</v>
      </c>
      <c r="G13" t="s">
        <v>468</v>
      </c>
      <c r="H13" s="83">
        <f t="shared" si="0"/>
        <v>60</v>
      </c>
      <c r="I13" t="s">
        <v>468</v>
      </c>
      <c r="M13" t="s">
        <v>3187</v>
      </c>
      <c r="N13" s="83">
        <v>5</v>
      </c>
      <c r="O13" t="s">
        <v>468</v>
      </c>
      <c r="P13" s="83">
        <f>$C$2*N13</f>
        <v>60</v>
      </c>
      <c r="Q13" t="s">
        <v>468</v>
      </c>
      <c r="U13" t="s">
        <v>3187</v>
      </c>
      <c r="V13" s="83">
        <v>5</v>
      </c>
      <c r="W13" t="s">
        <v>468</v>
      </c>
      <c r="X13" s="83">
        <f t="shared" si="1"/>
        <v>50</v>
      </c>
      <c r="Y13" t="s">
        <v>468</v>
      </c>
      <c r="AC13" t="s">
        <v>3187</v>
      </c>
      <c r="AD13" s="83">
        <v>5</v>
      </c>
      <c r="AE13" t="s">
        <v>468</v>
      </c>
      <c r="AF13" s="83">
        <f t="shared" si="2"/>
        <v>160</v>
      </c>
      <c r="AG13" t="s">
        <v>468</v>
      </c>
      <c r="AK13" t="s">
        <v>3187</v>
      </c>
      <c r="AL13" s="83">
        <v>5</v>
      </c>
      <c r="AM13" t="s">
        <v>468</v>
      </c>
      <c r="AN13" s="83">
        <f t="shared" si="3"/>
        <v>30</v>
      </c>
      <c r="AO13" t="s">
        <v>468</v>
      </c>
      <c r="AS13" t="s">
        <v>3187</v>
      </c>
      <c r="AT13" s="83">
        <v>5</v>
      </c>
      <c r="AU13" t="s">
        <v>468</v>
      </c>
      <c r="AV13" s="83">
        <f t="shared" si="4"/>
        <v>20</v>
      </c>
      <c r="AW13" t="s">
        <v>468</v>
      </c>
      <c r="BA13" t="s">
        <v>3187</v>
      </c>
      <c r="BB13" s="83">
        <v>1</v>
      </c>
      <c r="BC13" t="s">
        <v>468</v>
      </c>
      <c r="BD13" s="83">
        <f t="shared" si="5"/>
        <v>2</v>
      </c>
      <c r="BE13" t="s">
        <v>468</v>
      </c>
      <c r="BI13" t="s">
        <v>3187</v>
      </c>
      <c r="BJ13" s="83">
        <v>5</v>
      </c>
      <c r="BK13" t="s">
        <v>468</v>
      </c>
      <c r="BL13" s="83">
        <f t="shared" si="6"/>
        <v>10</v>
      </c>
      <c r="BM13" t="s">
        <v>468</v>
      </c>
      <c r="BQ13" t="s">
        <v>3187</v>
      </c>
      <c r="BR13" s="83">
        <v>5</v>
      </c>
      <c r="BS13" t="s">
        <v>468</v>
      </c>
      <c r="BT13" s="83">
        <f t="shared" si="7"/>
        <v>60</v>
      </c>
      <c r="BU13" t="s">
        <v>468</v>
      </c>
      <c r="BY13" t="s">
        <v>3187</v>
      </c>
      <c r="BZ13" s="83">
        <v>5</v>
      </c>
      <c r="CA13" t="s">
        <v>468</v>
      </c>
      <c r="CB13" s="83">
        <f t="shared" si="8"/>
        <v>20</v>
      </c>
      <c r="CC13" t="s">
        <v>468</v>
      </c>
      <c r="CG13" t="s">
        <v>3187</v>
      </c>
      <c r="CH13" s="83">
        <v>5</v>
      </c>
      <c r="CI13" t="s">
        <v>468</v>
      </c>
      <c r="CJ13" s="83">
        <f t="shared" si="9"/>
        <v>10</v>
      </c>
      <c r="CK13" t="s">
        <v>468</v>
      </c>
      <c r="CO13" t="s">
        <v>3187</v>
      </c>
      <c r="CP13" s="83">
        <v>5</v>
      </c>
      <c r="CQ13" t="s">
        <v>468</v>
      </c>
      <c r="CR13" s="83">
        <f t="shared" si="10"/>
        <v>10</v>
      </c>
      <c r="CS13" t="s">
        <v>468</v>
      </c>
      <c r="CU13" s="21">
        <f t="shared" si="11"/>
        <v>492</v>
      </c>
      <c r="CV13" t="s">
        <v>468</v>
      </c>
    </row>
    <row r="14" spans="2:100">
      <c r="E14" t="s">
        <v>3188</v>
      </c>
      <c r="F14" s="83">
        <v>93</v>
      </c>
      <c r="G14" t="s">
        <v>529</v>
      </c>
      <c r="H14" s="83">
        <f t="shared" si="0"/>
        <v>1116</v>
      </c>
      <c r="I14" t="s">
        <v>529</v>
      </c>
      <c r="M14" t="s">
        <v>3188</v>
      </c>
      <c r="N14" s="83">
        <v>72</v>
      </c>
      <c r="O14" t="s">
        <v>529</v>
      </c>
      <c r="P14" s="83">
        <f>$C$2*N14</f>
        <v>864</v>
      </c>
      <c r="Q14" t="s">
        <v>529</v>
      </c>
      <c r="U14" t="s">
        <v>3188</v>
      </c>
      <c r="V14" s="83">
        <v>128</v>
      </c>
      <c r="W14" t="s">
        <v>529</v>
      </c>
      <c r="X14" s="83">
        <f t="shared" si="1"/>
        <v>1280</v>
      </c>
      <c r="Y14" t="s">
        <v>529</v>
      </c>
      <c r="AC14" t="s">
        <v>3188</v>
      </c>
      <c r="AD14" s="83">
        <v>111</v>
      </c>
      <c r="AE14" t="s">
        <v>529</v>
      </c>
      <c r="AF14" s="83">
        <f t="shared" si="2"/>
        <v>3552</v>
      </c>
      <c r="AG14" t="s">
        <v>529</v>
      </c>
      <c r="AK14" t="s">
        <v>3188</v>
      </c>
      <c r="AL14" s="83">
        <v>190</v>
      </c>
      <c r="AM14" t="s">
        <v>529</v>
      </c>
      <c r="AN14" s="83">
        <f t="shared" si="3"/>
        <v>1140</v>
      </c>
      <c r="AO14" t="s">
        <v>529</v>
      </c>
      <c r="AS14" t="s">
        <v>3188</v>
      </c>
      <c r="AT14" s="83">
        <v>23</v>
      </c>
      <c r="AU14" t="s">
        <v>529</v>
      </c>
      <c r="AV14" s="83">
        <f t="shared" si="4"/>
        <v>92</v>
      </c>
      <c r="AW14" t="s">
        <v>529</v>
      </c>
      <c r="BA14" t="s">
        <v>3188</v>
      </c>
      <c r="BB14" s="83">
        <v>79</v>
      </c>
      <c r="BC14" t="s">
        <v>529</v>
      </c>
      <c r="BD14" s="83">
        <f t="shared" si="5"/>
        <v>158</v>
      </c>
      <c r="BE14" t="s">
        <v>529</v>
      </c>
      <c r="BI14" t="s">
        <v>3188</v>
      </c>
      <c r="BJ14" s="83">
        <v>62</v>
      </c>
      <c r="BK14" t="s">
        <v>529</v>
      </c>
      <c r="BL14" s="83">
        <f t="shared" si="6"/>
        <v>124</v>
      </c>
      <c r="BM14" t="s">
        <v>529</v>
      </c>
      <c r="BQ14" t="s">
        <v>3188</v>
      </c>
      <c r="BR14" s="83">
        <v>114</v>
      </c>
      <c r="BS14" t="s">
        <v>529</v>
      </c>
      <c r="BT14" s="83">
        <f t="shared" si="7"/>
        <v>1368</v>
      </c>
      <c r="BU14" t="s">
        <v>529</v>
      </c>
      <c r="BY14" t="s">
        <v>3188</v>
      </c>
      <c r="BZ14" s="83">
        <v>116</v>
      </c>
      <c r="CA14" t="s">
        <v>529</v>
      </c>
      <c r="CB14" s="83">
        <f t="shared" si="8"/>
        <v>464</v>
      </c>
      <c r="CC14" t="s">
        <v>529</v>
      </c>
      <c r="CG14" t="s">
        <v>3188</v>
      </c>
      <c r="CH14" s="83">
        <v>68</v>
      </c>
      <c r="CI14" t="s">
        <v>529</v>
      </c>
      <c r="CJ14" s="83">
        <f t="shared" si="9"/>
        <v>136</v>
      </c>
      <c r="CK14" t="s">
        <v>529</v>
      </c>
      <c r="CO14" t="s">
        <v>3188</v>
      </c>
      <c r="CP14" s="83">
        <v>102</v>
      </c>
      <c r="CQ14" t="s">
        <v>529</v>
      </c>
      <c r="CR14" s="83">
        <f t="shared" si="10"/>
        <v>204</v>
      </c>
      <c r="CS14" t="s">
        <v>529</v>
      </c>
      <c r="CU14" s="21">
        <f t="shared" si="11"/>
        <v>10498</v>
      </c>
      <c r="CV14" t="s">
        <v>529</v>
      </c>
    </row>
    <row r="15" spans="2:100">
      <c r="E15" t="s">
        <v>3189</v>
      </c>
      <c r="F15" s="83">
        <v>6</v>
      </c>
      <c r="G15" t="s">
        <v>529</v>
      </c>
      <c r="H15" s="83">
        <f t="shared" si="0"/>
        <v>72</v>
      </c>
      <c r="I15" t="s">
        <v>529</v>
      </c>
      <c r="M15" t="s">
        <v>3189</v>
      </c>
      <c r="N15" s="83">
        <v>5</v>
      </c>
      <c r="O15" t="s">
        <v>529</v>
      </c>
      <c r="P15" s="83">
        <f>$C$2*N15</f>
        <v>60</v>
      </c>
      <c r="Q15" t="s">
        <v>529</v>
      </c>
      <c r="U15" t="s">
        <v>3189</v>
      </c>
      <c r="V15" s="83">
        <v>7</v>
      </c>
      <c r="W15" t="s">
        <v>529</v>
      </c>
      <c r="X15" s="83">
        <f t="shared" si="1"/>
        <v>70</v>
      </c>
      <c r="Y15" t="s">
        <v>529</v>
      </c>
      <c r="AC15" t="s">
        <v>3189</v>
      </c>
      <c r="AD15" s="83">
        <v>5</v>
      </c>
      <c r="AE15" t="s">
        <v>529</v>
      </c>
      <c r="AF15" s="83">
        <f t="shared" si="2"/>
        <v>160</v>
      </c>
      <c r="AG15" t="s">
        <v>529</v>
      </c>
      <c r="AK15" t="s">
        <v>3189</v>
      </c>
      <c r="AL15" s="83">
        <v>15</v>
      </c>
      <c r="AM15" t="s">
        <v>529</v>
      </c>
      <c r="AN15" s="83">
        <f t="shared" si="3"/>
        <v>90</v>
      </c>
      <c r="AO15" t="s">
        <v>529</v>
      </c>
      <c r="AS15" t="s">
        <v>3189</v>
      </c>
      <c r="AT15" s="83">
        <v>6</v>
      </c>
      <c r="AU15" t="s">
        <v>529</v>
      </c>
      <c r="AV15" s="83">
        <f t="shared" si="4"/>
        <v>24</v>
      </c>
      <c r="AW15" t="s">
        <v>529</v>
      </c>
      <c r="BA15" t="s">
        <v>3189</v>
      </c>
      <c r="BB15" s="83">
        <v>6</v>
      </c>
      <c r="BC15" t="s">
        <v>529</v>
      </c>
      <c r="BD15" s="83">
        <f t="shared" si="5"/>
        <v>12</v>
      </c>
      <c r="BE15" t="s">
        <v>529</v>
      </c>
      <c r="BI15" t="s">
        <v>3189</v>
      </c>
      <c r="BJ15" s="83">
        <v>6</v>
      </c>
      <c r="BK15" t="s">
        <v>529</v>
      </c>
      <c r="BL15" s="83">
        <f t="shared" si="6"/>
        <v>12</v>
      </c>
      <c r="BM15" t="s">
        <v>529</v>
      </c>
      <c r="BQ15" t="s">
        <v>3189</v>
      </c>
      <c r="BR15" s="83">
        <v>12</v>
      </c>
      <c r="BS15" t="s">
        <v>529</v>
      </c>
      <c r="BT15" s="83">
        <f t="shared" si="7"/>
        <v>144</v>
      </c>
      <c r="BU15" t="s">
        <v>529</v>
      </c>
      <c r="BY15" t="s">
        <v>3189</v>
      </c>
      <c r="BZ15" s="83">
        <v>12</v>
      </c>
      <c r="CA15" t="s">
        <v>529</v>
      </c>
      <c r="CB15" s="83">
        <f t="shared" si="8"/>
        <v>48</v>
      </c>
      <c r="CC15" t="s">
        <v>529</v>
      </c>
      <c r="CG15" t="s">
        <v>3189</v>
      </c>
      <c r="CH15" s="83">
        <v>6</v>
      </c>
      <c r="CI15" t="s">
        <v>529</v>
      </c>
      <c r="CJ15" s="83">
        <f t="shared" si="9"/>
        <v>12</v>
      </c>
      <c r="CK15" t="s">
        <v>529</v>
      </c>
      <c r="CO15" t="s">
        <v>3189</v>
      </c>
      <c r="CP15" s="83">
        <v>6</v>
      </c>
      <c r="CQ15" t="s">
        <v>529</v>
      </c>
      <c r="CR15" s="83">
        <f t="shared" si="10"/>
        <v>12</v>
      </c>
      <c r="CS15" t="s">
        <v>529</v>
      </c>
      <c r="CU15" s="21">
        <f t="shared" si="11"/>
        <v>716</v>
      </c>
      <c r="CV15" t="s">
        <v>529</v>
      </c>
    </row>
    <row r="16" spans="2:100">
      <c r="D16" t="s">
        <v>3190</v>
      </c>
      <c r="L16" t="s">
        <v>3190</v>
      </c>
      <c r="T16" t="s">
        <v>3190</v>
      </c>
      <c r="AB16" t="s">
        <v>3190</v>
      </c>
      <c r="AJ16" t="s">
        <v>3190</v>
      </c>
      <c r="AR16" t="s">
        <v>3190</v>
      </c>
      <c r="AZ16" t="s">
        <v>3190</v>
      </c>
      <c r="BH16" t="s">
        <v>3190</v>
      </c>
      <c r="BP16" t="s">
        <v>3190</v>
      </c>
      <c r="BX16" t="s">
        <v>3190</v>
      </c>
      <c r="CF16" t="s">
        <v>3190</v>
      </c>
      <c r="CN16" t="s">
        <v>3190</v>
      </c>
    </row>
    <row r="17" spans="4:100">
      <c r="E17" t="s">
        <v>3191</v>
      </c>
      <c r="F17" s="83">
        <v>1</v>
      </c>
      <c r="G17" t="s">
        <v>468</v>
      </c>
      <c r="H17" s="83">
        <f>$C$2*F17</f>
        <v>12</v>
      </c>
      <c r="I17" t="s">
        <v>468</v>
      </c>
      <c r="M17" t="s">
        <v>3191</v>
      </c>
      <c r="O17" t="s">
        <v>468</v>
      </c>
      <c r="P17" s="83">
        <f>$K$2*N17</f>
        <v>0</v>
      </c>
      <c r="Q17" t="s">
        <v>468</v>
      </c>
      <c r="U17" t="s">
        <v>3191</v>
      </c>
      <c r="V17" s="83">
        <v>1</v>
      </c>
      <c r="W17" t="s">
        <v>468</v>
      </c>
      <c r="X17" s="83">
        <f>S$2*V17</f>
        <v>10</v>
      </c>
      <c r="Y17" t="s">
        <v>468</v>
      </c>
      <c r="AC17" t="s">
        <v>3191</v>
      </c>
      <c r="AD17" s="83">
        <v>1</v>
      </c>
      <c r="AE17" t="s">
        <v>468</v>
      </c>
      <c r="AF17" s="83">
        <f>AA$2*AD17</f>
        <v>32</v>
      </c>
      <c r="AG17" t="s">
        <v>468</v>
      </c>
      <c r="AK17" t="s">
        <v>3191</v>
      </c>
      <c r="AM17" t="s">
        <v>468</v>
      </c>
      <c r="AN17" s="83">
        <f>AI$2*AL17</f>
        <v>0</v>
      </c>
      <c r="AO17" t="s">
        <v>468</v>
      </c>
      <c r="AS17" t="s">
        <v>3191</v>
      </c>
      <c r="AT17" s="83">
        <v>1</v>
      </c>
      <c r="AU17" t="s">
        <v>468</v>
      </c>
      <c r="AV17" s="83">
        <f>AQ$2*AT17</f>
        <v>4</v>
      </c>
      <c r="AW17" t="s">
        <v>468</v>
      </c>
      <c r="BA17" t="s">
        <v>3191</v>
      </c>
      <c r="BB17" s="83">
        <v>1</v>
      </c>
      <c r="BC17" t="s">
        <v>468</v>
      </c>
      <c r="BD17" s="83">
        <f>AY$2*BB17</f>
        <v>2</v>
      </c>
      <c r="BE17" t="s">
        <v>468</v>
      </c>
      <c r="BI17" t="s">
        <v>3191</v>
      </c>
      <c r="BJ17" s="83">
        <v>1</v>
      </c>
      <c r="BK17" t="s">
        <v>468</v>
      </c>
      <c r="BL17" s="83">
        <f>BG$2*BJ17</f>
        <v>2</v>
      </c>
      <c r="BM17" t="s">
        <v>468</v>
      </c>
      <c r="BQ17" t="s">
        <v>3191</v>
      </c>
      <c r="BR17" s="83">
        <v>2</v>
      </c>
      <c r="BS17" t="s">
        <v>468</v>
      </c>
      <c r="BT17" s="83">
        <f>BO$2*BR17</f>
        <v>24</v>
      </c>
      <c r="BU17" t="s">
        <v>468</v>
      </c>
      <c r="BY17" t="s">
        <v>3191</v>
      </c>
      <c r="BZ17" s="83">
        <v>2</v>
      </c>
      <c r="CA17" t="s">
        <v>468</v>
      </c>
      <c r="CB17" s="83">
        <f>BW$2*BZ17</f>
        <v>8</v>
      </c>
      <c r="CC17" t="s">
        <v>468</v>
      </c>
      <c r="CG17" t="s">
        <v>3191</v>
      </c>
      <c r="CH17" s="83">
        <v>1</v>
      </c>
      <c r="CI17" t="s">
        <v>468</v>
      </c>
      <c r="CJ17" s="83">
        <f>CE$2*CH17</f>
        <v>2</v>
      </c>
      <c r="CK17" t="s">
        <v>468</v>
      </c>
      <c r="CO17" t="s">
        <v>3191</v>
      </c>
      <c r="CP17" s="83">
        <v>1</v>
      </c>
      <c r="CQ17" t="s">
        <v>468</v>
      </c>
      <c r="CR17" s="83">
        <f>CM$2*CP17</f>
        <v>2</v>
      </c>
      <c r="CS17" t="s">
        <v>468</v>
      </c>
      <c r="CU17" s="21">
        <f>H17+P17+X17+AF17+AV17+AN17+BD17+BL17+BT17+CB17+CJ17+CR17</f>
        <v>98</v>
      </c>
      <c r="CV17" t="s">
        <v>468</v>
      </c>
    </row>
    <row r="18" spans="4:100">
      <c r="E18" t="s">
        <v>3192</v>
      </c>
      <c r="F18" s="83">
        <v>1</v>
      </c>
      <c r="G18" t="s">
        <v>468</v>
      </c>
      <c r="H18" s="83">
        <f>$C$2*F18</f>
        <v>12</v>
      </c>
      <c r="I18" t="s">
        <v>468</v>
      </c>
      <c r="M18" t="s">
        <v>3192</v>
      </c>
      <c r="N18" s="83">
        <v>1</v>
      </c>
      <c r="O18" t="s">
        <v>468</v>
      </c>
      <c r="P18" s="83">
        <f>$C$2*N18</f>
        <v>12</v>
      </c>
      <c r="Q18" t="s">
        <v>468</v>
      </c>
      <c r="U18" t="s">
        <v>3192</v>
      </c>
      <c r="V18" s="83">
        <v>1</v>
      </c>
      <c r="W18" t="s">
        <v>468</v>
      </c>
      <c r="X18" s="83">
        <f>S$2*V18</f>
        <v>10</v>
      </c>
      <c r="Y18" t="s">
        <v>468</v>
      </c>
      <c r="AC18" t="s">
        <v>3192</v>
      </c>
      <c r="AD18" s="83">
        <v>1</v>
      </c>
      <c r="AE18" t="s">
        <v>468</v>
      </c>
      <c r="AF18" s="83">
        <f>AA$2*AD18</f>
        <v>32</v>
      </c>
      <c r="AG18" t="s">
        <v>468</v>
      </c>
      <c r="AK18" t="s">
        <v>3192</v>
      </c>
      <c r="AL18" s="83">
        <v>1</v>
      </c>
      <c r="AM18" t="s">
        <v>468</v>
      </c>
      <c r="AN18" s="83">
        <f>AI$2*AL18</f>
        <v>6</v>
      </c>
      <c r="AO18" t="s">
        <v>468</v>
      </c>
      <c r="AS18" t="s">
        <v>3192</v>
      </c>
      <c r="AT18" s="83">
        <v>1</v>
      </c>
      <c r="AU18" t="s">
        <v>468</v>
      </c>
      <c r="AV18" s="83">
        <f>AQ$2*AT18</f>
        <v>4</v>
      </c>
      <c r="AW18" t="s">
        <v>468</v>
      </c>
      <c r="BA18" t="s">
        <v>3192</v>
      </c>
      <c r="BB18" s="83">
        <v>1</v>
      </c>
      <c r="BC18" t="s">
        <v>468</v>
      </c>
      <c r="BD18" s="83">
        <f>AY$2*BB18</f>
        <v>2</v>
      </c>
      <c r="BE18" t="s">
        <v>468</v>
      </c>
      <c r="BI18" t="s">
        <v>3192</v>
      </c>
      <c r="BJ18" s="83">
        <v>1</v>
      </c>
      <c r="BK18" t="s">
        <v>468</v>
      </c>
      <c r="BL18" s="83">
        <f>BG$2*BJ18</f>
        <v>2</v>
      </c>
      <c r="BM18" t="s">
        <v>468</v>
      </c>
      <c r="BQ18" t="s">
        <v>3192</v>
      </c>
      <c r="BR18" s="83">
        <v>1</v>
      </c>
      <c r="BS18" t="s">
        <v>468</v>
      </c>
      <c r="BT18" s="83">
        <f>BO$2*BR18</f>
        <v>12</v>
      </c>
      <c r="BU18" t="s">
        <v>468</v>
      </c>
      <c r="BY18" t="s">
        <v>3192</v>
      </c>
      <c r="BZ18" s="83">
        <v>1</v>
      </c>
      <c r="CA18" t="s">
        <v>468</v>
      </c>
      <c r="CB18" s="83">
        <f>BW$2*BZ18</f>
        <v>4</v>
      </c>
      <c r="CC18" t="s">
        <v>468</v>
      </c>
      <c r="CG18" t="s">
        <v>3192</v>
      </c>
      <c r="CH18" s="83">
        <v>1</v>
      </c>
      <c r="CI18" t="s">
        <v>468</v>
      </c>
      <c r="CJ18" s="83">
        <f>CE$2*CH18</f>
        <v>2</v>
      </c>
      <c r="CK18" t="s">
        <v>468</v>
      </c>
      <c r="CO18" t="s">
        <v>3192</v>
      </c>
      <c r="CP18" s="83">
        <v>1</v>
      </c>
      <c r="CQ18" t="s">
        <v>468</v>
      </c>
      <c r="CR18" s="83">
        <f>CM$2*CP18</f>
        <v>2</v>
      </c>
      <c r="CS18" t="s">
        <v>468</v>
      </c>
      <c r="CU18" s="21">
        <f>H18+P18+X18+AF18+AV18+AN18+BD18+BL18+BT18+CB18+CJ18+CR18</f>
        <v>100</v>
      </c>
      <c r="CV18" t="s">
        <v>468</v>
      </c>
    </row>
    <row r="19" spans="4:100">
      <c r="U19" t="s">
        <v>3193</v>
      </c>
      <c r="V19" s="83">
        <v>1</v>
      </c>
      <c r="W19" t="s">
        <v>468</v>
      </c>
      <c r="X19" s="83">
        <f>S$2*V19</f>
        <v>10</v>
      </c>
      <c r="Y19" t="s">
        <v>468</v>
      </c>
      <c r="AC19" t="s">
        <v>3193</v>
      </c>
      <c r="AE19" t="s">
        <v>468</v>
      </c>
      <c r="AF19" s="83">
        <f>AA$2*AD19</f>
        <v>0</v>
      </c>
      <c r="AG19" t="s">
        <v>468</v>
      </c>
      <c r="AK19" t="s">
        <v>3193</v>
      </c>
      <c r="AM19" t="s">
        <v>468</v>
      </c>
      <c r="AN19" s="83">
        <f>AI$2*AL19</f>
        <v>0</v>
      </c>
      <c r="AO19" t="s">
        <v>468</v>
      </c>
      <c r="AS19" t="s">
        <v>3193</v>
      </c>
      <c r="AU19" t="s">
        <v>468</v>
      </c>
      <c r="AV19" s="83">
        <f>AQ$2*AT19</f>
        <v>0</v>
      </c>
      <c r="AW19" t="s">
        <v>468</v>
      </c>
      <c r="BA19" t="s">
        <v>3193</v>
      </c>
      <c r="BC19" t="s">
        <v>468</v>
      </c>
      <c r="BD19" s="83">
        <f>AY$2*BB19</f>
        <v>0</v>
      </c>
      <c r="BE19" t="s">
        <v>468</v>
      </c>
      <c r="BI19" t="s">
        <v>3193</v>
      </c>
      <c r="BK19" t="s">
        <v>468</v>
      </c>
      <c r="BL19" s="83">
        <f>BG$2*BJ19</f>
        <v>0</v>
      </c>
      <c r="BM19" t="s">
        <v>468</v>
      </c>
      <c r="BQ19" t="s">
        <v>3193</v>
      </c>
      <c r="BS19" t="s">
        <v>468</v>
      </c>
      <c r="BT19" s="83">
        <f>BO$2*BR19</f>
        <v>0</v>
      </c>
      <c r="BU19" t="s">
        <v>468</v>
      </c>
      <c r="BY19" t="s">
        <v>3193</v>
      </c>
      <c r="CA19" t="s">
        <v>468</v>
      </c>
      <c r="CB19" s="83">
        <f>BW$2*BZ19</f>
        <v>0</v>
      </c>
      <c r="CC19" t="s">
        <v>468</v>
      </c>
      <c r="CG19" t="s">
        <v>3193</v>
      </c>
      <c r="CI19" t="s">
        <v>468</v>
      </c>
      <c r="CJ19" s="83">
        <f>CE$2*CH19</f>
        <v>0</v>
      </c>
      <c r="CK19" t="s">
        <v>468</v>
      </c>
      <c r="CO19" t="s">
        <v>3193</v>
      </c>
      <c r="CQ19" t="s">
        <v>468</v>
      </c>
      <c r="CR19" s="83">
        <f>CM$2*CP19</f>
        <v>0</v>
      </c>
      <c r="CS19" t="s">
        <v>468</v>
      </c>
      <c r="CU19" s="21">
        <f>H19+P19+X19+AF19+AV19+AN19+BD19+BL19+BT19+CB19+CJ19+CR19</f>
        <v>10</v>
      </c>
      <c r="CV19" t="s">
        <v>468</v>
      </c>
    </row>
    <row r="20" spans="4:100">
      <c r="E20" t="s">
        <v>3194</v>
      </c>
      <c r="F20" s="83">
        <v>1</v>
      </c>
      <c r="G20" t="s">
        <v>468</v>
      </c>
      <c r="H20" s="83">
        <f>$C$2*F20</f>
        <v>12</v>
      </c>
      <c r="I20" t="s">
        <v>468</v>
      </c>
      <c r="M20" t="s">
        <v>3194</v>
      </c>
      <c r="O20" t="s">
        <v>468</v>
      </c>
      <c r="P20" s="83">
        <f>$C$2*N20</f>
        <v>0</v>
      </c>
      <c r="Q20" t="s">
        <v>468</v>
      </c>
      <c r="U20" t="s">
        <v>3194</v>
      </c>
      <c r="V20" s="83">
        <v>2</v>
      </c>
      <c r="W20" t="s">
        <v>468</v>
      </c>
      <c r="X20" s="83">
        <f>S$2*V20</f>
        <v>20</v>
      </c>
      <c r="Y20" t="s">
        <v>468</v>
      </c>
      <c r="AC20" t="s">
        <v>3194</v>
      </c>
      <c r="AD20" s="83">
        <v>1</v>
      </c>
      <c r="AE20" t="s">
        <v>468</v>
      </c>
      <c r="AF20" s="83">
        <f>AA$2*AD20</f>
        <v>32</v>
      </c>
      <c r="AG20" t="s">
        <v>468</v>
      </c>
      <c r="AK20" t="s">
        <v>3194</v>
      </c>
      <c r="AL20" s="83">
        <v>3</v>
      </c>
      <c r="AM20" t="s">
        <v>468</v>
      </c>
      <c r="AN20" s="83">
        <f>AI$2*AL20</f>
        <v>18</v>
      </c>
      <c r="AO20" t="s">
        <v>468</v>
      </c>
      <c r="AS20" t="s">
        <v>3194</v>
      </c>
      <c r="AU20" t="s">
        <v>468</v>
      </c>
      <c r="AV20" s="83">
        <f>AQ$2*AT20</f>
        <v>0</v>
      </c>
      <c r="AW20" t="s">
        <v>468</v>
      </c>
      <c r="BA20" t="s">
        <v>3194</v>
      </c>
      <c r="BC20" t="s">
        <v>468</v>
      </c>
      <c r="BD20" s="83">
        <f>AY$2*BB20</f>
        <v>0</v>
      </c>
      <c r="BE20" t="s">
        <v>468</v>
      </c>
      <c r="BI20" t="s">
        <v>3194</v>
      </c>
      <c r="BK20" t="s">
        <v>468</v>
      </c>
      <c r="BL20" s="83">
        <f>BG$2*BJ20</f>
        <v>0</v>
      </c>
      <c r="BM20" t="s">
        <v>468</v>
      </c>
      <c r="BQ20" t="s">
        <v>3194</v>
      </c>
      <c r="BS20" t="s">
        <v>468</v>
      </c>
      <c r="BT20" s="83">
        <f>BO$2*BR20</f>
        <v>0</v>
      </c>
      <c r="BU20" t="s">
        <v>468</v>
      </c>
      <c r="BY20" t="s">
        <v>3194</v>
      </c>
      <c r="CA20" t="s">
        <v>468</v>
      </c>
      <c r="CB20" s="83">
        <f>BW$2*BZ20</f>
        <v>0</v>
      </c>
      <c r="CC20" t="s">
        <v>468</v>
      </c>
      <c r="CG20" t="s">
        <v>3194</v>
      </c>
      <c r="CI20" t="s">
        <v>468</v>
      </c>
      <c r="CJ20" s="83">
        <f>CE$2*CH20</f>
        <v>0</v>
      </c>
      <c r="CK20" t="s">
        <v>468</v>
      </c>
      <c r="CO20" t="s">
        <v>3194</v>
      </c>
      <c r="CP20" s="83">
        <v>1</v>
      </c>
      <c r="CQ20" t="s">
        <v>468</v>
      </c>
      <c r="CR20" s="83">
        <f>CM$2*CP20</f>
        <v>2</v>
      </c>
      <c r="CS20" t="s">
        <v>468</v>
      </c>
      <c r="CU20" s="21">
        <f>H20+P20+X20+AF20+AV20+AN20+BD20+BL20+BT20+CB20+CJ20+CR20</f>
        <v>84</v>
      </c>
      <c r="CV20" t="s">
        <v>468</v>
      </c>
    </row>
    <row r="21" spans="4:100">
      <c r="E21" t="s">
        <v>3195</v>
      </c>
      <c r="F21" s="83">
        <v>1</v>
      </c>
      <c r="G21" t="s">
        <v>468</v>
      </c>
      <c r="H21" s="83">
        <f>$C$2*F21</f>
        <v>12</v>
      </c>
      <c r="I21" t="s">
        <v>468</v>
      </c>
      <c r="M21" t="s">
        <v>3195</v>
      </c>
      <c r="N21" s="83">
        <v>1</v>
      </c>
      <c r="O21" t="s">
        <v>468</v>
      </c>
      <c r="P21" s="83">
        <f>$C$2*N21</f>
        <v>12</v>
      </c>
      <c r="Q21" t="s">
        <v>468</v>
      </c>
      <c r="U21" t="s">
        <v>3195</v>
      </c>
      <c r="V21" s="83">
        <v>1</v>
      </c>
      <c r="W21" t="s">
        <v>468</v>
      </c>
      <c r="X21" s="83">
        <f>S$2*V21</f>
        <v>10</v>
      </c>
      <c r="Y21" t="s">
        <v>468</v>
      </c>
      <c r="AC21" t="s">
        <v>3195</v>
      </c>
      <c r="AD21" s="83">
        <v>1</v>
      </c>
      <c r="AE21" t="s">
        <v>468</v>
      </c>
      <c r="AF21" s="83">
        <f>AA$2*AD21</f>
        <v>32</v>
      </c>
      <c r="AG21" t="s">
        <v>468</v>
      </c>
      <c r="AK21" t="s">
        <v>3195</v>
      </c>
      <c r="AL21" s="83">
        <v>1</v>
      </c>
      <c r="AM21" t="s">
        <v>468</v>
      </c>
      <c r="AN21" s="83">
        <f>AI$2*AL21</f>
        <v>6</v>
      </c>
      <c r="AO21" t="s">
        <v>468</v>
      </c>
      <c r="AS21" t="s">
        <v>3195</v>
      </c>
      <c r="AT21" s="83">
        <v>1</v>
      </c>
      <c r="AU21" t="s">
        <v>468</v>
      </c>
      <c r="AV21" s="83">
        <f>AQ$2*AT21</f>
        <v>4</v>
      </c>
      <c r="AW21" t="s">
        <v>468</v>
      </c>
      <c r="BA21" t="s">
        <v>3195</v>
      </c>
      <c r="BB21" s="83">
        <v>1</v>
      </c>
      <c r="BC21" t="s">
        <v>468</v>
      </c>
      <c r="BD21" s="83">
        <f>AY$2*BB21</f>
        <v>2</v>
      </c>
      <c r="BE21" t="s">
        <v>468</v>
      </c>
      <c r="BI21" t="s">
        <v>3195</v>
      </c>
      <c r="BJ21" s="83">
        <v>1</v>
      </c>
      <c r="BK21" t="s">
        <v>468</v>
      </c>
      <c r="BL21" s="83">
        <f>BG$2*BJ21</f>
        <v>2</v>
      </c>
      <c r="BM21" t="s">
        <v>468</v>
      </c>
      <c r="BQ21" t="s">
        <v>3195</v>
      </c>
      <c r="BR21" s="83">
        <v>1</v>
      </c>
      <c r="BS21" t="s">
        <v>468</v>
      </c>
      <c r="BT21" s="83">
        <f>BO$2*BR21</f>
        <v>12</v>
      </c>
      <c r="BU21" t="s">
        <v>468</v>
      </c>
      <c r="BY21" t="s">
        <v>3195</v>
      </c>
      <c r="BZ21" s="83">
        <v>1</v>
      </c>
      <c r="CA21" t="s">
        <v>468</v>
      </c>
      <c r="CB21" s="83">
        <f>BW$2*BZ21</f>
        <v>4</v>
      </c>
      <c r="CC21" t="s">
        <v>468</v>
      </c>
      <c r="CG21" t="s">
        <v>3195</v>
      </c>
      <c r="CH21" s="83">
        <v>1</v>
      </c>
      <c r="CI21" t="s">
        <v>468</v>
      </c>
      <c r="CJ21" s="83">
        <f>CE$2*CH21</f>
        <v>2</v>
      </c>
      <c r="CK21" t="s">
        <v>468</v>
      </c>
      <c r="CO21" t="s">
        <v>3195</v>
      </c>
      <c r="CP21" s="83">
        <v>1</v>
      </c>
      <c r="CQ21" t="s">
        <v>468</v>
      </c>
      <c r="CR21" s="83">
        <f>CM$2*CP21</f>
        <v>2</v>
      </c>
      <c r="CS21" t="s">
        <v>468</v>
      </c>
      <c r="CU21" s="21">
        <f>H21+P21+X21+AF21+AV21+AN21+BD21+BL21+BT21+CB21+CJ21+CR21</f>
        <v>100</v>
      </c>
      <c r="CV21" t="s">
        <v>468</v>
      </c>
    </row>
    <row r="22" spans="4:100">
      <c r="D22" t="s">
        <v>3196</v>
      </c>
      <c r="L22" t="s">
        <v>3196</v>
      </c>
      <c r="T22" t="s">
        <v>3196</v>
      </c>
      <c r="AB22" t="s">
        <v>3196</v>
      </c>
      <c r="AJ22" t="s">
        <v>3196</v>
      </c>
      <c r="AR22" t="s">
        <v>3196</v>
      </c>
      <c r="AZ22" t="s">
        <v>3196</v>
      </c>
      <c r="BH22" t="s">
        <v>3196</v>
      </c>
      <c r="BP22" t="s">
        <v>3196</v>
      </c>
      <c r="BX22" t="s">
        <v>3196</v>
      </c>
      <c r="CF22" t="s">
        <v>3196</v>
      </c>
      <c r="CN22" t="s">
        <v>3196</v>
      </c>
    </row>
    <row r="23" spans="4:100">
      <c r="E23" t="s">
        <v>3197</v>
      </c>
      <c r="F23" s="83">
        <v>346</v>
      </c>
      <c r="G23" t="s">
        <v>511</v>
      </c>
      <c r="H23" s="83">
        <f t="shared" ref="H23:H31" si="12">$C$2*F23</f>
        <v>4152</v>
      </c>
      <c r="I23" t="s">
        <v>511</v>
      </c>
      <c r="M23" t="s">
        <v>3197</v>
      </c>
      <c r="N23" s="83">
        <v>249</v>
      </c>
      <c r="O23" t="s">
        <v>511</v>
      </c>
      <c r="P23" s="83">
        <f>$K$2*N23</f>
        <v>2988</v>
      </c>
      <c r="Q23" t="s">
        <v>511</v>
      </c>
      <c r="U23" t="s">
        <v>3197</v>
      </c>
      <c r="V23" s="83">
        <v>503</v>
      </c>
      <c r="W23" t="s">
        <v>511</v>
      </c>
      <c r="X23" s="83">
        <f t="shared" ref="X23:X31" si="13">S$2*V23</f>
        <v>5030</v>
      </c>
      <c r="Y23" t="s">
        <v>511</v>
      </c>
      <c r="AC23" t="s">
        <v>3197</v>
      </c>
      <c r="AD23" s="83">
        <v>382</v>
      </c>
      <c r="AE23" t="s">
        <v>511</v>
      </c>
      <c r="AF23" s="83">
        <f t="shared" ref="AF23:AF31" si="14">AA$2*AD23</f>
        <v>12224</v>
      </c>
      <c r="AG23" t="s">
        <v>511</v>
      </c>
      <c r="AK23" t="s">
        <v>3197</v>
      </c>
      <c r="AL23" s="83">
        <v>714</v>
      </c>
      <c r="AM23" t="s">
        <v>511</v>
      </c>
      <c r="AN23" s="83">
        <f t="shared" ref="AN23:AN31" si="15">AI$2*AL23</f>
        <v>4284</v>
      </c>
      <c r="AO23" t="s">
        <v>511</v>
      </c>
      <c r="AS23" t="s">
        <v>3197</v>
      </c>
      <c r="AT23" s="83">
        <v>250</v>
      </c>
      <c r="AU23" t="s">
        <v>511</v>
      </c>
      <c r="AV23" s="83">
        <f t="shared" ref="AV23:AV31" si="16">AQ$2*AT23</f>
        <v>1000</v>
      </c>
      <c r="AW23" t="s">
        <v>511</v>
      </c>
      <c r="BA23" t="s">
        <v>3197</v>
      </c>
      <c r="BB23" s="83">
        <v>269</v>
      </c>
      <c r="BC23" t="s">
        <v>511</v>
      </c>
      <c r="BD23" s="83">
        <f t="shared" ref="BD23:BD31" si="17">AY$2*BB23</f>
        <v>538</v>
      </c>
      <c r="BE23" t="s">
        <v>511</v>
      </c>
      <c r="BI23" t="s">
        <v>3197</v>
      </c>
      <c r="BJ23" s="83">
        <v>199</v>
      </c>
      <c r="BK23" t="s">
        <v>511</v>
      </c>
      <c r="BL23" s="83">
        <f t="shared" ref="BL23:BL31" si="18">BG$2*BJ23</f>
        <v>398</v>
      </c>
      <c r="BM23" t="s">
        <v>511</v>
      </c>
      <c r="BQ23" t="s">
        <v>3197</v>
      </c>
      <c r="BR23" s="83">
        <v>390</v>
      </c>
      <c r="BS23" t="s">
        <v>511</v>
      </c>
      <c r="BT23" s="83">
        <f t="shared" ref="BT23:BT31" si="19">BO$2*BR23</f>
        <v>4680</v>
      </c>
      <c r="BU23" t="s">
        <v>511</v>
      </c>
      <c r="BY23" t="s">
        <v>3197</v>
      </c>
      <c r="BZ23" s="83">
        <v>357</v>
      </c>
      <c r="CA23" t="s">
        <v>511</v>
      </c>
      <c r="CB23" s="83">
        <f t="shared" ref="CB23:CB31" si="20">BW$2*BZ23</f>
        <v>1428</v>
      </c>
      <c r="CC23" t="s">
        <v>511</v>
      </c>
      <c r="CG23" t="s">
        <v>3197</v>
      </c>
      <c r="CH23" s="83">
        <v>201</v>
      </c>
      <c r="CI23" t="s">
        <v>511</v>
      </c>
      <c r="CJ23" s="83">
        <f t="shared" ref="CJ23:CJ31" si="21">CE$2*CH23</f>
        <v>402</v>
      </c>
      <c r="CK23" t="s">
        <v>511</v>
      </c>
      <c r="CO23" t="s">
        <v>3197</v>
      </c>
      <c r="CP23" s="83">
        <v>396</v>
      </c>
      <c r="CQ23" t="s">
        <v>511</v>
      </c>
      <c r="CR23" s="83">
        <f t="shared" ref="CR23:CR31" si="22">CM$2*CP23</f>
        <v>792</v>
      </c>
      <c r="CS23" t="s">
        <v>511</v>
      </c>
      <c r="CU23" s="21">
        <f t="shared" ref="CU23:CU31" si="23">H23+P23+X23+AF23+AV23+AN23+BD23+BL23+BT23+CB23+CJ23+CR23</f>
        <v>37916</v>
      </c>
      <c r="CV23" t="s">
        <v>511</v>
      </c>
    </row>
    <row r="24" spans="4:100">
      <c r="E24" t="s">
        <v>3198</v>
      </c>
      <c r="F24" s="83">
        <v>44</v>
      </c>
      <c r="G24" t="s">
        <v>511</v>
      </c>
      <c r="H24" s="83">
        <f t="shared" si="12"/>
        <v>528</v>
      </c>
      <c r="I24" t="s">
        <v>511</v>
      </c>
      <c r="M24" t="s">
        <v>3198</v>
      </c>
      <c r="N24" s="83">
        <v>48</v>
      </c>
      <c r="O24" t="s">
        <v>511</v>
      </c>
      <c r="P24" s="83">
        <f>$C$2*N24</f>
        <v>576</v>
      </c>
      <c r="Q24" t="s">
        <v>511</v>
      </c>
      <c r="U24" t="s">
        <v>3198</v>
      </c>
      <c r="V24" s="83">
        <v>92</v>
      </c>
      <c r="W24" t="s">
        <v>511</v>
      </c>
      <c r="X24" s="83">
        <f t="shared" si="13"/>
        <v>920</v>
      </c>
      <c r="Y24" t="s">
        <v>511</v>
      </c>
      <c r="AC24" t="s">
        <v>3198</v>
      </c>
      <c r="AD24" s="83">
        <v>47</v>
      </c>
      <c r="AE24" t="s">
        <v>511</v>
      </c>
      <c r="AF24" s="83">
        <f t="shared" si="14"/>
        <v>1504</v>
      </c>
      <c r="AG24" t="s">
        <v>511</v>
      </c>
      <c r="AK24" t="s">
        <v>3198</v>
      </c>
      <c r="AL24" s="83">
        <v>47</v>
      </c>
      <c r="AM24" t="s">
        <v>511</v>
      </c>
      <c r="AN24" s="83">
        <f t="shared" si="15"/>
        <v>282</v>
      </c>
      <c r="AO24" t="s">
        <v>511</v>
      </c>
      <c r="AS24" t="s">
        <v>3198</v>
      </c>
      <c r="AT24" s="83">
        <v>50</v>
      </c>
      <c r="AU24" t="s">
        <v>511</v>
      </c>
      <c r="AV24" s="83">
        <f t="shared" si="16"/>
        <v>200</v>
      </c>
      <c r="AW24" t="s">
        <v>511</v>
      </c>
      <c r="BA24" t="s">
        <v>3198</v>
      </c>
      <c r="BB24" s="83">
        <v>47</v>
      </c>
      <c r="BC24" t="s">
        <v>511</v>
      </c>
      <c r="BD24" s="83">
        <f t="shared" si="17"/>
        <v>94</v>
      </c>
      <c r="BE24" t="s">
        <v>511</v>
      </c>
      <c r="BI24" t="s">
        <v>3198</v>
      </c>
      <c r="BJ24" s="83">
        <v>48</v>
      </c>
      <c r="BK24" t="s">
        <v>511</v>
      </c>
      <c r="BL24" s="83">
        <f t="shared" si="18"/>
        <v>96</v>
      </c>
      <c r="BM24" t="s">
        <v>511</v>
      </c>
      <c r="BQ24" t="s">
        <v>3198</v>
      </c>
      <c r="BR24" s="83">
        <v>46</v>
      </c>
      <c r="BS24" t="s">
        <v>511</v>
      </c>
      <c r="BT24" s="83">
        <f t="shared" si="19"/>
        <v>552</v>
      </c>
      <c r="BU24" t="s">
        <v>511</v>
      </c>
      <c r="BY24" t="s">
        <v>3198</v>
      </c>
      <c r="BZ24" s="83">
        <v>48</v>
      </c>
      <c r="CA24" t="s">
        <v>511</v>
      </c>
      <c r="CB24" s="83">
        <f t="shared" si="20"/>
        <v>192</v>
      </c>
      <c r="CC24" t="s">
        <v>511</v>
      </c>
      <c r="CG24" t="s">
        <v>3198</v>
      </c>
      <c r="CH24" s="83">
        <v>46</v>
      </c>
      <c r="CI24" t="s">
        <v>511</v>
      </c>
      <c r="CJ24" s="83">
        <f t="shared" si="21"/>
        <v>92</v>
      </c>
      <c r="CK24" t="s">
        <v>511</v>
      </c>
      <c r="CO24" t="s">
        <v>3198</v>
      </c>
      <c r="CP24" s="83">
        <v>59</v>
      </c>
      <c r="CQ24" t="s">
        <v>511</v>
      </c>
      <c r="CR24" s="83">
        <f t="shared" si="22"/>
        <v>118</v>
      </c>
      <c r="CS24" t="s">
        <v>511</v>
      </c>
      <c r="CU24" s="21">
        <f t="shared" si="23"/>
        <v>5154</v>
      </c>
      <c r="CV24" t="s">
        <v>511</v>
      </c>
    </row>
    <row r="25" spans="4:100">
      <c r="E25" t="s">
        <v>3199</v>
      </c>
      <c r="F25" s="83">
        <v>23</v>
      </c>
      <c r="G25" t="s">
        <v>529</v>
      </c>
      <c r="H25" s="83">
        <f t="shared" si="12"/>
        <v>276</v>
      </c>
      <c r="I25" t="s">
        <v>529</v>
      </c>
      <c r="M25" t="s">
        <v>3199</v>
      </c>
      <c r="N25" s="83">
        <v>23</v>
      </c>
      <c r="O25" t="s">
        <v>529</v>
      </c>
      <c r="P25" s="83">
        <f>$C$2*N25</f>
        <v>276</v>
      </c>
      <c r="Q25" t="s">
        <v>529</v>
      </c>
      <c r="U25" t="s">
        <v>3199</v>
      </c>
      <c r="V25" s="83">
        <v>46</v>
      </c>
      <c r="W25" t="s">
        <v>529</v>
      </c>
      <c r="X25" s="83">
        <f t="shared" si="13"/>
        <v>460</v>
      </c>
      <c r="Y25" t="s">
        <v>529</v>
      </c>
      <c r="AC25" t="s">
        <v>3199</v>
      </c>
      <c r="AD25" s="83">
        <v>25</v>
      </c>
      <c r="AE25" t="s">
        <v>529</v>
      </c>
      <c r="AF25" s="83">
        <f t="shared" si="14"/>
        <v>800</v>
      </c>
      <c r="AG25" t="s">
        <v>529</v>
      </c>
      <c r="AK25" t="s">
        <v>3199</v>
      </c>
      <c r="AL25" s="83">
        <v>23</v>
      </c>
      <c r="AM25" t="s">
        <v>529</v>
      </c>
      <c r="AN25" s="83">
        <f t="shared" si="15"/>
        <v>138</v>
      </c>
      <c r="AO25" t="s">
        <v>529</v>
      </c>
      <c r="AS25" t="s">
        <v>3199</v>
      </c>
      <c r="AT25" s="83">
        <v>23</v>
      </c>
      <c r="AU25" t="s">
        <v>529</v>
      </c>
      <c r="AV25" s="83">
        <f t="shared" si="16"/>
        <v>92</v>
      </c>
      <c r="AW25" t="s">
        <v>529</v>
      </c>
      <c r="BA25" t="s">
        <v>3199</v>
      </c>
      <c r="BB25" s="83">
        <v>23</v>
      </c>
      <c r="BC25" t="s">
        <v>529</v>
      </c>
      <c r="BD25" s="83">
        <f t="shared" si="17"/>
        <v>46</v>
      </c>
      <c r="BE25" t="s">
        <v>529</v>
      </c>
      <c r="BI25" t="s">
        <v>3199</v>
      </c>
      <c r="BJ25" s="83">
        <v>23</v>
      </c>
      <c r="BK25" t="s">
        <v>529</v>
      </c>
      <c r="BL25" s="83">
        <f t="shared" si="18"/>
        <v>46</v>
      </c>
      <c r="BM25" t="s">
        <v>529</v>
      </c>
      <c r="BQ25" t="s">
        <v>3199</v>
      </c>
      <c r="BR25" s="83">
        <v>23</v>
      </c>
      <c r="BS25" t="s">
        <v>529</v>
      </c>
      <c r="BT25" s="83">
        <f t="shared" si="19"/>
        <v>276</v>
      </c>
      <c r="BU25" t="s">
        <v>529</v>
      </c>
      <c r="BY25" t="s">
        <v>3199</v>
      </c>
      <c r="BZ25" s="83">
        <v>22</v>
      </c>
      <c r="CA25" t="s">
        <v>529</v>
      </c>
      <c r="CB25" s="83">
        <f t="shared" si="20"/>
        <v>88</v>
      </c>
      <c r="CC25" t="s">
        <v>529</v>
      </c>
      <c r="CG25" t="s">
        <v>3199</v>
      </c>
      <c r="CH25" s="83">
        <v>22</v>
      </c>
      <c r="CI25" t="s">
        <v>529</v>
      </c>
      <c r="CJ25" s="83">
        <f t="shared" si="21"/>
        <v>44</v>
      </c>
      <c r="CK25" t="s">
        <v>529</v>
      </c>
      <c r="CO25" t="s">
        <v>3199</v>
      </c>
      <c r="CP25" s="83">
        <v>27</v>
      </c>
      <c r="CQ25" t="s">
        <v>529</v>
      </c>
      <c r="CR25" s="83">
        <f t="shared" si="22"/>
        <v>54</v>
      </c>
      <c r="CS25" t="s">
        <v>529</v>
      </c>
      <c r="CU25" s="21">
        <f t="shared" si="23"/>
        <v>2596</v>
      </c>
      <c r="CV25" t="s">
        <v>529</v>
      </c>
    </row>
    <row r="26" spans="4:100">
      <c r="E26" t="s">
        <v>3200</v>
      </c>
      <c r="F26" s="84">
        <f>(F4*2)+F6+F5</f>
        <v>1400</v>
      </c>
      <c r="G26" t="s">
        <v>511</v>
      </c>
      <c r="H26" s="84">
        <f t="shared" si="12"/>
        <v>16800</v>
      </c>
      <c r="I26" t="s">
        <v>511</v>
      </c>
      <c r="M26" t="s">
        <v>3200</v>
      </c>
      <c r="N26" s="84">
        <f>(N4*2)+N6+N5</f>
        <v>1165.5</v>
      </c>
      <c r="O26" t="s">
        <v>511</v>
      </c>
      <c r="P26" s="84">
        <f>$K$2*N26</f>
        <v>13986</v>
      </c>
      <c r="Q26" t="s">
        <v>511</v>
      </c>
      <c r="U26" t="s">
        <v>3200</v>
      </c>
      <c r="V26" s="84">
        <f>(V4*2)+V6+V5</f>
        <v>2049</v>
      </c>
      <c r="W26" t="s">
        <v>511</v>
      </c>
      <c r="X26" s="84">
        <f t="shared" si="13"/>
        <v>20490</v>
      </c>
      <c r="Y26" t="s">
        <v>511</v>
      </c>
      <c r="AC26" t="s">
        <v>3200</v>
      </c>
      <c r="AD26" s="84">
        <f>(AD4*2)+AD6+AD5</f>
        <v>1511.9</v>
      </c>
      <c r="AE26" t="s">
        <v>511</v>
      </c>
      <c r="AF26" s="84">
        <f t="shared" si="14"/>
        <v>48380.800000000003</v>
      </c>
      <c r="AG26" t="s">
        <v>511</v>
      </c>
      <c r="AK26" t="s">
        <v>3200</v>
      </c>
      <c r="AL26" s="84">
        <f>(AL4*2)+AL6+AL5</f>
        <v>2095.77</v>
      </c>
      <c r="AM26" t="s">
        <v>511</v>
      </c>
      <c r="AN26" s="84">
        <f t="shared" si="15"/>
        <v>12574.619999999999</v>
      </c>
      <c r="AO26" t="s">
        <v>511</v>
      </c>
      <c r="AS26" t="s">
        <v>3200</v>
      </c>
      <c r="AT26" s="84">
        <f>(AT4*2)+AT6+AT5</f>
        <v>1113.92</v>
      </c>
      <c r="AU26" t="s">
        <v>511</v>
      </c>
      <c r="AV26" s="84">
        <f t="shared" si="16"/>
        <v>4455.68</v>
      </c>
      <c r="AW26" t="s">
        <v>511</v>
      </c>
      <c r="BA26" t="s">
        <v>3200</v>
      </c>
      <c r="BB26" s="84">
        <f>(BB4*2)+BB6+BB5</f>
        <v>1052.04</v>
      </c>
      <c r="BC26" t="s">
        <v>511</v>
      </c>
      <c r="BD26" s="84">
        <f t="shared" si="17"/>
        <v>2104.08</v>
      </c>
      <c r="BE26" t="s">
        <v>511</v>
      </c>
      <c r="BI26" t="s">
        <v>3200</v>
      </c>
      <c r="BJ26" s="84">
        <f>(BJ4*2)+BJ6+BJ5</f>
        <v>1181.51</v>
      </c>
      <c r="BK26" t="s">
        <v>511</v>
      </c>
      <c r="BL26" s="84">
        <f t="shared" si="18"/>
        <v>2363.02</v>
      </c>
      <c r="BM26" t="s">
        <v>511</v>
      </c>
      <c r="BQ26" t="s">
        <v>3200</v>
      </c>
      <c r="BR26" s="84">
        <f>(BR4*2)+BR6+BR5</f>
        <v>1566.4099999999999</v>
      </c>
      <c r="BS26" t="s">
        <v>511</v>
      </c>
      <c r="BT26" s="84">
        <f t="shared" si="19"/>
        <v>18796.919999999998</v>
      </c>
      <c r="BU26" t="s">
        <v>511</v>
      </c>
      <c r="BY26" t="s">
        <v>3200</v>
      </c>
      <c r="BZ26" s="84">
        <f>(BZ4*2)+BZ6+BZ5</f>
        <v>1523.99</v>
      </c>
      <c r="CA26" t="s">
        <v>511</v>
      </c>
      <c r="CB26" s="84">
        <f t="shared" si="20"/>
        <v>6095.96</v>
      </c>
      <c r="CC26" t="s">
        <v>511</v>
      </c>
      <c r="CG26" t="s">
        <v>3200</v>
      </c>
      <c r="CH26" s="84">
        <f>(CH4*2)+CH6+CH5</f>
        <v>1056.8699999999999</v>
      </c>
      <c r="CI26" t="s">
        <v>511</v>
      </c>
      <c r="CJ26" s="84">
        <f t="shared" si="21"/>
        <v>2113.7399999999998</v>
      </c>
      <c r="CK26" t="s">
        <v>511</v>
      </c>
      <c r="CO26" t="s">
        <v>3200</v>
      </c>
      <c r="CP26" s="84">
        <f>(CP4*2)+CP6+CP5</f>
        <v>1569.8</v>
      </c>
      <c r="CQ26" t="s">
        <v>511</v>
      </c>
      <c r="CR26" s="84">
        <f t="shared" si="22"/>
        <v>3139.6</v>
      </c>
      <c r="CS26" t="s">
        <v>511</v>
      </c>
      <c r="CU26" s="21">
        <f t="shared" si="23"/>
        <v>151300.41999999998</v>
      </c>
      <c r="CV26" t="s">
        <v>511</v>
      </c>
    </row>
    <row r="27" spans="4:100">
      <c r="E27" t="s">
        <v>3201</v>
      </c>
      <c r="F27" s="84">
        <f>F23+F24</f>
        <v>390</v>
      </c>
      <c r="G27" t="s">
        <v>511</v>
      </c>
      <c r="H27" s="84">
        <f t="shared" si="12"/>
        <v>4680</v>
      </c>
      <c r="I27" t="s">
        <v>511</v>
      </c>
      <c r="M27" t="s">
        <v>3201</v>
      </c>
      <c r="N27" s="84">
        <f>N23+N24</f>
        <v>297</v>
      </c>
      <c r="O27" t="s">
        <v>511</v>
      </c>
      <c r="P27" s="84">
        <f>$K$2*N27</f>
        <v>3564</v>
      </c>
      <c r="Q27" t="s">
        <v>511</v>
      </c>
      <c r="U27" t="s">
        <v>3201</v>
      </c>
      <c r="V27" s="84">
        <f>V23+V24</f>
        <v>595</v>
      </c>
      <c r="W27" t="s">
        <v>511</v>
      </c>
      <c r="X27" s="84">
        <f t="shared" si="13"/>
        <v>5950</v>
      </c>
      <c r="Y27" t="s">
        <v>511</v>
      </c>
      <c r="AC27" t="s">
        <v>3201</v>
      </c>
      <c r="AD27" s="84">
        <f>AD23+AD24</f>
        <v>429</v>
      </c>
      <c r="AE27" t="s">
        <v>511</v>
      </c>
      <c r="AF27" s="84">
        <f t="shared" si="14"/>
        <v>13728</v>
      </c>
      <c r="AG27" t="s">
        <v>511</v>
      </c>
      <c r="AK27" t="s">
        <v>3201</v>
      </c>
      <c r="AL27" s="84">
        <f>AL23+AL24</f>
        <v>761</v>
      </c>
      <c r="AM27" t="s">
        <v>511</v>
      </c>
      <c r="AN27" s="84">
        <f t="shared" si="15"/>
        <v>4566</v>
      </c>
      <c r="AO27" t="s">
        <v>511</v>
      </c>
      <c r="AS27" t="s">
        <v>3201</v>
      </c>
      <c r="AT27" s="84">
        <f>AT23+AT24</f>
        <v>300</v>
      </c>
      <c r="AU27" t="s">
        <v>511</v>
      </c>
      <c r="AV27" s="84">
        <f t="shared" si="16"/>
        <v>1200</v>
      </c>
      <c r="AW27" t="s">
        <v>511</v>
      </c>
      <c r="BA27" t="s">
        <v>3201</v>
      </c>
      <c r="BB27" s="84">
        <f>BB23+BB24</f>
        <v>316</v>
      </c>
      <c r="BC27" t="s">
        <v>511</v>
      </c>
      <c r="BD27" s="84">
        <f t="shared" si="17"/>
        <v>632</v>
      </c>
      <c r="BE27" t="s">
        <v>511</v>
      </c>
      <c r="BI27" t="s">
        <v>3201</v>
      </c>
      <c r="BJ27" s="84">
        <f>BJ23+BJ24</f>
        <v>247</v>
      </c>
      <c r="BK27" t="s">
        <v>511</v>
      </c>
      <c r="BL27" s="84">
        <f t="shared" si="18"/>
        <v>494</v>
      </c>
      <c r="BM27" t="s">
        <v>511</v>
      </c>
      <c r="BQ27" t="s">
        <v>3201</v>
      </c>
      <c r="BR27" s="84">
        <f>BR23+BR24</f>
        <v>436</v>
      </c>
      <c r="BS27" t="s">
        <v>511</v>
      </c>
      <c r="BT27" s="84">
        <f t="shared" si="19"/>
        <v>5232</v>
      </c>
      <c r="BU27" t="s">
        <v>511</v>
      </c>
      <c r="BY27" t="s">
        <v>3201</v>
      </c>
      <c r="BZ27" s="84">
        <f>BZ23+BZ24</f>
        <v>405</v>
      </c>
      <c r="CA27" t="s">
        <v>511</v>
      </c>
      <c r="CB27" s="84">
        <f t="shared" si="20"/>
        <v>1620</v>
      </c>
      <c r="CC27" t="s">
        <v>511</v>
      </c>
      <c r="CG27" t="s">
        <v>3201</v>
      </c>
      <c r="CH27" s="84">
        <f>CH23+CH24</f>
        <v>247</v>
      </c>
      <c r="CI27" t="s">
        <v>511</v>
      </c>
      <c r="CJ27" s="84">
        <f t="shared" si="21"/>
        <v>494</v>
      </c>
      <c r="CK27" t="s">
        <v>511</v>
      </c>
      <c r="CO27" t="s">
        <v>3201</v>
      </c>
      <c r="CP27" s="84">
        <f>CP23+CP24</f>
        <v>455</v>
      </c>
      <c r="CQ27" t="s">
        <v>511</v>
      </c>
      <c r="CR27" s="84">
        <f t="shared" si="22"/>
        <v>910</v>
      </c>
      <c r="CS27" t="s">
        <v>511</v>
      </c>
      <c r="CU27" s="21">
        <f t="shared" si="23"/>
        <v>43070</v>
      </c>
      <c r="CV27" t="s">
        <v>511</v>
      </c>
    </row>
    <row r="28" spans="4:100">
      <c r="E28" t="s">
        <v>3202</v>
      </c>
      <c r="F28" s="84">
        <f>F14</f>
        <v>93</v>
      </c>
      <c r="G28" t="s">
        <v>529</v>
      </c>
      <c r="H28" s="84">
        <f t="shared" si="12"/>
        <v>1116</v>
      </c>
      <c r="I28" t="s">
        <v>529</v>
      </c>
      <c r="M28" t="s">
        <v>3202</v>
      </c>
      <c r="N28" s="84">
        <f>N14</f>
        <v>72</v>
      </c>
      <c r="O28" t="s">
        <v>529</v>
      </c>
      <c r="P28" s="84">
        <f>$K$2*N28</f>
        <v>864</v>
      </c>
      <c r="Q28" t="s">
        <v>529</v>
      </c>
      <c r="U28" t="s">
        <v>3202</v>
      </c>
      <c r="V28" s="84">
        <f>V14</f>
        <v>128</v>
      </c>
      <c r="W28" t="s">
        <v>529</v>
      </c>
      <c r="X28" s="84">
        <f t="shared" si="13"/>
        <v>1280</v>
      </c>
      <c r="Y28" t="s">
        <v>529</v>
      </c>
      <c r="AC28" t="s">
        <v>3202</v>
      </c>
      <c r="AD28" s="84">
        <f>AD14</f>
        <v>111</v>
      </c>
      <c r="AE28" t="s">
        <v>529</v>
      </c>
      <c r="AF28" s="84">
        <f t="shared" si="14"/>
        <v>3552</v>
      </c>
      <c r="AG28" t="s">
        <v>529</v>
      </c>
      <c r="AK28" t="s">
        <v>3202</v>
      </c>
      <c r="AL28" s="84">
        <f>AL14</f>
        <v>190</v>
      </c>
      <c r="AM28" t="s">
        <v>529</v>
      </c>
      <c r="AN28" s="84">
        <f t="shared" si="15"/>
        <v>1140</v>
      </c>
      <c r="AO28" t="s">
        <v>529</v>
      </c>
      <c r="AS28" t="s">
        <v>3202</v>
      </c>
      <c r="AT28" s="84">
        <f>AT14</f>
        <v>23</v>
      </c>
      <c r="AU28" t="s">
        <v>529</v>
      </c>
      <c r="AV28" s="84">
        <f t="shared" si="16"/>
        <v>92</v>
      </c>
      <c r="AW28" t="s">
        <v>529</v>
      </c>
      <c r="BA28" t="s">
        <v>3202</v>
      </c>
      <c r="BB28" s="84">
        <f>BB14</f>
        <v>79</v>
      </c>
      <c r="BC28" t="s">
        <v>529</v>
      </c>
      <c r="BD28" s="84">
        <f t="shared" si="17"/>
        <v>158</v>
      </c>
      <c r="BE28" t="s">
        <v>529</v>
      </c>
      <c r="BI28" t="s">
        <v>3202</v>
      </c>
      <c r="BJ28" s="84">
        <f>BJ14</f>
        <v>62</v>
      </c>
      <c r="BK28" t="s">
        <v>529</v>
      </c>
      <c r="BL28" s="84">
        <f t="shared" si="18"/>
        <v>124</v>
      </c>
      <c r="BM28" t="s">
        <v>529</v>
      </c>
      <c r="BQ28" t="s">
        <v>3202</v>
      </c>
      <c r="BR28" s="84">
        <f>BR14</f>
        <v>114</v>
      </c>
      <c r="BS28" t="s">
        <v>529</v>
      </c>
      <c r="BT28" s="84">
        <f t="shared" si="19"/>
        <v>1368</v>
      </c>
      <c r="BU28" t="s">
        <v>529</v>
      </c>
      <c r="BY28" t="s">
        <v>3202</v>
      </c>
      <c r="BZ28" s="84">
        <f>BZ14</f>
        <v>116</v>
      </c>
      <c r="CA28" t="s">
        <v>529</v>
      </c>
      <c r="CB28" s="84">
        <f t="shared" si="20"/>
        <v>464</v>
      </c>
      <c r="CC28" t="s">
        <v>529</v>
      </c>
      <c r="CG28" t="s">
        <v>3202</v>
      </c>
      <c r="CH28" s="84">
        <f>CH14</f>
        <v>68</v>
      </c>
      <c r="CI28" t="s">
        <v>529</v>
      </c>
      <c r="CJ28" s="84">
        <f t="shared" si="21"/>
        <v>136</v>
      </c>
      <c r="CK28" t="s">
        <v>529</v>
      </c>
      <c r="CO28" t="s">
        <v>3202</v>
      </c>
      <c r="CP28" s="84">
        <f>CP14</f>
        <v>102</v>
      </c>
      <c r="CQ28" t="s">
        <v>529</v>
      </c>
      <c r="CR28" s="84">
        <f t="shared" si="22"/>
        <v>204</v>
      </c>
      <c r="CS28" t="s">
        <v>529</v>
      </c>
      <c r="CU28" s="21">
        <f t="shared" si="23"/>
        <v>10498</v>
      </c>
      <c r="CV28" t="s">
        <v>529</v>
      </c>
    </row>
    <row r="29" spans="4:100">
      <c r="E29" t="s">
        <v>3203</v>
      </c>
      <c r="F29" s="84">
        <f>F17+F18+F20+F21</f>
        <v>4</v>
      </c>
      <c r="G29" t="s">
        <v>468</v>
      </c>
      <c r="H29" s="84">
        <f t="shared" si="12"/>
        <v>48</v>
      </c>
      <c r="I29" t="s">
        <v>468</v>
      </c>
      <c r="M29" t="s">
        <v>3203</v>
      </c>
      <c r="N29" s="84">
        <f>N17+N18+N20+N21</f>
        <v>2</v>
      </c>
      <c r="O29" t="s">
        <v>468</v>
      </c>
      <c r="P29" s="84">
        <f>$K$2*N29</f>
        <v>24</v>
      </c>
      <c r="Q29" t="s">
        <v>468</v>
      </c>
      <c r="U29" t="s">
        <v>3203</v>
      </c>
      <c r="V29" s="84">
        <f>V17+V18+V19+V20+V21</f>
        <v>6</v>
      </c>
      <c r="W29" t="s">
        <v>468</v>
      </c>
      <c r="X29" s="84">
        <f t="shared" si="13"/>
        <v>60</v>
      </c>
      <c r="Y29" t="s">
        <v>468</v>
      </c>
      <c r="AC29" t="s">
        <v>3203</v>
      </c>
      <c r="AD29" s="84">
        <f>AD17+AD18+AD19+AD20+AD21</f>
        <v>4</v>
      </c>
      <c r="AE29" t="s">
        <v>468</v>
      </c>
      <c r="AF29" s="84">
        <f t="shared" si="14"/>
        <v>128</v>
      </c>
      <c r="AG29" t="s">
        <v>468</v>
      </c>
      <c r="AK29" t="s">
        <v>3203</v>
      </c>
      <c r="AL29" s="84">
        <f>AL17+AL18+AL19+AL20+AL21</f>
        <v>5</v>
      </c>
      <c r="AM29" t="s">
        <v>468</v>
      </c>
      <c r="AN29" s="84">
        <f t="shared" si="15"/>
        <v>30</v>
      </c>
      <c r="AO29" t="s">
        <v>468</v>
      </c>
      <c r="AS29" t="s">
        <v>3203</v>
      </c>
      <c r="AT29" s="84">
        <f>AT17+AT18+AT19+AT20+AT21</f>
        <v>3</v>
      </c>
      <c r="AU29" t="s">
        <v>468</v>
      </c>
      <c r="AV29" s="84">
        <f t="shared" si="16"/>
        <v>12</v>
      </c>
      <c r="AW29" t="s">
        <v>468</v>
      </c>
      <c r="BA29" t="s">
        <v>3203</v>
      </c>
      <c r="BB29" s="84">
        <f>BB17+BB18+BB19+BB20+BB21</f>
        <v>3</v>
      </c>
      <c r="BC29" t="s">
        <v>468</v>
      </c>
      <c r="BD29" s="84">
        <f t="shared" si="17"/>
        <v>6</v>
      </c>
      <c r="BE29" t="s">
        <v>468</v>
      </c>
      <c r="BI29" t="s">
        <v>3203</v>
      </c>
      <c r="BJ29" s="84">
        <f>BJ17+BJ18+BJ19+BJ20+BJ21</f>
        <v>3</v>
      </c>
      <c r="BK29" t="s">
        <v>468</v>
      </c>
      <c r="BL29" s="84">
        <f t="shared" si="18"/>
        <v>6</v>
      </c>
      <c r="BM29" t="s">
        <v>468</v>
      </c>
      <c r="BQ29" t="s">
        <v>3203</v>
      </c>
      <c r="BR29" s="84">
        <f>BR17+BR18+BR19+BR20+BR21</f>
        <v>4</v>
      </c>
      <c r="BS29" t="s">
        <v>468</v>
      </c>
      <c r="BT29" s="84">
        <f t="shared" si="19"/>
        <v>48</v>
      </c>
      <c r="BU29" t="s">
        <v>468</v>
      </c>
      <c r="BY29" t="s">
        <v>3203</v>
      </c>
      <c r="BZ29" s="84">
        <f>BZ17+BZ18+BZ19+BZ20+BZ21</f>
        <v>4</v>
      </c>
      <c r="CA29" t="s">
        <v>468</v>
      </c>
      <c r="CB29" s="84">
        <f t="shared" si="20"/>
        <v>16</v>
      </c>
      <c r="CC29" t="s">
        <v>468</v>
      </c>
      <c r="CG29" t="s">
        <v>3203</v>
      </c>
      <c r="CH29" s="84">
        <f>CH17+CH18+CH19+CH20+CH21</f>
        <v>3</v>
      </c>
      <c r="CI29" t="s">
        <v>468</v>
      </c>
      <c r="CJ29" s="84">
        <f t="shared" si="21"/>
        <v>6</v>
      </c>
      <c r="CK29" t="s">
        <v>468</v>
      </c>
      <c r="CO29" t="s">
        <v>3203</v>
      </c>
      <c r="CP29" s="84">
        <f>CP17+CP18+CP19+CP20+CP21</f>
        <v>4</v>
      </c>
      <c r="CQ29" t="s">
        <v>468</v>
      </c>
      <c r="CR29" s="84">
        <f t="shared" si="22"/>
        <v>8</v>
      </c>
      <c r="CS29" t="s">
        <v>468</v>
      </c>
      <c r="CU29" s="21">
        <f t="shared" si="23"/>
        <v>392</v>
      </c>
      <c r="CV29" t="s">
        <v>468</v>
      </c>
    </row>
    <row r="30" spans="4:100">
      <c r="E30" t="s">
        <v>3204</v>
      </c>
      <c r="F30" s="84">
        <f>F13</f>
        <v>5</v>
      </c>
      <c r="G30" t="s">
        <v>468</v>
      </c>
      <c r="H30" s="84">
        <f t="shared" si="12"/>
        <v>60</v>
      </c>
      <c r="I30" t="s">
        <v>468</v>
      </c>
      <c r="M30" t="s">
        <v>3204</v>
      </c>
      <c r="N30" s="84">
        <f>N13</f>
        <v>5</v>
      </c>
      <c r="O30" t="s">
        <v>468</v>
      </c>
      <c r="P30" s="84">
        <f>$C$2*N30</f>
        <v>60</v>
      </c>
      <c r="Q30" t="s">
        <v>468</v>
      </c>
      <c r="U30" t="s">
        <v>3204</v>
      </c>
      <c r="V30" s="84">
        <f>V13</f>
        <v>5</v>
      </c>
      <c r="W30" t="s">
        <v>468</v>
      </c>
      <c r="X30" s="84">
        <f t="shared" si="13"/>
        <v>50</v>
      </c>
      <c r="Y30" t="s">
        <v>468</v>
      </c>
      <c r="AC30" t="s">
        <v>3204</v>
      </c>
      <c r="AD30" s="84">
        <f>AD13</f>
        <v>5</v>
      </c>
      <c r="AE30" t="s">
        <v>468</v>
      </c>
      <c r="AF30" s="84">
        <f t="shared" si="14"/>
        <v>160</v>
      </c>
      <c r="AG30" t="s">
        <v>468</v>
      </c>
      <c r="AK30" t="s">
        <v>3204</v>
      </c>
      <c r="AL30" s="84">
        <f>AL13</f>
        <v>5</v>
      </c>
      <c r="AM30" t="s">
        <v>468</v>
      </c>
      <c r="AN30" s="84">
        <f t="shared" si="15"/>
        <v>30</v>
      </c>
      <c r="AO30" t="s">
        <v>468</v>
      </c>
      <c r="AS30" t="s">
        <v>3204</v>
      </c>
      <c r="AT30" s="84">
        <f>AT13</f>
        <v>5</v>
      </c>
      <c r="AU30" t="s">
        <v>468</v>
      </c>
      <c r="AV30" s="84">
        <f t="shared" si="16"/>
        <v>20</v>
      </c>
      <c r="AW30" t="s">
        <v>468</v>
      </c>
      <c r="BA30" t="s">
        <v>3204</v>
      </c>
      <c r="BB30" s="84">
        <f>BB13</f>
        <v>1</v>
      </c>
      <c r="BC30" t="s">
        <v>468</v>
      </c>
      <c r="BD30" s="84">
        <f t="shared" si="17"/>
        <v>2</v>
      </c>
      <c r="BE30" t="s">
        <v>468</v>
      </c>
      <c r="BI30" t="s">
        <v>3204</v>
      </c>
      <c r="BJ30" s="84">
        <f>BJ13</f>
        <v>5</v>
      </c>
      <c r="BK30" t="s">
        <v>468</v>
      </c>
      <c r="BL30" s="84">
        <f t="shared" si="18"/>
        <v>10</v>
      </c>
      <c r="BM30" t="s">
        <v>468</v>
      </c>
      <c r="BQ30" t="s">
        <v>3204</v>
      </c>
      <c r="BR30" s="84">
        <f>BR13</f>
        <v>5</v>
      </c>
      <c r="BS30" t="s">
        <v>468</v>
      </c>
      <c r="BT30" s="84">
        <f t="shared" si="19"/>
        <v>60</v>
      </c>
      <c r="BU30" t="s">
        <v>468</v>
      </c>
      <c r="BY30" t="s">
        <v>3204</v>
      </c>
      <c r="BZ30" s="84">
        <f>BZ13</f>
        <v>5</v>
      </c>
      <c r="CA30" t="s">
        <v>468</v>
      </c>
      <c r="CB30" s="84">
        <f t="shared" si="20"/>
        <v>20</v>
      </c>
      <c r="CC30" t="s">
        <v>468</v>
      </c>
      <c r="CG30" t="s">
        <v>3204</v>
      </c>
      <c r="CH30" s="84">
        <f>CH13</f>
        <v>5</v>
      </c>
      <c r="CI30" t="s">
        <v>468</v>
      </c>
      <c r="CJ30" s="84">
        <f t="shared" si="21"/>
        <v>10</v>
      </c>
      <c r="CK30" t="s">
        <v>468</v>
      </c>
      <c r="CO30" t="s">
        <v>3204</v>
      </c>
      <c r="CP30" s="84">
        <f>CP13</f>
        <v>5</v>
      </c>
      <c r="CQ30" t="s">
        <v>468</v>
      </c>
      <c r="CR30" s="84">
        <f t="shared" si="22"/>
        <v>10</v>
      </c>
      <c r="CS30" t="s">
        <v>468</v>
      </c>
      <c r="CU30" s="21">
        <f t="shared" si="23"/>
        <v>492</v>
      </c>
      <c r="CV30" t="s">
        <v>468</v>
      </c>
    </row>
    <row r="31" spans="4:100">
      <c r="E31" t="s">
        <v>3205</v>
      </c>
      <c r="F31" s="84">
        <f>F15</f>
        <v>6</v>
      </c>
      <c r="G31" t="s">
        <v>529</v>
      </c>
      <c r="H31" s="84">
        <f t="shared" si="12"/>
        <v>72</v>
      </c>
      <c r="I31" t="s">
        <v>529</v>
      </c>
      <c r="M31" t="s">
        <v>3205</v>
      </c>
      <c r="N31" s="84">
        <f>N15</f>
        <v>5</v>
      </c>
      <c r="O31" t="s">
        <v>529</v>
      </c>
      <c r="P31" s="84">
        <f>$C$2*N31</f>
        <v>60</v>
      </c>
      <c r="Q31" t="s">
        <v>529</v>
      </c>
      <c r="U31" t="s">
        <v>3205</v>
      </c>
      <c r="V31" s="84">
        <f>V15</f>
        <v>7</v>
      </c>
      <c r="W31" t="s">
        <v>529</v>
      </c>
      <c r="X31" s="84">
        <f t="shared" si="13"/>
        <v>70</v>
      </c>
      <c r="Y31" t="s">
        <v>529</v>
      </c>
      <c r="AC31" t="s">
        <v>3205</v>
      </c>
      <c r="AD31" s="84">
        <f>AD15</f>
        <v>5</v>
      </c>
      <c r="AE31" t="s">
        <v>529</v>
      </c>
      <c r="AF31" s="84">
        <f t="shared" si="14"/>
        <v>160</v>
      </c>
      <c r="AG31" t="s">
        <v>529</v>
      </c>
      <c r="AK31" t="s">
        <v>3205</v>
      </c>
      <c r="AL31" s="84">
        <f>AL15</f>
        <v>15</v>
      </c>
      <c r="AM31" t="s">
        <v>529</v>
      </c>
      <c r="AN31" s="84">
        <f t="shared" si="15"/>
        <v>90</v>
      </c>
      <c r="AO31" t="s">
        <v>529</v>
      </c>
      <c r="AS31" t="s">
        <v>3205</v>
      </c>
      <c r="AT31" s="84">
        <f>AT15</f>
        <v>6</v>
      </c>
      <c r="AU31" t="s">
        <v>529</v>
      </c>
      <c r="AV31" s="84">
        <f t="shared" si="16"/>
        <v>24</v>
      </c>
      <c r="AW31" t="s">
        <v>529</v>
      </c>
      <c r="BA31" t="s">
        <v>3205</v>
      </c>
      <c r="BB31" s="84">
        <f>BB15</f>
        <v>6</v>
      </c>
      <c r="BC31" t="s">
        <v>529</v>
      </c>
      <c r="BD31" s="84">
        <f t="shared" si="17"/>
        <v>12</v>
      </c>
      <c r="BE31" t="s">
        <v>529</v>
      </c>
      <c r="BI31" t="s">
        <v>3205</v>
      </c>
      <c r="BJ31" s="84">
        <f>BJ15</f>
        <v>6</v>
      </c>
      <c r="BK31" t="s">
        <v>529</v>
      </c>
      <c r="BL31" s="84">
        <f t="shared" si="18"/>
        <v>12</v>
      </c>
      <c r="BM31" t="s">
        <v>529</v>
      </c>
      <c r="BQ31" t="s">
        <v>3205</v>
      </c>
      <c r="BR31" s="84">
        <f>BR15</f>
        <v>12</v>
      </c>
      <c r="BS31" t="s">
        <v>529</v>
      </c>
      <c r="BT31" s="84">
        <f t="shared" si="19"/>
        <v>144</v>
      </c>
      <c r="BU31" t="s">
        <v>529</v>
      </c>
      <c r="BY31" t="s">
        <v>3205</v>
      </c>
      <c r="BZ31" s="84">
        <f>BZ15</f>
        <v>12</v>
      </c>
      <c r="CA31" t="s">
        <v>529</v>
      </c>
      <c r="CB31" s="84">
        <f t="shared" si="20"/>
        <v>48</v>
      </c>
      <c r="CC31" t="s">
        <v>529</v>
      </c>
      <c r="CG31" t="s">
        <v>3205</v>
      </c>
      <c r="CH31" s="84">
        <f>CH15</f>
        <v>6</v>
      </c>
      <c r="CI31" t="s">
        <v>529</v>
      </c>
      <c r="CJ31" s="84">
        <f t="shared" si="21"/>
        <v>12</v>
      </c>
      <c r="CK31" t="s">
        <v>529</v>
      </c>
      <c r="CO31" t="s">
        <v>3205</v>
      </c>
      <c r="CP31" s="84">
        <f>CP15</f>
        <v>6</v>
      </c>
      <c r="CQ31" t="s">
        <v>529</v>
      </c>
      <c r="CR31" s="84">
        <f t="shared" si="22"/>
        <v>12</v>
      </c>
      <c r="CS31" t="s">
        <v>529</v>
      </c>
      <c r="CU31" s="21">
        <f t="shared" si="23"/>
        <v>716</v>
      </c>
      <c r="CV31" t="s">
        <v>529</v>
      </c>
    </row>
    <row r="32" spans="4:100">
      <c r="D32" t="s">
        <v>3206</v>
      </c>
      <c r="L32" t="s">
        <v>3206</v>
      </c>
      <c r="T32" t="s">
        <v>3206</v>
      </c>
      <c r="AB32" t="s">
        <v>3206</v>
      </c>
      <c r="AJ32" t="s">
        <v>3206</v>
      </c>
      <c r="AR32" t="s">
        <v>3206</v>
      </c>
      <c r="AZ32" t="s">
        <v>3206</v>
      </c>
      <c r="BH32" t="s">
        <v>3206</v>
      </c>
      <c r="BP32" t="s">
        <v>3206</v>
      </c>
      <c r="BX32" t="s">
        <v>3206</v>
      </c>
      <c r="CF32" t="s">
        <v>3206</v>
      </c>
      <c r="CN32" t="s">
        <v>3206</v>
      </c>
    </row>
    <row r="33" spans="4:100">
      <c r="E33" t="s">
        <v>3207</v>
      </c>
      <c r="F33" s="83">
        <v>1</v>
      </c>
      <c r="G33" t="s">
        <v>468</v>
      </c>
      <c r="H33" s="83">
        <f>$C$2*F33</f>
        <v>12</v>
      </c>
      <c r="I33" t="s">
        <v>468</v>
      </c>
      <c r="M33" t="s">
        <v>3207</v>
      </c>
      <c r="N33" s="83">
        <v>1</v>
      </c>
      <c r="O33" t="s">
        <v>468</v>
      </c>
      <c r="P33" s="83">
        <f>$K$2*N33</f>
        <v>12</v>
      </c>
      <c r="Q33" t="s">
        <v>468</v>
      </c>
      <c r="U33" t="s">
        <v>3207</v>
      </c>
      <c r="V33" s="83">
        <v>2</v>
      </c>
      <c r="W33" t="s">
        <v>468</v>
      </c>
      <c r="X33" s="83">
        <f>S$2*V33</f>
        <v>20</v>
      </c>
      <c r="Y33" t="s">
        <v>468</v>
      </c>
      <c r="AC33" t="s">
        <v>3207</v>
      </c>
      <c r="AD33" s="83">
        <v>1</v>
      </c>
      <c r="AE33" t="s">
        <v>468</v>
      </c>
      <c r="AF33" s="83">
        <f>AA$2*AD33</f>
        <v>32</v>
      </c>
      <c r="AG33" t="s">
        <v>468</v>
      </c>
      <c r="AK33" t="s">
        <v>3207</v>
      </c>
      <c r="AL33" s="83">
        <v>1</v>
      </c>
      <c r="AM33" t="s">
        <v>468</v>
      </c>
      <c r="AN33" s="83">
        <f>AI$2*AL33</f>
        <v>6</v>
      </c>
      <c r="AO33" t="s">
        <v>468</v>
      </c>
      <c r="AS33" t="s">
        <v>3207</v>
      </c>
      <c r="AT33" s="83">
        <v>1</v>
      </c>
      <c r="AU33" t="s">
        <v>468</v>
      </c>
      <c r="AV33" s="83">
        <f>AQ$2*AT33</f>
        <v>4</v>
      </c>
      <c r="AW33" t="s">
        <v>468</v>
      </c>
      <c r="BA33" t="s">
        <v>3207</v>
      </c>
      <c r="BB33" s="83">
        <v>1</v>
      </c>
      <c r="BC33" t="s">
        <v>468</v>
      </c>
      <c r="BD33" s="83">
        <f>AY$2*BB33</f>
        <v>2</v>
      </c>
      <c r="BE33" t="s">
        <v>468</v>
      </c>
      <c r="BI33" t="s">
        <v>3207</v>
      </c>
      <c r="BJ33" s="83">
        <v>1</v>
      </c>
      <c r="BK33" t="s">
        <v>468</v>
      </c>
      <c r="BL33" s="83">
        <f>BG$2*BJ33</f>
        <v>2</v>
      </c>
      <c r="BM33" t="s">
        <v>468</v>
      </c>
      <c r="BQ33" t="s">
        <v>3207</v>
      </c>
      <c r="BR33" s="83">
        <v>1</v>
      </c>
      <c r="BS33" t="s">
        <v>468</v>
      </c>
      <c r="BT33" s="83">
        <f>BO$2*BR33</f>
        <v>12</v>
      </c>
      <c r="BU33" t="s">
        <v>468</v>
      </c>
      <c r="BY33" t="s">
        <v>3207</v>
      </c>
      <c r="BZ33" s="83">
        <v>1</v>
      </c>
      <c r="CA33" t="s">
        <v>468</v>
      </c>
      <c r="CB33" s="83">
        <f>BW$2*BZ33</f>
        <v>4</v>
      </c>
      <c r="CC33" t="s">
        <v>468</v>
      </c>
      <c r="CG33" t="s">
        <v>3207</v>
      </c>
      <c r="CH33" s="83">
        <v>1</v>
      </c>
      <c r="CI33" t="s">
        <v>468</v>
      </c>
      <c r="CJ33" s="83">
        <f>CE$2*CH33</f>
        <v>2</v>
      </c>
      <c r="CK33" t="s">
        <v>468</v>
      </c>
      <c r="CO33" t="s">
        <v>3207</v>
      </c>
      <c r="CP33" s="83">
        <v>1</v>
      </c>
      <c r="CQ33" t="s">
        <v>468</v>
      </c>
      <c r="CR33" s="83">
        <f>CM$2*CP33</f>
        <v>2</v>
      </c>
      <c r="CS33" t="s">
        <v>468</v>
      </c>
      <c r="CU33" s="21">
        <f>H33+P33+X33+AF33+AV33+AN33+BD33+BL33+BT33+CB33+CJ33+CR33</f>
        <v>110</v>
      </c>
      <c r="CV33" t="s">
        <v>468</v>
      </c>
    </row>
    <row r="34" spans="4:100">
      <c r="E34" t="s">
        <v>3208</v>
      </c>
      <c r="F34" s="83">
        <v>1</v>
      </c>
      <c r="G34" t="s">
        <v>468</v>
      </c>
      <c r="H34" s="83">
        <f>$C$2*F34</f>
        <v>12</v>
      </c>
      <c r="I34" t="s">
        <v>468</v>
      </c>
      <c r="M34" t="s">
        <v>3208</v>
      </c>
      <c r="N34" s="83">
        <v>1</v>
      </c>
      <c r="O34" t="s">
        <v>468</v>
      </c>
      <c r="P34" s="83">
        <f>$C$2*N34</f>
        <v>12</v>
      </c>
      <c r="Q34" t="s">
        <v>468</v>
      </c>
      <c r="U34" t="s">
        <v>3208</v>
      </c>
      <c r="V34" s="83">
        <v>2</v>
      </c>
      <c r="W34" t="s">
        <v>468</v>
      </c>
      <c r="X34" s="83">
        <f>S$2*V34</f>
        <v>20</v>
      </c>
      <c r="Y34" t="s">
        <v>468</v>
      </c>
      <c r="AC34" t="s">
        <v>3208</v>
      </c>
      <c r="AD34" s="83">
        <v>1</v>
      </c>
      <c r="AE34" t="s">
        <v>468</v>
      </c>
      <c r="AF34" s="83">
        <f>AA$2*AD34</f>
        <v>32</v>
      </c>
      <c r="AG34" t="s">
        <v>468</v>
      </c>
      <c r="AK34" t="s">
        <v>3208</v>
      </c>
      <c r="AL34" s="83">
        <v>1</v>
      </c>
      <c r="AM34" t="s">
        <v>468</v>
      </c>
      <c r="AN34" s="83">
        <f>AI$2*AL34</f>
        <v>6</v>
      </c>
      <c r="AO34" t="s">
        <v>468</v>
      </c>
      <c r="AS34" t="s">
        <v>3208</v>
      </c>
      <c r="AT34" s="83">
        <v>1</v>
      </c>
      <c r="AU34" t="s">
        <v>468</v>
      </c>
      <c r="AV34" s="83">
        <f>AQ$2*AT34</f>
        <v>4</v>
      </c>
      <c r="AW34" t="s">
        <v>468</v>
      </c>
      <c r="BA34" t="s">
        <v>3208</v>
      </c>
      <c r="BB34" s="83">
        <v>1</v>
      </c>
      <c r="BC34" t="s">
        <v>468</v>
      </c>
      <c r="BD34" s="83">
        <f>AY$2*BB34</f>
        <v>2</v>
      </c>
      <c r="BE34" t="s">
        <v>468</v>
      </c>
      <c r="BI34" t="s">
        <v>3208</v>
      </c>
      <c r="BJ34" s="83">
        <v>1</v>
      </c>
      <c r="BK34" t="s">
        <v>468</v>
      </c>
      <c r="BL34" s="83">
        <f>BG$2*BJ34</f>
        <v>2</v>
      </c>
      <c r="BM34" t="s">
        <v>468</v>
      </c>
      <c r="BQ34" t="s">
        <v>3208</v>
      </c>
      <c r="BR34" s="83">
        <v>1</v>
      </c>
      <c r="BS34" t="s">
        <v>468</v>
      </c>
      <c r="BT34" s="83">
        <f>BO$2*BR34</f>
        <v>12</v>
      </c>
      <c r="BU34" t="s">
        <v>468</v>
      </c>
      <c r="BY34" t="s">
        <v>3208</v>
      </c>
      <c r="BZ34" s="83">
        <v>1</v>
      </c>
      <c r="CA34" t="s">
        <v>468</v>
      </c>
      <c r="CB34" s="83">
        <f>BW$2*BZ34</f>
        <v>4</v>
      </c>
      <c r="CC34" t="s">
        <v>468</v>
      </c>
      <c r="CG34" t="s">
        <v>3208</v>
      </c>
      <c r="CH34" s="83">
        <v>1</v>
      </c>
      <c r="CI34" t="s">
        <v>468</v>
      </c>
      <c r="CJ34" s="83">
        <f>CE$2*CH34</f>
        <v>2</v>
      </c>
      <c r="CK34" t="s">
        <v>468</v>
      </c>
      <c r="CO34" t="s">
        <v>3208</v>
      </c>
      <c r="CP34" s="83">
        <v>1</v>
      </c>
      <c r="CQ34" t="s">
        <v>468</v>
      </c>
      <c r="CR34" s="83">
        <f>CM$2*CP34</f>
        <v>2</v>
      </c>
      <c r="CS34" t="s">
        <v>468</v>
      </c>
      <c r="CU34" s="21">
        <f>H34+P34+X34+AF34+AV34+AN34+BD34+BL34+BT34+CB34+CJ34+CR34</f>
        <v>110</v>
      </c>
      <c r="CV34" t="s">
        <v>468</v>
      </c>
    </row>
    <row r="35" spans="4:100">
      <c r="E35" t="s">
        <v>3209</v>
      </c>
      <c r="F35" s="83">
        <v>1</v>
      </c>
      <c r="G35" t="s">
        <v>468</v>
      </c>
      <c r="H35" s="83">
        <f>$C$2*F35</f>
        <v>12</v>
      </c>
      <c r="I35" t="s">
        <v>468</v>
      </c>
      <c r="M35" t="s">
        <v>3209</v>
      </c>
      <c r="N35" s="83">
        <v>1</v>
      </c>
      <c r="O35" t="s">
        <v>468</v>
      </c>
      <c r="P35" s="83">
        <f>$C$2*N35</f>
        <v>12</v>
      </c>
      <c r="Q35" t="s">
        <v>468</v>
      </c>
      <c r="U35" t="s">
        <v>3209</v>
      </c>
      <c r="V35" s="83">
        <v>2</v>
      </c>
      <c r="W35" t="s">
        <v>468</v>
      </c>
      <c r="X35" s="83">
        <f>S$2*V35</f>
        <v>20</v>
      </c>
      <c r="Y35" t="s">
        <v>468</v>
      </c>
      <c r="AC35" t="s">
        <v>3209</v>
      </c>
      <c r="AD35" s="83">
        <v>1</v>
      </c>
      <c r="AE35" t="s">
        <v>468</v>
      </c>
      <c r="AF35" s="83">
        <f>AA$2*AD35</f>
        <v>32</v>
      </c>
      <c r="AG35" t="s">
        <v>468</v>
      </c>
      <c r="AK35" t="s">
        <v>3209</v>
      </c>
      <c r="AL35" s="83">
        <v>1</v>
      </c>
      <c r="AM35" t="s">
        <v>468</v>
      </c>
      <c r="AN35" s="83">
        <f>AI$2*AL35</f>
        <v>6</v>
      </c>
      <c r="AO35" t="s">
        <v>468</v>
      </c>
      <c r="AS35" t="s">
        <v>3209</v>
      </c>
      <c r="AT35" s="83">
        <v>1</v>
      </c>
      <c r="AU35" t="s">
        <v>468</v>
      </c>
      <c r="AV35" s="83">
        <f>AQ$2*AT35</f>
        <v>4</v>
      </c>
      <c r="AW35" t="s">
        <v>468</v>
      </c>
      <c r="BA35" t="s">
        <v>3209</v>
      </c>
      <c r="BB35" s="83">
        <v>1</v>
      </c>
      <c r="BC35" t="s">
        <v>468</v>
      </c>
      <c r="BD35" s="83">
        <f>AY$2*BB35</f>
        <v>2</v>
      </c>
      <c r="BE35" t="s">
        <v>468</v>
      </c>
      <c r="BI35" t="s">
        <v>3209</v>
      </c>
      <c r="BJ35" s="83">
        <v>1</v>
      </c>
      <c r="BK35" t="s">
        <v>468</v>
      </c>
      <c r="BL35" s="83">
        <f>BG$2*BJ35</f>
        <v>2</v>
      </c>
      <c r="BM35" t="s">
        <v>468</v>
      </c>
      <c r="BQ35" t="s">
        <v>3209</v>
      </c>
      <c r="BR35" s="83">
        <v>1</v>
      </c>
      <c r="BS35" t="s">
        <v>468</v>
      </c>
      <c r="BT35" s="83">
        <f>BO$2*BR35</f>
        <v>12</v>
      </c>
      <c r="BU35" t="s">
        <v>468</v>
      </c>
      <c r="BY35" t="s">
        <v>3209</v>
      </c>
      <c r="BZ35" s="83">
        <v>1</v>
      </c>
      <c r="CA35" t="s">
        <v>468</v>
      </c>
      <c r="CB35" s="83">
        <f>BW$2*BZ35</f>
        <v>4</v>
      </c>
      <c r="CC35" t="s">
        <v>468</v>
      </c>
      <c r="CG35" t="s">
        <v>3209</v>
      </c>
      <c r="CH35" s="83">
        <v>1</v>
      </c>
      <c r="CI35" t="s">
        <v>468</v>
      </c>
      <c r="CJ35" s="83">
        <f>CE$2*CH35</f>
        <v>2</v>
      </c>
      <c r="CK35" t="s">
        <v>468</v>
      </c>
      <c r="CO35" t="s">
        <v>3209</v>
      </c>
      <c r="CP35" s="83">
        <v>1</v>
      </c>
      <c r="CQ35" t="s">
        <v>468</v>
      </c>
      <c r="CR35" s="83">
        <f>CM$2*CP35</f>
        <v>2</v>
      </c>
      <c r="CS35" t="s">
        <v>468</v>
      </c>
      <c r="CU35" s="21">
        <f>H35+P35+X35+AF35+AV35+AN35+BD35+BL35+BT35+CB35+CJ35+CR35</f>
        <v>110</v>
      </c>
      <c r="CV35" t="s">
        <v>468</v>
      </c>
    </row>
    <row r="36" spans="4:100">
      <c r="E36" t="s">
        <v>3210</v>
      </c>
      <c r="F36" s="83">
        <v>1</v>
      </c>
      <c r="G36" t="s">
        <v>468</v>
      </c>
      <c r="H36" s="83">
        <f>$C$2*F36</f>
        <v>12</v>
      </c>
      <c r="I36" t="s">
        <v>468</v>
      </c>
      <c r="M36" t="s">
        <v>3210</v>
      </c>
      <c r="N36" s="83">
        <v>1</v>
      </c>
      <c r="O36" t="s">
        <v>468</v>
      </c>
      <c r="P36" s="83">
        <f>$C$2*N36</f>
        <v>12</v>
      </c>
      <c r="Q36" t="s">
        <v>468</v>
      </c>
      <c r="U36" t="s">
        <v>3210</v>
      </c>
      <c r="V36" s="83">
        <v>2</v>
      </c>
      <c r="W36" t="s">
        <v>468</v>
      </c>
      <c r="X36" s="83">
        <f>S$2*V36</f>
        <v>20</v>
      </c>
      <c r="Y36" t="s">
        <v>468</v>
      </c>
      <c r="AC36" t="s">
        <v>3210</v>
      </c>
      <c r="AD36" s="83">
        <v>1</v>
      </c>
      <c r="AE36" t="s">
        <v>468</v>
      </c>
      <c r="AF36" s="83">
        <f>AA$2*AD36</f>
        <v>32</v>
      </c>
      <c r="AG36" t="s">
        <v>468</v>
      </c>
      <c r="AK36" t="s">
        <v>3210</v>
      </c>
      <c r="AL36" s="83">
        <v>1</v>
      </c>
      <c r="AM36" t="s">
        <v>468</v>
      </c>
      <c r="AN36" s="83">
        <f>AI$2*AL36</f>
        <v>6</v>
      </c>
      <c r="AO36" t="s">
        <v>468</v>
      </c>
      <c r="AS36" t="s">
        <v>3210</v>
      </c>
      <c r="AT36" s="83">
        <v>1</v>
      </c>
      <c r="AU36" t="s">
        <v>468</v>
      </c>
      <c r="AV36" s="83">
        <f>AQ$2*AT36</f>
        <v>4</v>
      </c>
      <c r="AW36" t="s">
        <v>468</v>
      </c>
      <c r="BA36" t="s">
        <v>3210</v>
      </c>
      <c r="BB36" s="83">
        <v>1</v>
      </c>
      <c r="BC36" t="s">
        <v>468</v>
      </c>
      <c r="BD36" s="83">
        <f>AY$2*BB36</f>
        <v>2</v>
      </c>
      <c r="BE36" t="s">
        <v>468</v>
      </c>
      <c r="BI36" t="s">
        <v>3210</v>
      </c>
      <c r="BJ36" s="83">
        <v>1</v>
      </c>
      <c r="BK36" t="s">
        <v>468</v>
      </c>
      <c r="BL36" s="83">
        <f>BG$2*BJ36</f>
        <v>2</v>
      </c>
      <c r="BM36" t="s">
        <v>468</v>
      </c>
      <c r="BQ36" t="s">
        <v>3210</v>
      </c>
      <c r="BR36" s="83">
        <v>1</v>
      </c>
      <c r="BS36" t="s">
        <v>468</v>
      </c>
      <c r="BT36" s="83">
        <f>BO$2*BR36</f>
        <v>12</v>
      </c>
      <c r="BU36" t="s">
        <v>468</v>
      </c>
      <c r="BY36" t="s">
        <v>3210</v>
      </c>
      <c r="BZ36" s="83">
        <v>1</v>
      </c>
      <c r="CA36" t="s">
        <v>468</v>
      </c>
      <c r="CB36" s="83">
        <f>BW$2*BZ36</f>
        <v>4</v>
      </c>
      <c r="CC36" t="s">
        <v>468</v>
      </c>
      <c r="CG36" t="s">
        <v>3210</v>
      </c>
      <c r="CH36" s="83">
        <v>1</v>
      </c>
      <c r="CI36" t="s">
        <v>468</v>
      </c>
      <c r="CJ36" s="83">
        <f>CE$2*CH36</f>
        <v>2</v>
      </c>
      <c r="CK36" t="s">
        <v>468</v>
      </c>
      <c r="CO36" t="s">
        <v>3210</v>
      </c>
      <c r="CP36" s="83">
        <v>1</v>
      </c>
      <c r="CQ36" t="s">
        <v>468</v>
      </c>
      <c r="CR36" s="83">
        <f>CM$2*CP36</f>
        <v>2</v>
      </c>
      <c r="CS36" t="s">
        <v>468</v>
      </c>
      <c r="CU36" s="21">
        <f>H36+P36+X36+AF36+AV36+AN36+BD36+BL36+BT36+CB36+CJ36+CR36</f>
        <v>110</v>
      </c>
      <c r="CV36" t="s">
        <v>468</v>
      </c>
    </row>
    <row r="37" spans="4:100">
      <c r="D37" t="s">
        <v>3211</v>
      </c>
      <c r="L37" t="s">
        <v>3211</v>
      </c>
      <c r="T37" t="s">
        <v>3211</v>
      </c>
      <c r="AB37" t="s">
        <v>3211</v>
      </c>
      <c r="AJ37" t="s">
        <v>3211</v>
      </c>
      <c r="AR37" t="s">
        <v>3211</v>
      </c>
      <c r="AZ37" t="s">
        <v>3211</v>
      </c>
      <c r="BH37" t="s">
        <v>3211</v>
      </c>
      <c r="BP37" t="s">
        <v>3211</v>
      </c>
      <c r="BX37" t="s">
        <v>3211</v>
      </c>
      <c r="CF37" t="s">
        <v>3211</v>
      </c>
      <c r="CN37" t="s">
        <v>3211</v>
      </c>
    </row>
    <row r="38" spans="4:100">
      <c r="E38" t="s">
        <v>3212</v>
      </c>
      <c r="F38" s="83">
        <v>2</v>
      </c>
      <c r="G38" t="s">
        <v>468</v>
      </c>
      <c r="H38" s="83">
        <f>$C$2*F38</f>
        <v>24</v>
      </c>
      <c r="I38" t="s">
        <v>468</v>
      </c>
      <c r="M38" t="s">
        <v>3212</v>
      </c>
      <c r="N38" s="83">
        <v>1</v>
      </c>
      <c r="O38" t="s">
        <v>468</v>
      </c>
      <c r="P38" s="83">
        <f>$K$2*N38</f>
        <v>12</v>
      </c>
      <c r="Q38" t="s">
        <v>468</v>
      </c>
      <c r="U38" t="s">
        <v>3212</v>
      </c>
      <c r="V38" s="83">
        <v>3</v>
      </c>
      <c r="W38" t="s">
        <v>468</v>
      </c>
      <c r="X38" s="83">
        <f>S$2*V38</f>
        <v>30</v>
      </c>
      <c r="Y38" t="s">
        <v>468</v>
      </c>
      <c r="AC38" t="s">
        <v>3212</v>
      </c>
      <c r="AD38" s="83">
        <v>2</v>
      </c>
      <c r="AE38" t="s">
        <v>468</v>
      </c>
      <c r="AF38" s="83">
        <f>AA$2*AD38</f>
        <v>64</v>
      </c>
      <c r="AG38" t="s">
        <v>468</v>
      </c>
      <c r="AK38" t="s">
        <v>3212</v>
      </c>
      <c r="AL38" s="83">
        <v>3</v>
      </c>
      <c r="AM38" t="s">
        <v>468</v>
      </c>
      <c r="AN38" s="83">
        <f>AI$2*AL38</f>
        <v>18</v>
      </c>
      <c r="AO38" t="s">
        <v>468</v>
      </c>
      <c r="AS38" t="s">
        <v>3212</v>
      </c>
      <c r="AT38" s="83">
        <v>1</v>
      </c>
      <c r="AU38" t="s">
        <v>468</v>
      </c>
      <c r="AV38" s="83">
        <f>AQ$2*AT38</f>
        <v>4</v>
      </c>
      <c r="AW38" t="s">
        <v>468</v>
      </c>
      <c r="BA38" t="s">
        <v>3212</v>
      </c>
      <c r="BB38" s="83">
        <v>1</v>
      </c>
      <c r="BC38" t="s">
        <v>468</v>
      </c>
      <c r="BD38" s="83">
        <f>AY$2*BB38</f>
        <v>2</v>
      </c>
      <c r="BE38" t="s">
        <v>468</v>
      </c>
      <c r="BI38" t="s">
        <v>3212</v>
      </c>
      <c r="BJ38" s="83">
        <v>1</v>
      </c>
      <c r="BK38" t="s">
        <v>468</v>
      </c>
      <c r="BL38" s="83">
        <f>BG$2*BJ38</f>
        <v>2</v>
      </c>
      <c r="BM38" t="s">
        <v>468</v>
      </c>
      <c r="BQ38" t="s">
        <v>3212</v>
      </c>
      <c r="BR38" s="83">
        <v>2</v>
      </c>
      <c r="BS38" t="s">
        <v>468</v>
      </c>
      <c r="BT38" s="83">
        <f>BO$2*BR38</f>
        <v>24</v>
      </c>
      <c r="BU38" t="s">
        <v>468</v>
      </c>
      <c r="BY38" t="s">
        <v>3212</v>
      </c>
      <c r="BZ38" s="83">
        <v>3</v>
      </c>
      <c r="CA38" t="s">
        <v>468</v>
      </c>
      <c r="CB38" s="83">
        <f>BW$2*BZ38</f>
        <v>12</v>
      </c>
      <c r="CC38" t="s">
        <v>468</v>
      </c>
      <c r="CG38" t="s">
        <v>3212</v>
      </c>
      <c r="CH38" s="83">
        <v>1</v>
      </c>
      <c r="CI38" t="s">
        <v>468</v>
      </c>
      <c r="CJ38" s="83">
        <f>CE$2*CH38</f>
        <v>2</v>
      </c>
      <c r="CK38" t="s">
        <v>468</v>
      </c>
      <c r="CO38" t="s">
        <v>3212</v>
      </c>
      <c r="CP38" s="83">
        <v>2</v>
      </c>
      <c r="CQ38" t="s">
        <v>468</v>
      </c>
      <c r="CR38" s="83">
        <f>CM$2*CP38</f>
        <v>4</v>
      </c>
      <c r="CS38" t="s">
        <v>468</v>
      </c>
      <c r="CU38" s="21">
        <f>H38+P38+X38+AF38+AV38+AN38+BD38+BL38+BT38+CB38+CJ38+CR38</f>
        <v>198</v>
      </c>
      <c r="CV38" t="s">
        <v>468</v>
      </c>
    </row>
    <row r="39" spans="4:100">
      <c r="D39" t="s">
        <v>1617</v>
      </c>
      <c r="L39" t="s">
        <v>1617</v>
      </c>
      <c r="T39" t="s">
        <v>1617</v>
      </c>
      <c r="AB39" t="s">
        <v>1617</v>
      </c>
      <c r="AJ39" t="s">
        <v>1617</v>
      </c>
      <c r="AR39" t="s">
        <v>1617</v>
      </c>
      <c r="AZ39" t="s">
        <v>1617</v>
      </c>
      <c r="BH39" t="s">
        <v>1617</v>
      </c>
      <c r="BP39" t="s">
        <v>1617</v>
      </c>
      <c r="BX39" t="s">
        <v>1617</v>
      </c>
      <c r="CF39" t="s">
        <v>1617</v>
      </c>
      <c r="CN39" t="s">
        <v>1617</v>
      </c>
    </row>
    <row r="40" spans="4:100">
      <c r="E40" t="s">
        <v>3213</v>
      </c>
      <c r="F40" s="83">
        <v>1</v>
      </c>
      <c r="G40" t="s">
        <v>468</v>
      </c>
      <c r="H40" s="83">
        <f>$C$2*F40</f>
        <v>12</v>
      </c>
      <c r="I40" t="s">
        <v>468</v>
      </c>
      <c r="M40" t="s">
        <v>3213</v>
      </c>
      <c r="N40" s="83">
        <v>1</v>
      </c>
      <c r="O40" t="s">
        <v>468</v>
      </c>
      <c r="P40" s="83">
        <f>$K$2*N40</f>
        <v>12</v>
      </c>
      <c r="Q40" t="s">
        <v>468</v>
      </c>
      <c r="U40" t="s">
        <v>3213</v>
      </c>
      <c r="V40" s="83">
        <v>1</v>
      </c>
      <c r="W40" t="s">
        <v>468</v>
      </c>
      <c r="X40" s="83">
        <f>S$2*V40</f>
        <v>10</v>
      </c>
      <c r="Y40" t="s">
        <v>468</v>
      </c>
      <c r="AC40" t="s">
        <v>3213</v>
      </c>
      <c r="AD40" s="83">
        <v>1</v>
      </c>
      <c r="AE40" t="s">
        <v>468</v>
      </c>
      <c r="AF40" s="83">
        <f>AA$2*AD40</f>
        <v>32</v>
      </c>
      <c r="AG40" t="s">
        <v>468</v>
      </c>
      <c r="AK40" t="s">
        <v>3213</v>
      </c>
      <c r="AL40" s="83">
        <v>1</v>
      </c>
      <c r="AM40" t="s">
        <v>468</v>
      </c>
      <c r="AN40" s="83">
        <f>AI$2*AL40</f>
        <v>6</v>
      </c>
      <c r="AO40" t="s">
        <v>468</v>
      </c>
      <c r="AS40" t="s">
        <v>3213</v>
      </c>
      <c r="AU40" t="s">
        <v>468</v>
      </c>
      <c r="AV40" s="83">
        <f>AQ$2*AT40</f>
        <v>0</v>
      </c>
      <c r="AW40" t="s">
        <v>468</v>
      </c>
      <c r="BA40" t="s">
        <v>3213</v>
      </c>
      <c r="BC40" t="s">
        <v>468</v>
      </c>
      <c r="BD40" s="83">
        <f>AY$2*BB40</f>
        <v>0</v>
      </c>
      <c r="BE40" t="s">
        <v>468</v>
      </c>
      <c r="BI40" t="s">
        <v>3213</v>
      </c>
      <c r="BK40" t="s">
        <v>468</v>
      </c>
      <c r="BL40" s="83">
        <f>BG$2*BJ40</f>
        <v>0</v>
      </c>
      <c r="BM40" t="s">
        <v>468</v>
      </c>
      <c r="BQ40" t="s">
        <v>3213</v>
      </c>
      <c r="BS40" t="s">
        <v>468</v>
      </c>
      <c r="BT40" s="83">
        <f>BO$2*BR40</f>
        <v>0</v>
      </c>
      <c r="BU40" t="s">
        <v>468</v>
      </c>
      <c r="BY40" t="s">
        <v>3213</v>
      </c>
      <c r="CA40" t="s">
        <v>468</v>
      </c>
      <c r="CB40" s="83">
        <f>BW$2*BZ40</f>
        <v>0</v>
      </c>
      <c r="CC40" t="s">
        <v>468</v>
      </c>
      <c r="CG40" t="s">
        <v>3213</v>
      </c>
      <c r="CI40" t="s">
        <v>468</v>
      </c>
      <c r="CJ40" s="83">
        <f>CE$2*CH40</f>
        <v>0</v>
      </c>
      <c r="CK40" t="s">
        <v>468</v>
      </c>
      <c r="CO40" t="s">
        <v>3213</v>
      </c>
      <c r="CQ40" t="s">
        <v>468</v>
      </c>
      <c r="CR40" s="83">
        <f>CM$2*CP40</f>
        <v>0</v>
      </c>
      <c r="CS40" t="s">
        <v>468</v>
      </c>
      <c r="CU40" s="21">
        <f>H40+P40+X40+AF40+AV40+AN40+BD40+BL40+BT40+CB40+CJ40+CR40</f>
        <v>72</v>
      </c>
      <c r="CV40" t="s">
        <v>468</v>
      </c>
    </row>
    <row r="41" spans="4:100">
      <c r="E41" t="s">
        <v>3214</v>
      </c>
      <c r="F41" s="83">
        <v>1</v>
      </c>
      <c r="G41" t="s">
        <v>468</v>
      </c>
      <c r="H41" s="83">
        <f>$C$2*F41</f>
        <v>12</v>
      </c>
      <c r="I41" t="s">
        <v>468</v>
      </c>
      <c r="M41" t="s">
        <v>3214</v>
      </c>
      <c r="N41" s="83">
        <v>1</v>
      </c>
      <c r="O41" t="s">
        <v>468</v>
      </c>
      <c r="P41" s="83">
        <f>$C$2*N41</f>
        <v>12</v>
      </c>
      <c r="Q41" t="s">
        <v>468</v>
      </c>
      <c r="U41" t="s">
        <v>3214</v>
      </c>
      <c r="V41" s="83">
        <v>1</v>
      </c>
      <c r="W41" t="s">
        <v>468</v>
      </c>
      <c r="X41" s="83">
        <f>S$2*V41</f>
        <v>10</v>
      </c>
      <c r="Y41" t="s">
        <v>468</v>
      </c>
      <c r="AC41" t="s">
        <v>3214</v>
      </c>
      <c r="AD41" s="83">
        <v>1</v>
      </c>
      <c r="AE41" t="s">
        <v>468</v>
      </c>
      <c r="AF41" s="83">
        <f>AA$2*AD41</f>
        <v>32</v>
      </c>
      <c r="AG41" t="s">
        <v>468</v>
      </c>
      <c r="AK41" t="s">
        <v>3214</v>
      </c>
      <c r="AL41" s="83">
        <v>1</v>
      </c>
      <c r="AM41" t="s">
        <v>468</v>
      </c>
      <c r="AN41" s="83">
        <f>AI$2*AL41</f>
        <v>6</v>
      </c>
      <c r="AO41" t="s">
        <v>468</v>
      </c>
      <c r="AS41" t="s">
        <v>3214</v>
      </c>
      <c r="AU41" t="s">
        <v>468</v>
      </c>
      <c r="AV41" s="83">
        <f>AQ$2*AT41</f>
        <v>0</v>
      </c>
      <c r="AW41" t="s">
        <v>468</v>
      </c>
      <c r="BA41" t="s">
        <v>3214</v>
      </c>
      <c r="BC41" t="s">
        <v>468</v>
      </c>
      <c r="BD41" s="83">
        <f>AY$2*BB41</f>
        <v>0</v>
      </c>
      <c r="BE41" t="s">
        <v>468</v>
      </c>
      <c r="BI41" t="s">
        <v>3214</v>
      </c>
      <c r="BK41" t="s">
        <v>468</v>
      </c>
      <c r="BL41" s="83">
        <f>BG$2*BJ41</f>
        <v>0</v>
      </c>
      <c r="BM41" t="s">
        <v>468</v>
      </c>
      <c r="BQ41" t="s">
        <v>3214</v>
      </c>
      <c r="BS41" t="s">
        <v>468</v>
      </c>
      <c r="BT41" s="83">
        <f>BO$2*BR41</f>
        <v>0</v>
      </c>
      <c r="BU41" t="s">
        <v>468</v>
      </c>
      <c r="BY41" t="s">
        <v>3214</v>
      </c>
      <c r="CA41" t="s">
        <v>468</v>
      </c>
      <c r="CB41" s="83">
        <f>BW$2*BZ41</f>
        <v>0</v>
      </c>
      <c r="CC41" t="s">
        <v>468</v>
      </c>
      <c r="CG41" t="s">
        <v>3214</v>
      </c>
      <c r="CI41" t="s">
        <v>468</v>
      </c>
      <c r="CJ41" s="83">
        <f>CE$2*CH41</f>
        <v>0</v>
      </c>
      <c r="CK41" t="s">
        <v>468</v>
      </c>
      <c r="CO41" t="s">
        <v>3214</v>
      </c>
      <c r="CQ41" t="s">
        <v>468</v>
      </c>
      <c r="CR41" s="83">
        <f>CM$2*CP41</f>
        <v>0</v>
      </c>
      <c r="CS41" t="s">
        <v>468</v>
      </c>
      <c r="CU41" s="21">
        <f>H41+P41+X41+AF41+AV41+AN41+BD41+BL41+BT41+CB41+CJ41+CR41</f>
        <v>72</v>
      </c>
      <c r="CV41" t="s">
        <v>468</v>
      </c>
    </row>
    <row r="42" spans="4:100">
      <c r="D42" t="s">
        <v>3215</v>
      </c>
      <c r="L42" t="s">
        <v>3215</v>
      </c>
      <c r="T42" t="s">
        <v>248</v>
      </c>
      <c r="AB42" t="s">
        <v>248</v>
      </c>
      <c r="AJ42" t="s">
        <v>248</v>
      </c>
      <c r="AR42" t="s">
        <v>248</v>
      </c>
      <c r="AZ42" t="s">
        <v>248</v>
      </c>
      <c r="BH42" t="s">
        <v>248</v>
      </c>
      <c r="BP42" t="s">
        <v>248</v>
      </c>
      <c r="BX42" t="s">
        <v>248</v>
      </c>
      <c r="CF42" t="s">
        <v>248</v>
      </c>
      <c r="CN42" t="s">
        <v>248</v>
      </c>
    </row>
    <row r="43" spans="4:100">
      <c r="E43" t="s">
        <v>3216</v>
      </c>
      <c r="F43" s="83">
        <v>1</v>
      </c>
      <c r="G43" t="s">
        <v>468</v>
      </c>
      <c r="H43" s="83">
        <f>$C$2*F43</f>
        <v>12</v>
      </c>
      <c r="I43" t="s">
        <v>468</v>
      </c>
      <c r="M43" t="s">
        <v>3216</v>
      </c>
      <c r="N43" s="83">
        <v>1</v>
      </c>
      <c r="O43" t="s">
        <v>468</v>
      </c>
      <c r="P43" s="83">
        <f>$K$2*N43</f>
        <v>12</v>
      </c>
      <c r="Q43" t="s">
        <v>468</v>
      </c>
      <c r="U43" t="s">
        <v>3216</v>
      </c>
      <c r="V43" s="83">
        <v>1</v>
      </c>
      <c r="W43" t="s">
        <v>468</v>
      </c>
      <c r="X43" s="83">
        <f>S$2*V43</f>
        <v>10</v>
      </c>
      <c r="Y43" t="s">
        <v>468</v>
      </c>
      <c r="AC43" t="s">
        <v>3216</v>
      </c>
      <c r="AD43" s="83">
        <v>1</v>
      </c>
      <c r="AE43" t="s">
        <v>468</v>
      </c>
      <c r="AF43" s="83">
        <f>AA$2*AD43</f>
        <v>32</v>
      </c>
      <c r="AG43" t="s">
        <v>468</v>
      </c>
      <c r="AK43" t="s">
        <v>3216</v>
      </c>
      <c r="AL43" s="83">
        <v>1</v>
      </c>
      <c r="AM43" t="s">
        <v>468</v>
      </c>
      <c r="AN43" s="83">
        <f>AI$2*AL43</f>
        <v>6</v>
      </c>
      <c r="AO43" t="s">
        <v>468</v>
      </c>
      <c r="AS43" t="s">
        <v>3216</v>
      </c>
      <c r="AU43" t="s">
        <v>468</v>
      </c>
      <c r="AV43" s="83">
        <f>AQ$2*AT43</f>
        <v>0</v>
      </c>
      <c r="AW43" t="s">
        <v>468</v>
      </c>
      <c r="BA43" t="s">
        <v>3216</v>
      </c>
      <c r="BC43" t="s">
        <v>468</v>
      </c>
      <c r="BD43" s="83">
        <f>AY$2*BB43</f>
        <v>0</v>
      </c>
      <c r="BE43" t="s">
        <v>468</v>
      </c>
      <c r="BI43" t="s">
        <v>3216</v>
      </c>
      <c r="BK43" t="s">
        <v>468</v>
      </c>
      <c r="BL43" s="83">
        <f>BG$2*BJ43</f>
        <v>0</v>
      </c>
      <c r="BM43" t="s">
        <v>468</v>
      </c>
      <c r="BQ43" t="s">
        <v>3216</v>
      </c>
      <c r="BS43" t="s">
        <v>468</v>
      </c>
      <c r="BT43" s="83">
        <f>BO$2*BR43</f>
        <v>0</v>
      </c>
      <c r="BU43" t="s">
        <v>468</v>
      </c>
      <c r="BY43" t="s">
        <v>3216</v>
      </c>
      <c r="CA43" t="s">
        <v>468</v>
      </c>
      <c r="CB43" s="83">
        <f>BW$2*BZ43</f>
        <v>0</v>
      </c>
      <c r="CC43" t="s">
        <v>468</v>
      </c>
      <c r="CG43" t="s">
        <v>3216</v>
      </c>
      <c r="CI43" t="s">
        <v>468</v>
      </c>
      <c r="CJ43" s="83">
        <f>CE$2*CH43</f>
        <v>0</v>
      </c>
      <c r="CK43" t="s">
        <v>468</v>
      </c>
      <c r="CO43" t="s">
        <v>3216</v>
      </c>
      <c r="CQ43" t="s">
        <v>468</v>
      </c>
      <c r="CR43" s="83">
        <f>CM$2*CP43</f>
        <v>0</v>
      </c>
      <c r="CS43" t="s">
        <v>468</v>
      </c>
      <c r="CU43" s="21">
        <f>H43+P43+X43+AF43+AV43+AN43+BD43+BL43+BT43+CB43+CJ43+CR43</f>
        <v>72</v>
      </c>
      <c r="CV43" t="s">
        <v>468</v>
      </c>
    </row>
    <row r="44" spans="4:100">
      <c r="E44" t="s">
        <v>3217</v>
      </c>
      <c r="F44" s="83">
        <v>1</v>
      </c>
      <c r="G44" t="s">
        <v>468</v>
      </c>
      <c r="H44" s="83">
        <f>$C$2*F44</f>
        <v>12</v>
      </c>
      <c r="I44" t="s">
        <v>468</v>
      </c>
      <c r="M44" t="s">
        <v>3217</v>
      </c>
      <c r="N44" s="83">
        <v>1</v>
      </c>
      <c r="O44" t="s">
        <v>468</v>
      </c>
      <c r="P44" s="83">
        <f>$C$2*N44</f>
        <v>12</v>
      </c>
      <c r="Q44" t="s">
        <v>468</v>
      </c>
      <c r="U44" t="s">
        <v>3217</v>
      </c>
      <c r="V44" s="83">
        <v>2</v>
      </c>
      <c r="W44" t="s">
        <v>468</v>
      </c>
      <c r="X44" s="83">
        <f>S$2*V44</f>
        <v>20</v>
      </c>
      <c r="Y44" t="s">
        <v>468</v>
      </c>
      <c r="AC44" t="s">
        <v>3217</v>
      </c>
      <c r="AD44" s="83">
        <v>1</v>
      </c>
      <c r="AE44" t="s">
        <v>468</v>
      </c>
      <c r="AF44" s="83">
        <f>AA$2*AD44</f>
        <v>32</v>
      </c>
      <c r="AG44" t="s">
        <v>468</v>
      </c>
      <c r="AK44" t="s">
        <v>3217</v>
      </c>
      <c r="AL44" s="83">
        <v>1</v>
      </c>
      <c r="AM44" t="s">
        <v>468</v>
      </c>
      <c r="AN44" s="83">
        <f>AI$2*AL44</f>
        <v>6</v>
      </c>
      <c r="AO44" t="s">
        <v>468</v>
      </c>
      <c r="AS44" t="s">
        <v>3217</v>
      </c>
      <c r="AT44" s="83">
        <v>1</v>
      </c>
      <c r="AU44" t="s">
        <v>468</v>
      </c>
      <c r="AV44" s="83">
        <f>AQ$2*AT44</f>
        <v>4</v>
      </c>
      <c r="AW44" t="s">
        <v>468</v>
      </c>
      <c r="BA44" t="s">
        <v>3217</v>
      </c>
      <c r="BB44" s="83">
        <v>1</v>
      </c>
      <c r="BC44" t="s">
        <v>468</v>
      </c>
      <c r="BD44" s="83">
        <f>AY$2*BB44</f>
        <v>2</v>
      </c>
      <c r="BE44" t="s">
        <v>468</v>
      </c>
      <c r="BI44" t="s">
        <v>3217</v>
      </c>
      <c r="BJ44" s="83">
        <v>1</v>
      </c>
      <c r="BK44" t="s">
        <v>468</v>
      </c>
      <c r="BL44" s="83">
        <f>BG$2*BJ44</f>
        <v>2</v>
      </c>
      <c r="BM44" t="s">
        <v>468</v>
      </c>
      <c r="BQ44" t="s">
        <v>3217</v>
      </c>
      <c r="BR44" s="83">
        <v>1</v>
      </c>
      <c r="BS44" t="s">
        <v>468</v>
      </c>
      <c r="BT44" s="83">
        <f>BO$2*BR44</f>
        <v>12</v>
      </c>
      <c r="BU44" t="s">
        <v>468</v>
      </c>
      <c r="BY44" t="s">
        <v>3217</v>
      </c>
      <c r="BZ44" s="83">
        <v>1</v>
      </c>
      <c r="CA44" t="s">
        <v>468</v>
      </c>
      <c r="CB44" s="83">
        <f>BW$2*BZ44</f>
        <v>4</v>
      </c>
      <c r="CC44" t="s">
        <v>468</v>
      </c>
      <c r="CG44" t="s">
        <v>3217</v>
      </c>
      <c r="CH44" s="83">
        <v>1</v>
      </c>
      <c r="CI44" t="s">
        <v>468</v>
      </c>
      <c r="CJ44" s="83">
        <f>CE$2*CH44</f>
        <v>2</v>
      </c>
      <c r="CK44" t="s">
        <v>468</v>
      </c>
      <c r="CO44" t="s">
        <v>3217</v>
      </c>
      <c r="CP44" s="83">
        <v>1</v>
      </c>
      <c r="CQ44" t="s">
        <v>468</v>
      </c>
      <c r="CR44" s="83">
        <f>CM$2*CP44</f>
        <v>2</v>
      </c>
      <c r="CS44" t="s">
        <v>468</v>
      </c>
      <c r="CU44" s="21">
        <f>H44+P44+X44+AF44+AV44+AN44+BD44+BL44+BT44+CB44+CJ44+CR44</f>
        <v>110</v>
      </c>
      <c r="CV44" t="s">
        <v>468</v>
      </c>
    </row>
    <row r="45" spans="4:100">
      <c r="E45" t="s">
        <v>3218</v>
      </c>
      <c r="F45" s="83">
        <v>1</v>
      </c>
      <c r="G45" t="s">
        <v>468</v>
      </c>
      <c r="H45" s="83">
        <f>$C$2*F45</f>
        <v>12</v>
      </c>
      <c r="I45" t="s">
        <v>468</v>
      </c>
      <c r="M45" t="s">
        <v>3218</v>
      </c>
      <c r="N45" s="83">
        <v>1</v>
      </c>
      <c r="O45" t="s">
        <v>468</v>
      </c>
      <c r="P45" s="83">
        <f>$C$2*N45</f>
        <v>12</v>
      </c>
      <c r="Q45" t="s">
        <v>468</v>
      </c>
      <c r="U45" t="s">
        <v>3218</v>
      </c>
      <c r="V45" s="83">
        <v>2</v>
      </c>
      <c r="W45" t="s">
        <v>468</v>
      </c>
      <c r="X45" s="83">
        <f>S$2*V45</f>
        <v>20</v>
      </c>
      <c r="Y45" t="s">
        <v>468</v>
      </c>
      <c r="AC45" t="s">
        <v>3218</v>
      </c>
      <c r="AD45" s="83">
        <v>1</v>
      </c>
      <c r="AE45" t="s">
        <v>468</v>
      </c>
      <c r="AF45" s="83">
        <f>AA$2*AD45</f>
        <v>32</v>
      </c>
      <c r="AG45" t="s">
        <v>468</v>
      </c>
      <c r="AK45" t="s">
        <v>3218</v>
      </c>
      <c r="AL45" s="83">
        <v>1</v>
      </c>
      <c r="AM45" t="s">
        <v>468</v>
      </c>
      <c r="AN45" s="83">
        <f>AI$2*AL45</f>
        <v>6</v>
      </c>
      <c r="AO45" t="s">
        <v>468</v>
      </c>
      <c r="AS45" t="s">
        <v>3218</v>
      </c>
      <c r="AT45" s="83">
        <v>1</v>
      </c>
      <c r="AU45" t="s">
        <v>468</v>
      </c>
      <c r="AV45" s="83">
        <f>AQ$2*AT45</f>
        <v>4</v>
      </c>
      <c r="AW45" t="s">
        <v>468</v>
      </c>
      <c r="BA45" t="s">
        <v>3218</v>
      </c>
      <c r="BB45" s="83">
        <v>1</v>
      </c>
      <c r="BC45" t="s">
        <v>468</v>
      </c>
      <c r="BD45" s="83">
        <f>AY$2*BB45</f>
        <v>2</v>
      </c>
      <c r="BE45" t="s">
        <v>468</v>
      </c>
      <c r="BI45" t="s">
        <v>3218</v>
      </c>
      <c r="BJ45" s="83">
        <v>1</v>
      </c>
      <c r="BK45" t="s">
        <v>468</v>
      </c>
      <c r="BL45" s="83">
        <f>BG$2*BJ45</f>
        <v>2</v>
      </c>
      <c r="BM45" t="s">
        <v>468</v>
      </c>
      <c r="BQ45" t="s">
        <v>3218</v>
      </c>
      <c r="BR45" s="83">
        <v>1</v>
      </c>
      <c r="BS45" t="s">
        <v>468</v>
      </c>
      <c r="BT45" s="83">
        <f>BO$2*BR45</f>
        <v>12</v>
      </c>
      <c r="BU45" t="s">
        <v>468</v>
      </c>
      <c r="BY45" t="s">
        <v>3218</v>
      </c>
      <c r="BZ45" s="83">
        <v>1</v>
      </c>
      <c r="CA45" t="s">
        <v>468</v>
      </c>
      <c r="CB45" s="83">
        <f>BW$2*BZ45</f>
        <v>4</v>
      </c>
      <c r="CC45" t="s">
        <v>468</v>
      </c>
      <c r="CG45" t="s">
        <v>3218</v>
      </c>
      <c r="CH45" s="83">
        <v>1</v>
      </c>
      <c r="CI45" t="s">
        <v>468</v>
      </c>
      <c r="CJ45" s="83">
        <f>CE$2*CH45</f>
        <v>2</v>
      </c>
      <c r="CK45" t="s">
        <v>468</v>
      </c>
      <c r="CO45" t="s">
        <v>3218</v>
      </c>
      <c r="CP45" s="83">
        <v>1</v>
      </c>
      <c r="CQ45" t="s">
        <v>468</v>
      </c>
      <c r="CR45" s="83">
        <f>CM$2*CP45</f>
        <v>2</v>
      </c>
      <c r="CS45" t="s">
        <v>468</v>
      </c>
      <c r="CU45" s="21">
        <f>H45+P45+X45+AF45+AV45+AN45+BD45+BL45+BT45+CB45+CJ45+CR45</f>
        <v>110</v>
      </c>
      <c r="CV45" t="s">
        <v>468</v>
      </c>
    </row>
    <row r="46" spans="4:100">
      <c r="E46" t="s">
        <v>3219</v>
      </c>
      <c r="F46" s="83">
        <v>1</v>
      </c>
      <c r="G46" t="s">
        <v>468</v>
      </c>
      <c r="H46" s="83">
        <f>$C$2*F46</f>
        <v>12</v>
      </c>
      <c r="I46" t="s">
        <v>468</v>
      </c>
      <c r="M46" t="s">
        <v>3219</v>
      </c>
      <c r="N46" s="83">
        <v>1</v>
      </c>
      <c r="O46" t="s">
        <v>468</v>
      </c>
      <c r="P46" s="83">
        <f>$C$2*N46</f>
        <v>12</v>
      </c>
      <c r="Q46" t="s">
        <v>468</v>
      </c>
      <c r="U46" t="s">
        <v>3219</v>
      </c>
      <c r="V46" s="83">
        <v>1</v>
      </c>
      <c r="W46" t="s">
        <v>468</v>
      </c>
      <c r="X46" s="83">
        <f>S$2*V46</f>
        <v>10</v>
      </c>
      <c r="Y46" t="s">
        <v>468</v>
      </c>
      <c r="AC46" t="s">
        <v>3219</v>
      </c>
      <c r="AD46" s="83">
        <v>1</v>
      </c>
      <c r="AE46" t="s">
        <v>468</v>
      </c>
      <c r="AF46" s="83">
        <f>AA$2*AD46</f>
        <v>32</v>
      </c>
      <c r="AG46" t="s">
        <v>468</v>
      </c>
      <c r="AK46" t="s">
        <v>3219</v>
      </c>
      <c r="AL46" s="83">
        <v>1</v>
      </c>
      <c r="AM46" t="s">
        <v>468</v>
      </c>
      <c r="AN46" s="83">
        <f>AI$2*AL46</f>
        <v>6</v>
      </c>
      <c r="AO46" t="s">
        <v>468</v>
      </c>
      <c r="AS46" t="s">
        <v>3219</v>
      </c>
      <c r="AT46" s="83">
        <v>1</v>
      </c>
      <c r="AU46" t="s">
        <v>468</v>
      </c>
      <c r="AV46" s="83">
        <f>AQ$2*AT46</f>
        <v>4</v>
      </c>
      <c r="AW46" t="s">
        <v>468</v>
      </c>
      <c r="BA46" t="s">
        <v>3219</v>
      </c>
      <c r="BB46" s="83">
        <v>1</v>
      </c>
      <c r="BC46" t="s">
        <v>468</v>
      </c>
      <c r="BD46" s="83">
        <f>AY$2*BB46</f>
        <v>2</v>
      </c>
      <c r="BE46" t="s">
        <v>468</v>
      </c>
      <c r="BI46" t="s">
        <v>3219</v>
      </c>
      <c r="BJ46" s="83">
        <v>1</v>
      </c>
      <c r="BK46" t="s">
        <v>468</v>
      </c>
      <c r="BL46" s="83">
        <f>BG$2*BJ46</f>
        <v>2</v>
      </c>
      <c r="BM46" t="s">
        <v>468</v>
      </c>
      <c r="BQ46" t="s">
        <v>3219</v>
      </c>
      <c r="BR46" s="83">
        <v>1</v>
      </c>
      <c r="BS46" t="s">
        <v>468</v>
      </c>
      <c r="BT46" s="83">
        <f>BO$2*BR46</f>
        <v>12</v>
      </c>
      <c r="BU46" t="s">
        <v>468</v>
      </c>
      <c r="BY46" t="s">
        <v>3219</v>
      </c>
      <c r="BZ46" s="83">
        <v>1</v>
      </c>
      <c r="CA46" t="s">
        <v>468</v>
      </c>
      <c r="CB46" s="83">
        <f>BW$2*BZ46</f>
        <v>4</v>
      </c>
      <c r="CC46" t="s">
        <v>468</v>
      </c>
      <c r="CG46" t="s">
        <v>3219</v>
      </c>
      <c r="CH46" s="83">
        <v>1</v>
      </c>
      <c r="CI46" t="s">
        <v>468</v>
      </c>
      <c r="CJ46" s="83">
        <f>CE$2*CH46</f>
        <v>2</v>
      </c>
      <c r="CK46" t="s">
        <v>468</v>
      </c>
      <c r="CO46" t="s">
        <v>3219</v>
      </c>
      <c r="CP46" s="83">
        <v>1</v>
      </c>
      <c r="CQ46" t="s">
        <v>468</v>
      </c>
      <c r="CR46" s="83">
        <f>CM$2*CP46</f>
        <v>2</v>
      </c>
      <c r="CS46" t="s">
        <v>468</v>
      </c>
      <c r="CU46" s="21">
        <f>H46+P46+X46+AF46+AV46+AN46+BD46+BL46+BT46+CB46+CJ46+CR46</f>
        <v>100</v>
      </c>
      <c r="CV46" t="s">
        <v>468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2bda209-fb17-4fd3-beff-fb2b6666029a">
      <Terms xmlns="http://schemas.microsoft.com/office/infopath/2007/PartnerControls"/>
    </lcf76f155ced4ddcb4097134ff3c332f>
    <TaxCatchAll xmlns="7a1a6427-7447-401b-b669-b1fb53f6e165" xsi:nil="true"/>
    <IconOverlay xmlns="http://schemas.microsoft.com/sharepoint/v4" xsi:nil="true"/>
    <PrimeClassificationStatus xmlns="bffdc749-fe4c-4aff-a124-bb498114a6cb" xsi:nil="true"/>
    <PrimeClassificationStatusDetails xmlns="bffdc749-fe4c-4aff-a124-bb498114a6cb" xsi:nil="true"/>
    <PrimeCorrectedByUser xmlns="bffdc749-fe4c-4aff-a124-bb498114a6cb" xsi:nil="true"/>
    <TaxKeywordTaxHTField xmlns="bffdc749-fe4c-4aff-a124-bb498114a6cb">
      <Terms xmlns="http://schemas.microsoft.com/office/infopath/2007/PartnerControls"/>
    </TaxKeywordTaxHTField>
    <PrimeLastClassified xmlns="bffdc749-fe4c-4aff-a124-bb498114a6c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9AB7BAA39244D4189A3D2B7AA90A8B9" ma:contentTypeVersion="21" ma:contentTypeDescription="Create a new document." ma:contentTypeScope="" ma:versionID="8ff7be97cbefd0a60049e2bace403b21">
  <xsd:schema xmlns:xsd="http://www.w3.org/2001/XMLSchema" xmlns:xs="http://www.w3.org/2001/XMLSchema" xmlns:p="http://schemas.microsoft.com/office/2006/metadata/properties" xmlns:ns2="32bda209-fb17-4fd3-beff-fb2b6666029a" xmlns:ns3="7a1a6427-7447-401b-b669-b1fb53f6e165" xmlns:ns4="http://schemas.microsoft.com/sharepoint/v4" xmlns:ns5="bffdc749-fe4c-4aff-a124-bb498114a6cb" targetNamespace="http://schemas.microsoft.com/office/2006/metadata/properties" ma:root="true" ma:fieldsID="b515eac5011d202b58ca33f511f6dd02" ns2:_="" ns3:_="" ns4:_="" ns5:_="">
    <xsd:import namespace="32bda209-fb17-4fd3-beff-fb2b6666029a"/>
    <xsd:import namespace="7a1a6427-7447-401b-b669-b1fb53f6e165"/>
    <xsd:import namespace="http://schemas.microsoft.com/sharepoint/v4"/>
    <xsd:import namespace="bffdc749-fe4c-4aff-a124-bb498114a6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BillingMetadata" minOccurs="0"/>
                <xsd:element ref="ns2:MediaLengthInSeconds" minOccurs="0"/>
                <xsd:element ref="ns4:IconOverlay" minOccurs="0"/>
                <xsd:element ref="ns5:TaxKeywordTaxHTField" minOccurs="0"/>
                <xsd:element ref="ns5:PrimeClassificationStatus" minOccurs="0"/>
                <xsd:element ref="ns5:PrimeClassificationStatusDetails" minOccurs="0"/>
                <xsd:element ref="ns5:PrimeLastClassified" minOccurs="0"/>
                <xsd:element ref="ns5:PrimeCorrectedByUs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da209-fb17-4fd3-beff-fb2b666602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dcca09f-7c2a-419f-a79f-e64e1f5bcf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a1a6427-7447-401b-b669-b1fb53f6e16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f6b1d5-a19d-4c2b-a309-5f490d70c921}" ma:internalName="TaxCatchAll" ma:showField="CatchAllData" ma:web="bffdc749-fe4c-4aff-a124-bb498114a6c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2"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fdc749-fe4c-4aff-a124-bb498114a6cb" elementFormDefault="qualified">
    <xsd:import namespace="http://schemas.microsoft.com/office/2006/documentManagement/types"/>
    <xsd:import namespace="http://schemas.microsoft.com/office/infopath/2007/PartnerControls"/>
    <xsd:element name="TaxKeywordTaxHTField" ma:index="24" nillable="true" ma:taxonomy="true" ma:internalName="TaxKeywordTaxHTField" ma:taxonomyFieldName="TaxKeyword" ma:displayName="Enterprise Keywords" ma:fieldId="{23f27201-bee3-471e-b2e7-b64fd8b7ca38}" ma:taxonomyMulti="true" ma:sspId="9dcca09f-7c2a-419f-a79f-e64e1f5bcf93" ma:termSetId="00000000-0000-0000-0000-000000000000" ma:anchorId="00000000-0000-0000-0000-000000000000" ma:open="true" ma:isKeyword="true">
      <xsd:complexType>
        <xsd:sequence>
          <xsd:element ref="pc:Terms" minOccurs="0" maxOccurs="1"/>
        </xsd:sequence>
      </xsd:complexType>
    </xsd:element>
    <xsd:element name="PrimeClassificationStatus" ma:index="25" nillable="true" ma:displayName="Processing status" ma:internalName="PrimeClassificationStatus">
      <xsd:simpleType>
        <xsd:restriction base="dms:Text"/>
      </xsd:simpleType>
    </xsd:element>
    <xsd:element name="PrimeClassificationStatusDetails" ma:index="26" nillable="true" ma:displayName="Processing details" ma:internalName="PrimeClassificationStatusDetails">
      <xsd:simpleType>
        <xsd:restriction base="dms:Note">
          <xsd:maxLength value="255"/>
        </xsd:restriction>
      </xsd:simpleType>
    </xsd:element>
    <xsd:element name="PrimeLastClassified" ma:index="27" nillable="true" ma:displayName="Processed" ma:internalName="PrimeLastClassified">
      <xsd:simpleType>
        <xsd:restriction base="dms:DateTime"/>
      </xsd:simpleType>
    </xsd:element>
    <xsd:element name="PrimeCorrectedByUser" ma:index="28" nillable="true" ma:displayName="Corrected" ma:internalName="PrimeCorrectedByUs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885BFE-622C-4E67-8E23-7DCBF35BD076}">
  <ds:schemaRefs>
    <ds:schemaRef ds:uri="http://schemas.microsoft.com/sharepoint/v3/contenttype/forms"/>
  </ds:schemaRefs>
</ds:datastoreItem>
</file>

<file path=customXml/itemProps2.xml><?xml version="1.0" encoding="utf-8"?>
<ds:datastoreItem xmlns:ds="http://schemas.openxmlformats.org/officeDocument/2006/customXml" ds:itemID="{09E06E81-5B01-4E25-82B9-6438D27D27C1}">
  <ds:schemaRefs>
    <ds:schemaRef ds:uri="http://schemas.microsoft.com/office/2006/metadata/properties"/>
    <ds:schemaRef ds:uri="http://schemas.microsoft.com/office/infopath/2007/PartnerControls"/>
    <ds:schemaRef ds:uri="bffdc749-fe4c-4aff-a124-bb498114a6cb"/>
    <ds:schemaRef ds:uri="32bda209-fb17-4fd3-beff-fb2b6666029a"/>
    <ds:schemaRef ds:uri="7a1a6427-7447-401b-b669-b1fb53f6e165"/>
    <ds:schemaRef ds:uri="http://schemas.microsoft.com/sharepoint/v4"/>
  </ds:schemaRefs>
</ds:datastoreItem>
</file>

<file path=customXml/itemProps3.xml><?xml version="1.0" encoding="utf-8"?>
<ds:datastoreItem xmlns:ds="http://schemas.openxmlformats.org/officeDocument/2006/customXml" ds:itemID="{50BCC056-C729-4723-8A36-C47059C6B2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78</vt:i4>
      </vt:variant>
      <vt:variant>
        <vt:lpstr>Named Ranges</vt:lpstr>
      </vt:variant>
      <vt:variant>
        <vt:i4>16</vt:i4>
      </vt:variant>
    </vt:vector>
  </HeadingPairs>
  <TitlesOfParts>
    <vt:vector size="94" baseType="lpstr">
      <vt:lpstr>Area Calculations</vt:lpstr>
      <vt:lpstr>Bond Calculator</vt:lpstr>
      <vt:lpstr>Allowances</vt:lpstr>
      <vt:lpstr>Alternate &amp; VE</vt:lpstr>
      <vt:lpstr>ERUA Cost Summary</vt:lpstr>
      <vt:lpstr>Cost Summary</vt:lpstr>
      <vt:lpstr>GCs &amp; GRs</vt:lpstr>
      <vt:lpstr>Labor Rates</vt:lpstr>
      <vt:lpstr>Staffing Schedule </vt:lpstr>
      <vt:lpstr>02 21 Survey </vt:lpstr>
      <vt:lpstr>02 41 Demolition</vt:lpstr>
      <vt:lpstr>02 50 Site Maint</vt:lpstr>
      <vt:lpstr>03 30 CIP Concrete</vt:lpstr>
      <vt:lpstr>03 41 Precast Hollow Core</vt:lpstr>
      <vt:lpstr>03 45 Architectural Precast</vt:lpstr>
      <vt:lpstr>03 47 Tilt Wall Concrete</vt:lpstr>
      <vt:lpstr>04 22 Concrete Unit Masonry</vt:lpstr>
      <vt:lpstr>05 10 Steel</vt:lpstr>
      <vt:lpstr>05 52 Misc. Metals</vt:lpstr>
      <vt:lpstr>06 10 Rough Carpentry</vt:lpstr>
      <vt:lpstr>06 17 Wood Trusses</vt:lpstr>
      <vt:lpstr>06 21 Millwork</vt:lpstr>
      <vt:lpstr>06 40 Arch Woodwork</vt:lpstr>
      <vt:lpstr>07 10 Waterproofing</vt:lpstr>
      <vt:lpstr>07 21 Insulation</vt:lpstr>
      <vt:lpstr>07 42 Metal Panel</vt:lpstr>
      <vt:lpstr>07 46 Siding</vt:lpstr>
      <vt:lpstr>07 50 Roofing</vt:lpstr>
      <vt:lpstr>07 81 Spray Fireproofing</vt:lpstr>
      <vt:lpstr>07 84 Firestopping</vt:lpstr>
      <vt:lpstr>07 92 Exp Joint</vt:lpstr>
      <vt:lpstr>08 10 DFH</vt:lpstr>
      <vt:lpstr>08 30 Retractable Screens</vt:lpstr>
      <vt:lpstr>08 32 Hangar Doors</vt:lpstr>
      <vt:lpstr>08 33 Overhead doors</vt:lpstr>
      <vt:lpstr>08 50 Storefront &amp; Windows</vt:lpstr>
      <vt:lpstr>09 29 Drywall &amp; Frame</vt:lpstr>
      <vt:lpstr>09 30 Tile</vt:lpstr>
      <vt:lpstr>09 51 ACT</vt:lpstr>
      <vt:lpstr>09 60 Flooring</vt:lpstr>
      <vt:lpstr>09 67 Fluid - Apply Fl</vt:lpstr>
      <vt:lpstr>09 90 Painting</vt:lpstr>
      <vt:lpstr>09 96 Fluid Applied Flooring</vt:lpstr>
      <vt:lpstr>10 14 Signage</vt:lpstr>
      <vt:lpstr>10 20 Toilet Partitions &amp; Bath</vt:lpstr>
      <vt:lpstr>10 22 Operable Partitions</vt:lpstr>
      <vt:lpstr>10 30 Fireplace</vt:lpstr>
      <vt:lpstr>10 44 Fire Extinguishers</vt:lpstr>
      <vt:lpstr>11 11 Laundry Equip.</vt:lpstr>
      <vt:lpstr>11 30 Appliances</vt:lpstr>
      <vt:lpstr>12 30 Wall Protection</vt:lpstr>
      <vt:lpstr>12 20 Window Treatment</vt:lpstr>
      <vt:lpstr>12 34 Residential Casework</vt:lpstr>
      <vt:lpstr>12 36 Solid Surface</vt:lpstr>
      <vt:lpstr>13 30 Fab Eng Structures</vt:lpstr>
      <vt:lpstr>14 20 Elevators</vt:lpstr>
      <vt:lpstr>14 80 Scaffolding</vt:lpstr>
      <vt:lpstr>14 91 Trash Chutes</vt:lpstr>
      <vt:lpstr>21 13 Fire Protection</vt:lpstr>
      <vt:lpstr>22 00 Plumbing </vt:lpstr>
      <vt:lpstr>23 00 HVAC</vt:lpstr>
      <vt:lpstr>26 00 Electrical</vt:lpstr>
      <vt:lpstr>26 41 Lighting Protection</vt:lpstr>
      <vt:lpstr>27 00 Communications</vt:lpstr>
      <vt:lpstr>27 53 BDA</vt:lpstr>
      <vt:lpstr>28 10 Access Control</vt:lpstr>
      <vt:lpstr>28 46 Fire Alarm</vt:lpstr>
      <vt:lpstr>31 23 Dewatering</vt:lpstr>
      <vt:lpstr>31 30 Site Work</vt:lpstr>
      <vt:lpstr>31 32 Soil Stabilization</vt:lpstr>
      <vt:lpstr>31 63 Piles </vt:lpstr>
      <vt:lpstr>32 14 Pavers</vt:lpstr>
      <vt:lpstr>32 33 Site Furniture</vt:lpstr>
      <vt:lpstr>32 80 Landscape</vt:lpstr>
      <vt:lpstr>33 40 Wells</vt:lpstr>
      <vt:lpstr>41 22 Crane and Hoist</vt:lpstr>
      <vt:lpstr>SiteWorkPrices</vt:lpstr>
      <vt:lpstr>UnitPrices</vt:lpstr>
      <vt:lpstr>'Bond Calculator'!FCP</vt:lpstr>
      <vt:lpstr>'03 30 CIP Concrete'!Print_Area</vt:lpstr>
      <vt:lpstr>'05 10 Steel'!Print_Area</vt:lpstr>
      <vt:lpstr>'06 40 Arch Woodwork'!Print_Area</vt:lpstr>
      <vt:lpstr>'07 10 Waterproofing'!Print_Area</vt:lpstr>
      <vt:lpstr>'07 50 Roofing'!Print_Area</vt:lpstr>
      <vt:lpstr>'08 50 Storefront &amp; Windows'!Print_Area</vt:lpstr>
      <vt:lpstr>'09 29 Drywall &amp; Frame'!Print_Area</vt:lpstr>
      <vt:lpstr>'23 00 HVAC'!Print_Area</vt:lpstr>
      <vt:lpstr>'26 00 Electrical'!Print_Area</vt:lpstr>
      <vt:lpstr>'27 00 Communications'!Print_Area</vt:lpstr>
      <vt:lpstr>'31 30 Site Work'!Print_Area</vt:lpstr>
      <vt:lpstr>'31 63 Piles '!Print_Area</vt:lpstr>
      <vt:lpstr>Allowances!Print_Area</vt:lpstr>
      <vt:lpstr>'Cost Summary'!Print_Area</vt:lpstr>
      <vt:lpstr>'ERUA Cost 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Safwat Tawedros</dc:creator>
  <cp:keywords/>
  <dc:description/>
  <cp:lastModifiedBy>Hank Fordham</cp:lastModifiedBy>
  <cp:revision/>
  <dcterms:created xsi:type="dcterms:W3CDTF">2015-06-05T18:17:20Z</dcterms:created>
  <dcterms:modified xsi:type="dcterms:W3CDTF">2026-03-04T18:03:02Z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0x01010099AB7BAA39244D4189A3D2B7AA90A8B9</vt:lpwstr>
  </property>
  <property fmtid="{D5CDD505-2E9C-101B-9397-08002B2CF9AE}" pid="3" name="MediaServiceImageTags">
    <vt:lpwstr/>
  </property>
  <property fmtid="{D5CDD505-2E9C-101B-9397-08002B2CF9AE}" pid="4" name="TaxKeyword">
    <vt:lpwstr/>
  </property>
  <property fmtid="{D5CDD505-2E9C-101B-9397-08002B2CF9AE}" pid="5" name="InternalDepartment">
    <vt:lpwstr/>
  </property>
  <property fmtid="{D5CDD505-2E9C-101B-9397-08002B2CF9AE}" pid="6" name="jb2458b6a45740759a0f65ed964f9b0f">
    <vt:lpwstr/>
  </property>
  <property fmtid="{D5CDD505-2E9C-101B-9397-08002B2CF9AE}" pid="7" name="e115578a15e24a4a98fd29f026adf1f4">
    <vt:lpwstr/>
  </property>
  <property fmtid="{D5CDD505-2E9C-101B-9397-08002B2CF9AE}" pid="8" name="j3021d9e58624e2d9d48086442d8da1b">
    <vt:lpwstr/>
  </property>
  <property fmtid="{D5CDD505-2E9C-101B-9397-08002B2CF9AE}" pid="9" name="ab89def8d26743959f8cfebb0be0963b">
    <vt:lpwstr/>
  </property>
  <property fmtid="{D5CDD505-2E9C-101B-9397-08002B2CF9AE}" pid="10" name="ProjectStage">
    <vt:lpwstr/>
  </property>
  <property fmtid="{D5CDD505-2E9C-101B-9397-08002B2CF9AE}" pid="11" name="OperationalRegion">
    <vt:lpwstr/>
  </property>
  <property fmtid="{D5CDD505-2E9C-101B-9397-08002B2CF9AE}" pid="12" name="Sector">
    <vt:lpwstr/>
  </property>
  <property fmtid="{D5CDD505-2E9C-101B-9397-08002B2CF9AE}" pid="13" name="DocType">
    <vt:lpwstr>Budget</vt:lpwstr>
  </property>
  <property fmtid="{D5CDD505-2E9C-101B-9397-08002B2CF9AE}" pid="14" name="Summary">
    <vt:lpwstr>Detailed construction estimate and subcontractor bid log for the ERAU Residential Hall &amp; Garage Building at Daytona Beach, including scope breakdowns, cost summaries, alternates, allowances, subcontractor lists, and project timeline.</vt:lpwstr>
  </property>
</Properties>
</file>